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https://cranfield-my.sharepoint.com/personal/laura_cumplido-marin_cranfield_ac_uk/Documents/s266289/Papers/Economic model/Models/UK/"/>
    </mc:Choice>
  </mc:AlternateContent>
  <xr:revisionPtr revIDLastSave="3" documentId="11_AEC3189E6FB62D2C3B88DF8F899A3DA57BEB54A8" xr6:coauthVersionLast="46" xr6:coauthVersionMax="46" xr10:uidLastSave="{FF862D95-B227-498B-8FFF-4DECD8B74081}"/>
  <bookViews>
    <workbookView xWindow="28680" yWindow="-120" windowWidth="29040" windowHeight="15840" firstSheet="15" activeTab="19" xr2:uid="{00000000-000D-0000-FFFF-FFFF00000000}"/>
  </bookViews>
  <sheets>
    <sheet name="Introduction" sheetId="20" r:id="rId1"/>
    <sheet name="Arable Inputs" sheetId="21" r:id="rId2"/>
    <sheet name="Arable fixed costs" sheetId="3" state="hidden" r:id="rId3"/>
    <sheet name="Arable margins" sheetId="1" state="hidden" r:id="rId4"/>
    <sheet name="Energy Inputs" sheetId="5" r:id="rId5"/>
    <sheet name="Energy fixed costs" sheetId="7" state="hidden" r:id="rId6"/>
    <sheet name="Energy margins" sheetId="2" r:id="rId7"/>
    <sheet name="Margins summary" sheetId="8" state="hidden" r:id="rId8"/>
    <sheet name="Arable NPV" sheetId="9" r:id="rId9"/>
    <sheet name="Arable Model tables" sheetId="18" state="hidden" r:id="rId10"/>
    <sheet name="Arable Model" sheetId="17" r:id="rId11"/>
    <sheet name="Energy Model tables" sheetId="22" state="hidden" r:id="rId12"/>
    <sheet name="Energy Model" sheetId="23" r:id="rId13"/>
    <sheet name="Energy NPV" sheetId="10" r:id="rId14"/>
    <sheet name="Summary NPV" sheetId="11" r:id="rId15"/>
    <sheet name="Sensitivity Analysis Price" sheetId="13" r:id="rId16"/>
    <sheet name="Sensitivity Analysis Yield" sheetId="14" r:id="rId17"/>
    <sheet name="Sensitivity Analysis Costs" sheetId="15" r:id="rId18"/>
    <sheet name="Sensitivity Analysis Discount R" sheetId="16" state="hidden" r:id="rId19"/>
    <sheet name="Summary SA" sheetId="12" r:id="rId20"/>
  </sheets>
  <definedNames>
    <definedName name="Rate_PLN" localSheetId="6">'Energy margins'!$E$53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G78" i="16" l="1"/>
  <c r="DF78" i="16"/>
  <c r="DF77" i="16"/>
  <c r="DF76" i="16"/>
  <c r="DG73" i="16"/>
  <c r="DF73" i="16"/>
  <c r="DF72" i="16"/>
  <c r="DF71" i="16"/>
  <c r="DG68" i="16"/>
  <c r="DF68" i="16"/>
  <c r="DF67" i="16"/>
  <c r="DF66" i="16"/>
  <c r="DG63" i="16"/>
  <c r="DF63" i="16"/>
  <c r="CG78" i="16"/>
  <c r="CF78" i="16"/>
  <c r="CF77" i="16"/>
  <c r="CF76" i="16"/>
  <c r="CG73" i="16"/>
  <c r="CF73" i="16"/>
  <c r="CF72" i="16"/>
  <c r="CF71" i="16"/>
  <c r="CG68" i="16"/>
  <c r="CF68" i="16"/>
  <c r="CF67" i="16"/>
  <c r="CF66" i="16"/>
  <c r="CG63" i="16"/>
  <c r="CF63" i="16"/>
  <c r="BG78" i="16"/>
  <c r="BF78" i="16"/>
  <c r="BF77" i="16"/>
  <c r="BF76" i="16"/>
  <c r="BG73" i="16"/>
  <c r="BF73" i="16"/>
  <c r="BF72" i="16"/>
  <c r="BF71" i="16"/>
  <c r="BG68" i="16"/>
  <c r="BF68" i="16"/>
  <c r="BF67" i="16"/>
  <c r="BF66" i="16"/>
  <c r="BG63" i="16"/>
  <c r="BF63" i="16"/>
  <c r="AG78" i="16"/>
  <c r="AF78" i="16"/>
  <c r="AF77" i="16"/>
  <c r="AF76" i="16"/>
  <c r="AG73" i="16"/>
  <c r="AF73" i="16"/>
  <c r="AF72" i="16"/>
  <c r="AF71" i="16"/>
  <c r="AG68" i="16"/>
  <c r="AF68" i="16"/>
  <c r="AF67" i="16"/>
  <c r="AF66" i="16"/>
  <c r="AG63" i="16"/>
  <c r="AF63" i="16"/>
  <c r="G78" i="16"/>
  <c r="F78" i="16"/>
  <c r="F77" i="16"/>
  <c r="F76" i="16"/>
  <c r="G73" i="16"/>
  <c r="F73" i="16"/>
  <c r="F72" i="16"/>
  <c r="F71" i="16"/>
  <c r="G68" i="16"/>
  <c r="F68" i="16"/>
  <c r="F67" i="16"/>
  <c r="F66" i="16"/>
  <c r="G63" i="16"/>
  <c r="F63" i="16"/>
  <c r="DG78" i="15"/>
  <c r="DF78" i="15"/>
  <c r="DF77" i="15"/>
  <c r="DF76" i="15"/>
  <c r="DG73" i="15"/>
  <c r="DF73" i="15"/>
  <c r="DF72" i="15"/>
  <c r="DF71" i="15"/>
  <c r="DG68" i="15"/>
  <c r="DF68" i="15"/>
  <c r="DF67" i="15"/>
  <c r="DF66" i="15"/>
  <c r="DG63" i="15"/>
  <c r="DF63" i="15"/>
  <c r="CG78" i="15"/>
  <c r="CF78" i="15"/>
  <c r="CF77" i="15"/>
  <c r="CF76" i="15"/>
  <c r="CG73" i="15"/>
  <c r="CF73" i="15"/>
  <c r="CF72" i="15"/>
  <c r="CF71" i="15"/>
  <c r="CG68" i="15"/>
  <c r="CF68" i="15"/>
  <c r="CF67" i="15"/>
  <c r="CF66" i="15"/>
  <c r="CG63" i="15"/>
  <c r="CF63" i="15"/>
  <c r="BG78" i="15"/>
  <c r="BF78" i="15"/>
  <c r="BF77" i="15"/>
  <c r="BF76" i="15"/>
  <c r="BG73" i="15"/>
  <c r="BF73" i="15"/>
  <c r="BF72" i="15"/>
  <c r="BF71" i="15"/>
  <c r="BG68" i="15"/>
  <c r="BF68" i="15"/>
  <c r="BF67" i="15"/>
  <c r="BF66" i="15"/>
  <c r="BG63" i="15"/>
  <c r="BF63" i="15"/>
  <c r="AG78" i="15"/>
  <c r="AF78" i="15"/>
  <c r="AF77" i="15"/>
  <c r="AF76" i="15"/>
  <c r="AG73" i="15"/>
  <c r="AF73" i="15"/>
  <c r="AF72" i="15"/>
  <c r="AF71" i="15"/>
  <c r="AG68" i="15"/>
  <c r="AF68" i="15"/>
  <c r="AF67" i="15"/>
  <c r="AF66" i="15"/>
  <c r="AG63" i="15"/>
  <c r="AF63" i="15"/>
  <c r="G78" i="15"/>
  <c r="F78" i="15"/>
  <c r="F77" i="15"/>
  <c r="F76" i="15"/>
  <c r="G73" i="15"/>
  <c r="F73" i="15"/>
  <c r="F72" i="15"/>
  <c r="F71" i="15"/>
  <c r="G68" i="15"/>
  <c r="F68" i="15"/>
  <c r="F67" i="15"/>
  <c r="F66" i="15"/>
  <c r="G63" i="15"/>
  <c r="F63" i="15"/>
  <c r="DF78" i="14"/>
  <c r="DF77" i="14"/>
  <c r="DF76" i="14"/>
  <c r="DF73" i="14"/>
  <c r="DF72" i="14"/>
  <c r="DF71" i="14"/>
  <c r="DF68" i="14"/>
  <c r="DF67" i="14"/>
  <c r="DF66" i="14"/>
  <c r="DF63" i="14"/>
  <c r="DG78" i="14"/>
  <c r="DG73" i="14"/>
  <c r="DG68" i="14"/>
  <c r="DG63" i="14"/>
  <c r="CF78" i="14"/>
  <c r="CF77" i="14"/>
  <c r="CF76" i="14"/>
  <c r="CF73" i="14"/>
  <c r="CF72" i="14"/>
  <c r="CF71" i="14"/>
  <c r="CF68" i="14"/>
  <c r="CF67" i="14"/>
  <c r="CF66" i="14"/>
  <c r="CF63" i="14"/>
  <c r="CG78" i="14"/>
  <c r="CG73" i="14"/>
  <c r="CG68" i="14"/>
  <c r="CG63" i="14"/>
  <c r="BF76" i="14"/>
  <c r="BF78" i="14"/>
  <c r="BF77" i="14"/>
  <c r="BF73" i="14"/>
  <c r="BF72" i="14"/>
  <c r="BF71" i="14"/>
  <c r="BF68" i="14"/>
  <c r="BF67" i="14"/>
  <c r="BF66" i="14"/>
  <c r="BF63" i="14"/>
  <c r="BG78" i="14"/>
  <c r="BG73" i="14"/>
  <c r="BG68" i="14"/>
  <c r="BG63" i="14"/>
  <c r="AF78" i="14"/>
  <c r="AF77" i="14"/>
  <c r="AF76" i="14"/>
  <c r="AF73" i="14"/>
  <c r="AF72" i="14"/>
  <c r="AF71" i="14"/>
  <c r="AF68" i="14"/>
  <c r="AF67" i="14"/>
  <c r="AF66" i="14"/>
  <c r="AF63" i="14"/>
  <c r="AG78" i="14"/>
  <c r="AG73" i="14"/>
  <c r="AG68" i="14"/>
  <c r="AG63" i="14"/>
  <c r="G78" i="14"/>
  <c r="F78" i="14"/>
  <c r="F77" i="14"/>
  <c r="F76" i="14"/>
  <c r="G73" i="14"/>
  <c r="F73" i="14"/>
  <c r="F72" i="14"/>
  <c r="F71" i="14"/>
  <c r="G68" i="14"/>
  <c r="F68" i="14"/>
  <c r="F67" i="14"/>
  <c r="F66" i="14"/>
  <c r="G63" i="14"/>
  <c r="F63" i="14"/>
  <c r="DG78" i="13"/>
  <c r="DG73" i="13"/>
  <c r="DG68" i="13"/>
  <c r="DG63" i="13"/>
  <c r="DF78" i="13"/>
  <c r="DF77" i="13"/>
  <c r="DF76" i="13"/>
  <c r="DF73" i="13"/>
  <c r="DF72" i="13"/>
  <c r="DF71" i="13"/>
  <c r="DF68" i="13"/>
  <c r="DF67" i="13"/>
  <c r="DF66" i="13"/>
  <c r="DF63" i="13"/>
  <c r="AG63" i="13"/>
  <c r="AG68" i="13"/>
  <c r="AG73" i="13"/>
  <c r="AG78" i="13"/>
  <c r="BG63" i="13"/>
  <c r="CG78" i="13"/>
  <c r="CG73" i="13"/>
  <c r="CG68" i="13"/>
  <c r="CG63" i="13"/>
  <c r="CF78" i="13"/>
  <c r="CF77" i="13"/>
  <c r="CF76" i="13"/>
  <c r="CF73" i="13"/>
  <c r="CF72" i="13"/>
  <c r="CF71" i="13"/>
  <c r="CF68" i="13"/>
  <c r="CF67" i="13"/>
  <c r="CF66" i="13"/>
  <c r="CF63" i="13"/>
  <c r="BG78" i="13"/>
  <c r="BG73" i="13"/>
  <c r="BG68" i="13"/>
  <c r="BF78" i="13"/>
  <c r="BF77" i="13"/>
  <c r="BF76" i="13"/>
  <c r="BF73" i="13"/>
  <c r="BF72" i="13"/>
  <c r="BF71" i="13"/>
  <c r="BF68" i="13"/>
  <c r="BF67" i="13"/>
  <c r="BF66" i="13"/>
  <c r="BF63" i="13"/>
  <c r="AF78" i="13"/>
  <c r="AF77" i="13"/>
  <c r="AF76" i="13"/>
  <c r="AF73" i="13"/>
  <c r="AF72" i="13"/>
  <c r="AF71" i="13"/>
  <c r="AF68" i="13"/>
  <c r="AF67" i="13"/>
  <c r="AF66" i="13"/>
  <c r="AF63" i="13"/>
  <c r="F77" i="13"/>
  <c r="F72" i="13"/>
  <c r="F67" i="13"/>
  <c r="F76" i="13"/>
  <c r="F71" i="13"/>
  <c r="F66" i="13"/>
  <c r="G78" i="13"/>
  <c r="F78" i="13"/>
  <c r="G73" i="13"/>
  <c r="F73" i="13"/>
  <c r="G68" i="13"/>
  <c r="F68" i="13"/>
  <c r="G63" i="13"/>
  <c r="F63" i="13"/>
  <c r="E96" i="5" l="1"/>
  <c r="AG86" i="13" l="1"/>
  <c r="AG87" i="13"/>
  <c r="BE111" i="13" l="1"/>
  <c r="BE112" i="13"/>
  <c r="AH86" i="13"/>
  <c r="AH87" i="13"/>
  <c r="DA111" i="15"/>
  <c r="DA112" i="15"/>
  <c r="CC111" i="15"/>
  <c r="CC112" i="15"/>
  <c r="BE111" i="15"/>
  <c r="BE112" i="15"/>
  <c r="AG111" i="15"/>
  <c r="AG112" i="15"/>
  <c r="I111" i="15"/>
  <c r="I112" i="15"/>
  <c r="DA86" i="15"/>
  <c r="DA87" i="15"/>
  <c r="CC86" i="15"/>
  <c r="CC87" i="15"/>
  <c r="BE86" i="15"/>
  <c r="BE87" i="15"/>
  <c r="AG86" i="15"/>
  <c r="AG87" i="15"/>
  <c r="I86" i="15"/>
  <c r="I87" i="15"/>
  <c r="DA36" i="15"/>
  <c r="DA37" i="15"/>
  <c r="CC36" i="15"/>
  <c r="CC37" i="15"/>
  <c r="BE36" i="15"/>
  <c r="BE37" i="15"/>
  <c r="AG36" i="15"/>
  <c r="AG37" i="15"/>
  <c r="I36" i="15"/>
  <c r="I37" i="15"/>
  <c r="DA10" i="15"/>
  <c r="DA11" i="15"/>
  <c r="CC10" i="15"/>
  <c r="CC11" i="15"/>
  <c r="BE10" i="15"/>
  <c r="BE11" i="15"/>
  <c r="AG10" i="15"/>
  <c r="AG11" i="15"/>
  <c r="I10" i="15"/>
  <c r="I11" i="15"/>
  <c r="CU138" i="15"/>
  <c r="CU139" i="15"/>
  <c r="CU140" i="15"/>
  <c r="CU141" i="15"/>
  <c r="CU142" i="15"/>
  <c r="CU143" i="15"/>
  <c r="CU144" i="15"/>
  <c r="CU145" i="15"/>
  <c r="CU146" i="15"/>
  <c r="CU147" i="15"/>
  <c r="CU148" i="15"/>
  <c r="CU149" i="15"/>
  <c r="CU150" i="15"/>
  <c r="CU151" i="15"/>
  <c r="CU152" i="15"/>
  <c r="CU153" i="15"/>
  <c r="DA111" i="14"/>
  <c r="DA112" i="14"/>
  <c r="CC111" i="14"/>
  <c r="CC112" i="14"/>
  <c r="BE111" i="14"/>
  <c r="BE112" i="14"/>
  <c r="AG111" i="14"/>
  <c r="AG112" i="14"/>
  <c r="I111" i="14"/>
  <c r="I112" i="14"/>
  <c r="DA86" i="14"/>
  <c r="DA87" i="14"/>
  <c r="CC86" i="14"/>
  <c r="CC87" i="14"/>
  <c r="BE86" i="14"/>
  <c r="BE87" i="14"/>
  <c r="AG86" i="14"/>
  <c r="AG87" i="14"/>
  <c r="I86" i="14"/>
  <c r="I87" i="14"/>
  <c r="DA36" i="14"/>
  <c r="DA37" i="14"/>
  <c r="CC36" i="14"/>
  <c r="CC37" i="14"/>
  <c r="BE36" i="14"/>
  <c r="BE37" i="14"/>
  <c r="AG36" i="14"/>
  <c r="AG37" i="14"/>
  <c r="I36" i="14"/>
  <c r="I37" i="14"/>
  <c r="W59" i="2"/>
  <c r="DA10" i="14"/>
  <c r="DA11" i="14"/>
  <c r="CC10" i="14"/>
  <c r="CC11" i="14"/>
  <c r="BE10" i="14"/>
  <c r="BE11" i="14"/>
  <c r="AG10" i="14"/>
  <c r="AG11" i="14"/>
  <c r="I10" i="14"/>
  <c r="I11" i="14"/>
  <c r="AH111" i="13"/>
  <c r="AH112" i="13"/>
  <c r="DA111" i="13"/>
  <c r="DA112" i="13"/>
  <c r="CC111" i="13"/>
  <c r="CC112" i="13"/>
  <c r="AG111" i="13"/>
  <c r="AG112" i="13"/>
  <c r="I111" i="13"/>
  <c r="I112" i="13"/>
  <c r="DA86" i="13"/>
  <c r="DA87" i="13"/>
  <c r="CC86" i="13"/>
  <c r="CC87" i="13"/>
  <c r="BE86" i="13"/>
  <c r="BE87" i="13"/>
  <c r="I86" i="13"/>
  <c r="I87" i="13"/>
  <c r="DA36" i="13"/>
  <c r="DA37" i="13"/>
  <c r="CC36" i="13"/>
  <c r="CC37" i="13"/>
  <c r="AG36" i="13"/>
  <c r="AG37" i="13"/>
  <c r="I36" i="13"/>
  <c r="I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C10" i="13"/>
  <c r="C11" i="13"/>
  <c r="I10" i="13"/>
  <c r="AG10" i="13" s="1"/>
  <c r="I11" i="13"/>
  <c r="AG11" i="13" s="1"/>
  <c r="W61" i="7"/>
  <c r="R61" i="7"/>
  <c r="W104" i="7"/>
  <c r="R104" i="7"/>
  <c r="BE11" i="13" l="1"/>
  <c r="CC11" i="13"/>
  <c r="DA11" i="13" s="1"/>
  <c r="BE10" i="13"/>
  <c r="CC10" i="13"/>
  <c r="DA10" i="13" s="1"/>
  <c r="G85" i="5"/>
  <c r="D60" i="21" l="1"/>
  <c r="D59" i="21"/>
  <c r="H41" i="21"/>
  <c r="K35" i="20"/>
  <c r="F51" i="5" l="1"/>
  <c r="F65" i="5" l="1"/>
  <c r="W65" i="7" l="1"/>
  <c r="R65" i="7"/>
  <c r="M65" i="7"/>
  <c r="H65" i="7"/>
  <c r="M108" i="7"/>
  <c r="H108" i="7"/>
  <c r="W39" i="3" l="1"/>
  <c r="R39" i="3"/>
  <c r="M39" i="3"/>
  <c r="H39" i="3"/>
  <c r="L46" i="2" l="1"/>
  <c r="K66" i="10"/>
  <c r="L66" i="10"/>
  <c r="R66" i="10"/>
  <c r="S66" i="10"/>
  <c r="T66" i="10"/>
  <c r="K67" i="10"/>
  <c r="L67" i="10"/>
  <c r="R67" i="10"/>
  <c r="S67" i="10"/>
  <c r="T67" i="10"/>
  <c r="J68" i="10"/>
  <c r="K68" i="10"/>
  <c r="L68" i="10"/>
  <c r="R68" i="10"/>
  <c r="S68" i="10"/>
  <c r="T68" i="10"/>
  <c r="J69" i="10"/>
  <c r="K69" i="10"/>
  <c r="L69" i="10"/>
  <c r="R69" i="10"/>
  <c r="S69" i="10"/>
  <c r="T69" i="10"/>
  <c r="J70" i="10"/>
  <c r="K70" i="10"/>
  <c r="L70" i="10"/>
  <c r="R70" i="10"/>
  <c r="S70" i="10"/>
  <c r="T70" i="10"/>
  <c r="J71" i="10"/>
  <c r="K71" i="10"/>
  <c r="L71" i="10"/>
  <c r="R71" i="10"/>
  <c r="S71" i="10"/>
  <c r="T71" i="10"/>
  <c r="J72" i="10"/>
  <c r="K72" i="10"/>
  <c r="L72" i="10"/>
  <c r="R72" i="10"/>
  <c r="S72" i="10"/>
  <c r="T72" i="10"/>
  <c r="J73" i="10"/>
  <c r="K73" i="10"/>
  <c r="L73" i="10"/>
  <c r="R73" i="10"/>
  <c r="S73" i="10"/>
  <c r="T73" i="10"/>
  <c r="J74" i="10"/>
  <c r="K74" i="10"/>
  <c r="L74" i="10"/>
  <c r="R74" i="10"/>
  <c r="S74" i="10"/>
  <c r="T74" i="10"/>
  <c r="J75" i="10"/>
  <c r="K75" i="10"/>
  <c r="L75" i="10"/>
  <c r="R75" i="10"/>
  <c r="S75" i="10"/>
  <c r="T75" i="10"/>
  <c r="J76" i="10"/>
  <c r="K76" i="10"/>
  <c r="L76" i="10"/>
  <c r="R76" i="10"/>
  <c r="S76" i="10"/>
  <c r="T76" i="10"/>
  <c r="J77" i="10"/>
  <c r="K77" i="10"/>
  <c r="L77" i="10"/>
  <c r="R77" i="10"/>
  <c r="S77" i="10"/>
  <c r="T77" i="10"/>
  <c r="J78" i="10"/>
  <c r="K78" i="10"/>
  <c r="L78" i="10"/>
  <c r="R78" i="10"/>
  <c r="S78" i="10"/>
  <c r="T78" i="10"/>
  <c r="J79" i="10"/>
  <c r="K79" i="10"/>
  <c r="L79" i="10"/>
  <c r="R79" i="10"/>
  <c r="S79" i="10"/>
  <c r="T79" i="10"/>
  <c r="J80" i="10"/>
  <c r="K80" i="10"/>
  <c r="L80" i="10"/>
  <c r="R80" i="10"/>
  <c r="S80" i="10"/>
  <c r="T80" i="10"/>
  <c r="T65" i="10"/>
  <c r="S65" i="10"/>
  <c r="R65" i="10"/>
  <c r="P65" i="10"/>
  <c r="O65" i="10"/>
  <c r="N65" i="10"/>
  <c r="M65" i="10"/>
  <c r="L65" i="10"/>
  <c r="K65" i="10"/>
  <c r="J65" i="10"/>
  <c r="J39" i="10"/>
  <c r="K92" i="10"/>
  <c r="L92" i="10"/>
  <c r="Q92" i="10"/>
  <c r="R92" i="10"/>
  <c r="T92" i="10"/>
  <c r="K93" i="10"/>
  <c r="L93" i="10"/>
  <c r="Q93" i="10"/>
  <c r="R93" i="10"/>
  <c r="T93" i="10"/>
  <c r="K94" i="10"/>
  <c r="L94" i="10"/>
  <c r="Q94" i="10"/>
  <c r="R94" i="10"/>
  <c r="T94" i="10"/>
  <c r="K95" i="10"/>
  <c r="L95" i="10"/>
  <c r="Q95" i="10"/>
  <c r="R95" i="10"/>
  <c r="T95" i="10"/>
  <c r="K96" i="10"/>
  <c r="L96" i="10"/>
  <c r="Q96" i="10"/>
  <c r="R96" i="10"/>
  <c r="T96" i="10"/>
  <c r="K97" i="10"/>
  <c r="L97" i="10"/>
  <c r="Q97" i="10"/>
  <c r="R97" i="10"/>
  <c r="T97" i="10"/>
  <c r="K98" i="10"/>
  <c r="L98" i="10"/>
  <c r="Q98" i="10"/>
  <c r="R98" i="10"/>
  <c r="T98" i="10"/>
  <c r="K99" i="10"/>
  <c r="L99" i="10"/>
  <c r="Q99" i="10"/>
  <c r="R99" i="10"/>
  <c r="T99" i="10"/>
  <c r="K100" i="10"/>
  <c r="L100" i="10"/>
  <c r="Q100" i="10"/>
  <c r="R100" i="10"/>
  <c r="T100" i="10"/>
  <c r="K101" i="10"/>
  <c r="L101" i="10"/>
  <c r="Q101" i="10"/>
  <c r="R101" i="10"/>
  <c r="T101" i="10"/>
  <c r="K102" i="10"/>
  <c r="L102" i="10"/>
  <c r="Q102" i="10"/>
  <c r="R102" i="10"/>
  <c r="T102" i="10"/>
  <c r="K103" i="10"/>
  <c r="L103" i="10"/>
  <c r="Q103" i="10"/>
  <c r="R103" i="10"/>
  <c r="T103" i="10"/>
  <c r="K104" i="10"/>
  <c r="L104" i="10"/>
  <c r="Q104" i="10"/>
  <c r="R104" i="10"/>
  <c r="T104" i="10"/>
  <c r="K105" i="10"/>
  <c r="L105" i="10"/>
  <c r="Q105" i="10"/>
  <c r="R105" i="10"/>
  <c r="T105" i="10"/>
  <c r="K106" i="10"/>
  <c r="L106" i="10"/>
  <c r="Q106" i="10"/>
  <c r="R106" i="10"/>
  <c r="T106" i="10"/>
  <c r="T91" i="10"/>
  <c r="S91" i="10"/>
  <c r="R91" i="10"/>
  <c r="Q91" i="10"/>
  <c r="P91" i="10"/>
  <c r="O91" i="10"/>
  <c r="N91" i="10"/>
  <c r="M91" i="10"/>
  <c r="L91" i="10"/>
  <c r="K91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91" i="10"/>
  <c r="Q40" i="10"/>
  <c r="S40" i="10"/>
  <c r="T40" i="10"/>
  <c r="Q41" i="10"/>
  <c r="S41" i="10"/>
  <c r="T41" i="10"/>
  <c r="Q42" i="10"/>
  <c r="S42" i="10"/>
  <c r="T42" i="10"/>
  <c r="Q43" i="10"/>
  <c r="S43" i="10"/>
  <c r="T43" i="10"/>
  <c r="Q44" i="10"/>
  <c r="S44" i="10"/>
  <c r="T44" i="10"/>
  <c r="Q45" i="10"/>
  <c r="S45" i="10"/>
  <c r="T45" i="10"/>
  <c r="Q46" i="10"/>
  <c r="S46" i="10"/>
  <c r="T46" i="10"/>
  <c r="Q47" i="10"/>
  <c r="S47" i="10"/>
  <c r="T47" i="10"/>
  <c r="Q48" i="10"/>
  <c r="S48" i="10"/>
  <c r="T48" i="10"/>
  <c r="Q49" i="10"/>
  <c r="S49" i="10"/>
  <c r="T49" i="10"/>
  <c r="Q50" i="10"/>
  <c r="S50" i="10"/>
  <c r="T50" i="10"/>
  <c r="Q51" i="10"/>
  <c r="S51" i="10"/>
  <c r="T51" i="10"/>
  <c r="Q52" i="10"/>
  <c r="S52" i="10"/>
  <c r="T52" i="10"/>
  <c r="Q53" i="10"/>
  <c r="S53" i="10"/>
  <c r="T53" i="10"/>
  <c r="Q54" i="10"/>
  <c r="S54" i="10"/>
  <c r="T54" i="10"/>
  <c r="T39" i="10"/>
  <c r="S39" i="10"/>
  <c r="Q39" i="10"/>
  <c r="P39" i="10"/>
  <c r="O39" i="10"/>
  <c r="N39" i="10"/>
  <c r="M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39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13" i="10"/>
  <c r="Q14" i="10"/>
  <c r="R14" i="10"/>
  <c r="S14" i="10"/>
  <c r="T14" i="10"/>
  <c r="Q15" i="10"/>
  <c r="R15" i="10"/>
  <c r="S15" i="10"/>
  <c r="T15" i="10"/>
  <c r="R16" i="10"/>
  <c r="S16" i="10"/>
  <c r="T16" i="10"/>
  <c r="Q17" i="10"/>
  <c r="R17" i="10"/>
  <c r="S17" i="10"/>
  <c r="T17" i="10"/>
  <c r="Q18" i="10"/>
  <c r="R18" i="10"/>
  <c r="S18" i="10"/>
  <c r="T18" i="10"/>
  <c r="R19" i="10"/>
  <c r="S19" i="10"/>
  <c r="T19" i="10"/>
  <c r="Q20" i="10"/>
  <c r="R20" i="10"/>
  <c r="S20" i="10"/>
  <c r="T20" i="10"/>
  <c r="Q21" i="10"/>
  <c r="R21" i="10"/>
  <c r="S21" i="10"/>
  <c r="T21" i="10"/>
  <c r="R22" i="10"/>
  <c r="S22" i="10"/>
  <c r="T22" i="10"/>
  <c r="Q23" i="10"/>
  <c r="R23" i="10"/>
  <c r="S23" i="10"/>
  <c r="T23" i="10"/>
  <c r="Q24" i="10"/>
  <c r="R24" i="10"/>
  <c r="S24" i="10"/>
  <c r="T24" i="10"/>
  <c r="R25" i="10"/>
  <c r="S25" i="10"/>
  <c r="T25" i="10"/>
  <c r="Q26" i="10"/>
  <c r="R26" i="10"/>
  <c r="S26" i="10"/>
  <c r="T26" i="10"/>
  <c r="Q27" i="10"/>
  <c r="R27" i="10"/>
  <c r="S27" i="10"/>
  <c r="T27" i="10"/>
  <c r="R28" i="10"/>
  <c r="S28" i="10"/>
  <c r="T28" i="10"/>
  <c r="T13" i="10"/>
  <c r="S13" i="10"/>
  <c r="R13" i="10"/>
  <c r="Q13" i="10"/>
  <c r="N14" i="10"/>
  <c r="O14" i="10"/>
  <c r="P14" i="10"/>
  <c r="N15" i="10"/>
  <c r="O15" i="10"/>
  <c r="P15" i="10"/>
  <c r="N17" i="10"/>
  <c r="O17" i="10"/>
  <c r="P17" i="10"/>
  <c r="N18" i="10"/>
  <c r="O18" i="10"/>
  <c r="P18" i="10"/>
  <c r="N20" i="10"/>
  <c r="O20" i="10"/>
  <c r="P20" i="10"/>
  <c r="N21" i="10"/>
  <c r="O21" i="10"/>
  <c r="P21" i="10"/>
  <c r="N23" i="10"/>
  <c r="O23" i="10"/>
  <c r="P23" i="10"/>
  <c r="N24" i="10"/>
  <c r="O24" i="10"/>
  <c r="P24" i="10"/>
  <c r="N26" i="10"/>
  <c r="O26" i="10"/>
  <c r="P26" i="10"/>
  <c r="N27" i="10"/>
  <c r="O27" i="10"/>
  <c r="P27" i="10"/>
  <c r="P13" i="10"/>
  <c r="O13" i="10"/>
  <c r="N13" i="10"/>
  <c r="E46" i="2"/>
  <c r="M14" i="10"/>
  <c r="M15" i="10"/>
  <c r="M17" i="10"/>
  <c r="M18" i="10"/>
  <c r="M20" i="10"/>
  <c r="M21" i="10"/>
  <c r="M23" i="10"/>
  <c r="M24" i="10"/>
  <c r="M26" i="10"/>
  <c r="M27" i="10"/>
  <c r="M13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13" i="10"/>
  <c r="K23" i="10"/>
  <c r="K24" i="10"/>
  <c r="K25" i="10"/>
  <c r="K26" i="10"/>
  <c r="K27" i="10"/>
  <c r="K28" i="10"/>
  <c r="K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C94" i="10"/>
  <c r="D94" i="10" s="1"/>
  <c r="C95" i="10"/>
  <c r="D95" i="10" s="1"/>
  <c r="C96" i="10"/>
  <c r="D96" i="10" s="1"/>
  <c r="C97" i="10"/>
  <c r="D97" i="10" s="1"/>
  <c r="C98" i="10"/>
  <c r="C99" i="10"/>
  <c r="C100" i="10"/>
  <c r="D100" i="10" s="1"/>
  <c r="C101" i="10"/>
  <c r="D101" i="10" s="1"/>
  <c r="C102" i="10"/>
  <c r="D102" i="10" s="1"/>
  <c r="C103" i="10"/>
  <c r="D103" i="10" s="1"/>
  <c r="C104" i="10"/>
  <c r="C105" i="10"/>
  <c r="D105" i="10" s="1"/>
  <c r="C106" i="10"/>
  <c r="C92" i="10"/>
  <c r="D92" i="10" s="1"/>
  <c r="C93" i="10"/>
  <c r="D93" i="10" s="1"/>
  <c r="C91" i="10"/>
  <c r="D91" i="10" s="1"/>
  <c r="C66" i="10"/>
  <c r="D66" i="10" s="1"/>
  <c r="C67" i="10"/>
  <c r="D67" i="10" s="1"/>
  <c r="C68" i="10"/>
  <c r="D68" i="10" s="1"/>
  <c r="C69" i="10"/>
  <c r="D69" i="10" s="1"/>
  <c r="C70" i="10"/>
  <c r="D70" i="10" s="1"/>
  <c r="C71" i="10"/>
  <c r="D71" i="10" s="1"/>
  <c r="C72" i="10"/>
  <c r="D72" i="10" s="1"/>
  <c r="C73" i="10"/>
  <c r="D73" i="10" s="1"/>
  <c r="C74" i="10"/>
  <c r="C75" i="10"/>
  <c r="D75" i="10" s="1"/>
  <c r="C76" i="10"/>
  <c r="D76" i="10" s="1"/>
  <c r="C77" i="10"/>
  <c r="D77" i="10" s="1"/>
  <c r="C78" i="10"/>
  <c r="D78" i="10" s="1"/>
  <c r="C79" i="10"/>
  <c r="D79" i="10" s="1"/>
  <c r="C80" i="10"/>
  <c r="C65" i="10"/>
  <c r="D65" i="10" s="1"/>
  <c r="C40" i="10"/>
  <c r="D40" i="10" s="1"/>
  <c r="CU114" i="15" s="1"/>
  <c r="C41" i="10"/>
  <c r="D41" i="10" s="1"/>
  <c r="CU115" i="15" s="1"/>
  <c r="C42" i="10"/>
  <c r="D42" i="10" s="1"/>
  <c r="CU116" i="15" s="1"/>
  <c r="C43" i="10"/>
  <c r="D43" i="10" s="1"/>
  <c r="CU117" i="15" s="1"/>
  <c r="C44" i="10"/>
  <c r="D44" i="10" s="1"/>
  <c r="CU118" i="15" s="1"/>
  <c r="C45" i="10"/>
  <c r="D45" i="10" s="1"/>
  <c r="CU119" i="15" s="1"/>
  <c r="C46" i="10"/>
  <c r="D46" i="10" s="1"/>
  <c r="CU120" i="15" s="1"/>
  <c r="C47" i="10"/>
  <c r="D47" i="10" s="1"/>
  <c r="CU121" i="15" s="1"/>
  <c r="C48" i="10"/>
  <c r="D48" i="10" s="1"/>
  <c r="CU122" i="15" s="1"/>
  <c r="C49" i="10"/>
  <c r="D49" i="10" s="1"/>
  <c r="CU123" i="15" s="1"/>
  <c r="C50" i="10"/>
  <c r="D50" i="10" s="1"/>
  <c r="CU124" i="15" s="1"/>
  <c r="C51" i="10"/>
  <c r="D51" i="10" s="1"/>
  <c r="CU125" i="15" s="1"/>
  <c r="C52" i="10"/>
  <c r="D52" i="10" s="1"/>
  <c r="CU126" i="15" s="1"/>
  <c r="C53" i="10"/>
  <c r="D53" i="10" s="1"/>
  <c r="CU127" i="15" s="1"/>
  <c r="C54" i="10"/>
  <c r="D54" i="10" s="1"/>
  <c r="CU128" i="15" s="1"/>
  <c r="C39" i="10"/>
  <c r="D39" i="10" s="1"/>
  <c r="CU113" i="15" s="1"/>
  <c r="C20" i="10"/>
  <c r="D20" i="10" s="1"/>
  <c r="CU95" i="15" s="1"/>
  <c r="C21" i="10"/>
  <c r="D21" i="10" s="1"/>
  <c r="CU96" i="15" s="1"/>
  <c r="C22" i="10"/>
  <c r="D22" i="10" s="1"/>
  <c r="CU97" i="15" s="1"/>
  <c r="C23" i="10"/>
  <c r="D23" i="10" s="1"/>
  <c r="CU98" i="15" s="1"/>
  <c r="C24" i="10"/>
  <c r="D24" i="10" s="1"/>
  <c r="CU99" i="15" s="1"/>
  <c r="C25" i="10"/>
  <c r="D25" i="10" s="1"/>
  <c r="CU100" i="15" s="1"/>
  <c r="C26" i="10"/>
  <c r="D26" i="10" s="1"/>
  <c r="CU101" i="15" s="1"/>
  <c r="C27" i="10"/>
  <c r="D27" i="10" s="1"/>
  <c r="CU102" i="15" s="1"/>
  <c r="C28" i="10"/>
  <c r="D28" i="10" s="1"/>
  <c r="CU103" i="15" s="1"/>
  <c r="C14" i="10"/>
  <c r="D14" i="10" s="1"/>
  <c r="CU89" i="15" s="1"/>
  <c r="C15" i="10"/>
  <c r="D15" i="10" s="1"/>
  <c r="CU90" i="15" s="1"/>
  <c r="C16" i="10"/>
  <c r="D16" i="10" s="1"/>
  <c r="CU91" i="15" s="1"/>
  <c r="C17" i="10"/>
  <c r="D17" i="10" s="1"/>
  <c r="CU92" i="15" s="1"/>
  <c r="C18" i="10"/>
  <c r="D18" i="10" s="1"/>
  <c r="CU93" i="15" s="1"/>
  <c r="C19" i="10"/>
  <c r="D19" i="10" s="1"/>
  <c r="CU94" i="15" s="1"/>
  <c r="C13" i="10"/>
  <c r="D13" i="10" s="1"/>
  <c r="CU88" i="15" s="1"/>
  <c r="D98" i="10"/>
  <c r="D99" i="10"/>
  <c r="D104" i="10"/>
  <c r="D74" i="10"/>
  <c r="D80" i="10"/>
  <c r="C23" i="13" l="1"/>
  <c r="CU23" i="15"/>
  <c r="CU40" i="15"/>
  <c r="C40" i="13"/>
  <c r="E40" i="13" s="1"/>
  <c r="C46" i="13"/>
  <c r="E46" i="13" s="1"/>
  <c r="CU46" i="15"/>
  <c r="C26" i="13"/>
  <c r="CU26" i="15"/>
  <c r="C22" i="13"/>
  <c r="CU22" i="15"/>
  <c r="C18" i="13"/>
  <c r="CU18" i="15"/>
  <c r="C14" i="13"/>
  <c r="CU14" i="15"/>
  <c r="CU39" i="15"/>
  <c r="C39" i="13"/>
  <c r="E39" i="13" s="1"/>
  <c r="C50" i="13"/>
  <c r="E50" i="13" s="1"/>
  <c r="CU50" i="15"/>
  <c r="C42" i="13"/>
  <c r="E42" i="13" s="1"/>
  <c r="CU42" i="15"/>
  <c r="C27" i="13"/>
  <c r="CU27" i="15"/>
  <c r="CU51" i="15"/>
  <c r="C51" i="13"/>
  <c r="E51" i="13" s="1"/>
  <c r="C19" i="13"/>
  <c r="CU19" i="15"/>
  <c r="CU47" i="15"/>
  <c r="C47" i="13"/>
  <c r="E47" i="13" s="1"/>
  <c r="CU21" i="15"/>
  <c r="C21" i="13"/>
  <c r="C45" i="13"/>
  <c r="E45" i="13" s="1"/>
  <c r="CU45" i="15"/>
  <c r="CU25" i="15"/>
  <c r="C25" i="13"/>
  <c r="CU17" i="15"/>
  <c r="C17" i="13"/>
  <c r="CU13" i="15"/>
  <c r="C13" i="13"/>
  <c r="D106" i="10"/>
  <c r="CU53" i="15"/>
  <c r="C49" i="13"/>
  <c r="E49" i="13" s="1"/>
  <c r="CU49" i="15"/>
  <c r="C41" i="13"/>
  <c r="E41" i="13" s="1"/>
  <c r="CU41" i="15"/>
  <c r="C15" i="13"/>
  <c r="CU15" i="15"/>
  <c r="CU43" i="15"/>
  <c r="C43" i="13"/>
  <c r="E43" i="13" s="1"/>
  <c r="C12" i="13"/>
  <c r="CU12" i="15"/>
  <c r="CU24" i="15"/>
  <c r="C24" i="13"/>
  <c r="C20" i="13"/>
  <c r="CU20" i="15"/>
  <c r="CU16" i="15"/>
  <c r="C16" i="13"/>
  <c r="C38" i="13"/>
  <c r="E38" i="13" s="1"/>
  <c r="CU38" i="15"/>
  <c r="C52" i="13"/>
  <c r="E52" i="13" s="1"/>
  <c r="CU52" i="15"/>
  <c r="C48" i="13"/>
  <c r="E48" i="13" s="1"/>
  <c r="CU48" i="15"/>
  <c r="CU44" i="15"/>
  <c r="C44" i="13"/>
  <c r="E44" i="13" s="1"/>
  <c r="U23" i="10"/>
  <c r="U26" i="10"/>
  <c r="AG101" i="16" s="1"/>
  <c r="AG98" i="13"/>
  <c r="AI98" i="13" s="1"/>
  <c r="CC98" i="15"/>
  <c r="AG98" i="15"/>
  <c r="CC98" i="14"/>
  <c r="AG98" i="14"/>
  <c r="I98" i="13"/>
  <c r="DA98" i="15"/>
  <c r="I98" i="15"/>
  <c r="DA98" i="13"/>
  <c r="CC98" i="13"/>
  <c r="BE98" i="15"/>
  <c r="DA98" i="14"/>
  <c r="BE98" i="14"/>
  <c r="I98" i="14"/>
  <c r="BE98" i="13"/>
  <c r="BG98" i="13" s="1"/>
  <c r="U27" i="10"/>
  <c r="BE102" i="16" s="1"/>
  <c r="U13" i="10"/>
  <c r="CC88" i="16" s="1"/>
  <c r="J10" i="2"/>
  <c r="DA98" i="16"/>
  <c r="CC98" i="16"/>
  <c r="BE98" i="16"/>
  <c r="AG98" i="16"/>
  <c r="I98" i="16"/>
  <c r="CC102" i="16"/>
  <c r="AG102" i="16"/>
  <c r="DA88" i="16"/>
  <c r="AG88" i="16"/>
  <c r="I88" i="16"/>
  <c r="L14" i="10"/>
  <c r="L15" i="10"/>
  <c r="U24" i="10"/>
  <c r="U91" i="10"/>
  <c r="Q10" i="2"/>
  <c r="X10" i="2"/>
  <c r="AE10" i="2"/>
  <c r="I102" i="16" l="1"/>
  <c r="DA102" i="16"/>
  <c r="CC101" i="16"/>
  <c r="C53" i="13"/>
  <c r="E53" i="13" s="1"/>
  <c r="CV53" i="15"/>
  <c r="BE101" i="16"/>
  <c r="I101" i="16"/>
  <c r="DA101" i="16"/>
  <c r="BE88" i="16"/>
  <c r="CC38" i="15"/>
  <c r="AG38" i="15"/>
  <c r="CC38" i="14"/>
  <c r="AG38" i="14"/>
  <c r="CC38" i="13"/>
  <c r="I38" i="13"/>
  <c r="DA38" i="13"/>
  <c r="AG38" i="13"/>
  <c r="BE38" i="14"/>
  <c r="I38" i="14"/>
  <c r="DA38" i="15"/>
  <c r="BE38" i="15"/>
  <c r="I38" i="15"/>
  <c r="DA38" i="14"/>
  <c r="AG99" i="13"/>
  <c r="AI99" i="13" s="1"/>
  <c r="CC99" i="15"/>
  <c r="AG99" i="15"/>
  <c r="CC99" i="14"/>
  <c r="AG99" i="14"/>
  <c r="I99" i="13"/>
  <c r="DA99" i="13"/>
  <c r="CC99" i="13"/>
  <c r="DA99" i="15"/>
  <c r="BE99" i="15"/>
  <c r="DA99" i="14"/>
  <c r="I99" i="14"/>
  <c r="BE99" i="13"/>
  <c r="BG99" i="13" s="1"/>
  <c r="I99" i="15"/>
  <c r="BE99" i="14"/>
  <c r="AG88" i="13"/>
  <c r="DA88" i="15"/>
  <c r="BE88" i="15"/>
  <c r="I88" i="15"/>
  <c r="DA88" i="14"/>
  <c r="BE88" i="14"/>
  <c r="I88" i="14"/>
  <c r="BE88" i="13"/>
  <c r="CC88" i="15"/>
  <c r="AG88" i="15"/>
  <c r="CC88" i="14"/>
  <c r="AG88" i="14"/>
  <c r="I88" i="13"/>
  <c r="DA88" i="13"/>
  <c r="CC88" i="13"/>
  <c r="AG102" i="13"/>
  <c r="AI102" i="13" s="1"/>
  <c r="CC102" i="15"/>
  <c r="AG102" i="15"/>
  <c r="CC102" i="14"/>
  <c r="AG102" i="14"/>
  <c r="I102" i="13"/>
  <c r="BE102" i="15"/>
  <c r="DA102" i="14"/>
  <c r="BE102" i="14"/>
  <c r="DA102" i="13"/>
  <c r="CC102" i="13"/>
  <c r="DA102" i="15"/>
  <c r="I102" i="15"/>
  <c r="I102" i="14"/>
  <c r="BE102" i="13"/>
  <c r="BG102" i="13" s="1"/>
  <c r="AG101" i="13"/>
  <c r="AI101" i="13" s="1"/>
  <c r="DA101" i="13"/>
  <c r="CC101" i="13"/>
  <c r="DA101" i="15"/>
  <c r="BE101" i="15"/>
  <c r="I101" i="15"/>
  <c r="DA101" i="14"/>
  <c r="BE101" i="14"/>
  <c r="I101" i="14"/>
  <c r="BE101" i="13"/>
  <c r="BG101" i="13" s="1"/>
  <c r="AG101" i="14"/>
  <c r="I101" i="13"/>
  <c r="CC101" i="15"/>
  <c r="AG101" i="15"/>
  <c r="CC101" i="14"/>
  <c r="DA99" i="16"/>
  <c r="CC99" i="16"/>
  <c r="BE99" i="16"/>
  <c r="AG99" i="16"/>
  <c r="I99" i="16"/>
  <c r="CC38" i="16"/>
  <c r="BE38" i="16"/>
  <c r="AG38" i="16"/>
  <c r="DA38" i="16"/>
  <c r="I38" i="16"/>
  <c r="CV153" i="16" l="1"/>
  <c r="CU153" i="16"/>
  <c r="CV152" i="16"/>
  <c r="CU152" i="16"/>
  <c r="CV151" i="16"/>
  <c r="CU151" i="16"/>
  <c r="CV150" i="16"/>
  <c r="CU150" i="16"/>
  <c r="CV149" i="16"/>
  <c r="CU149" i="16"/>
  <c r="CV148" i="16"/>
  <c r="CU148" i="16"/>
  <c r="CV147" i="16"/>
  <c r="CU147" i="16"/>
  <c r="CV146" i="16"/>
  <c r="CU146" i="16"/>
  <c r="CV145" i="16"/>
  <c r="CU145" i="16"/>
  <c r="CV144" i="16"/>
  <c r="CU144" i="16"/>
  <c r="CV143" i="16"/>
  <c r="CU143" i="16"/>
  <c r="CV142" i="16"/>
  <c r="CU142" i="16"/>
  <c r="CV141" i="16"/>
  <c r="CU141" i="16"/>
  <c r="CV140" i="16"/>
  <c r="CU140" i="16"/>
  <c r="CV139" i="16"/>
  <c r="CU139" i="16"/>
  <c r="CV138" i="16"/>
  <c r="CU138" i="16"/>
  <c r="DA136" i="16"/>
  <c r="CZ136" i="16"/>
  <c r="BX153" i="16"/>
  <c r="BW153" i="16"/>
  <c r="BX152" i="16"/>
  <c r="BW152" i="16"/>
  <c r="BX151" i="16"/>
  <c r="BW151" i="16"/>
  <c r="BX150" i="16"/>
  <c r="BW150" i="16"/>
  <c r="BX149" i="16"/>
  <c r="BW149" i="16"/>
  <c r="BX148" i="16"/>
  <c r="BW148" i="16"/>
  <c r="BX147" i="16"/>
  <c r="BW147" i="16"/>
  <c r="BX146" i="16"/>
  <c r="BW146" i="16"/>
  <c r="BX145" i="16"/>
  <c r="BW145" i="16"/>
  <c r="BX144" i="16"/>
  <c r="BW144" i="16"/>
  <c r="BX143" i="16"/>
  <c r="BW143" i="16"/>
  <c r="BX142" i="16"/>
  <c r="BW142" i="16"/>
  <c r="BX141" i="16"/>
  <c r="BW141" i="16"/>
  <c r="BX140" i="16"/>
  <c r="BW140" i="16"/>
  <c r="BX139" i="16"/>
  <c r="BW139" i="16"/>
  <c r="BX138" i="16"/>
  <c r="BW138" i="16"/>
  <c r="CC136" i="16"/>
  <c r="CB136" i="16"/>
  <c r="AZ153" i="16"/>
  <c r="AY153" i="16"/>
  <c r="AZ152" i="16"/>
  <c r="AY152" i="16"/>
  <c r="AZ151" i="16"/>
  <c r="AY151" i="16"/>
  <c r="AZ150" i="16"/>
  <c r="AY150" i="16"/>
  <c r="AZ149" i="16"/>
  <c r="AY149" i="16"/>
  <c r="AZ148" i="16"/>
  <c r="AY148" i="16"/>
  <c r="AZ147" i="16"/>
  <c r="AY147" i="16"/>
  <c r="AZ146" i="16"/>
  <c r="AY146" i="16"/>
  <c r="AZ145" i="16"/>
  <c r="AY145" i="16"/>
  <c r="AZ144" i="16"/>
  <c r="AY144" i="16"/>
  <c r="AZ143" i="16"/>
  <c r="AY143" i="16"/>
  <c r="AZ142" i="16"/>
  <c r="AY142" i="16"/>
  <c r="AZ141" i="16"/>
  <c r="AY141" i="16"/>
  <c r="AZ140" i="16"/>
  <c r="AY140" i="16"/>
  <c r="AZ139" i="16"/>
  <c r="AY139" i="16"/>
  <c r="AZ138" i="16"/>
  <c r="AY138" i="16"/>
  <c r="BE136" i="16"/>
  <c r="BD136" i="16"/>
  <c r="AB153" i="16"/>
  <c r="AA153" i="16"/>
  <c r="AB152" i="16"/>
  <c r="AA152" i="16"/>
  <c r="AB151" i="16"/>
  <c r="AA151" i="16"/>
  <c r="AB150" i="16"/>
  <c r="AA150" i="16"/>
  <c r="AB149" i="16"/>
  <c r="AA149" i="16"/>
  <c r="AB148" i="16"/>
  <c r="AA148" i="16"/>
  <c r="AB147" i="16"/>
  <c r="AA147" i="16"/>
  <c r="AB146" i="16"/>
  <c r="AA146" i="16"/>
  <c r="AB145" i="16"/>
  <c r="AA145" i="16"/>
  <c r="AB144" i="16"/>
  <c r="AA144" i="16"/>
  <c r="AB143" i="16"/>
  <c r="AA143" i="16"/>
  <c r="AB142" i="16"/>
  <c r="AA142" i="16"/>
  <c r="AB141" i="16"/>
  <c r="AA141" i="16"/>
  <c r="AB140" i="16"/>
  <c r="AA140" i="16"/>
  <c r="AB139" i="16"/>
  <c r="AA139" i="16"/>
  <c r="AB138" i="16"/>
  <c r="AA138" i="16"/>
  <c r="AG136" i="16"/>
  <c r="AF136" i="16"/>
  <c r="D153" i="16"/>
  <c r="C153" i="16"/>
  <c r="D152" i="16"/>
  <c r="C152" i="16"/>
  <c r="D151" i="16"/>
  <c r="C151" i="16"/>
  <c r="D150" i="16"/>
  <c r="C150" i="16"/>
  <c r="D149" i="16"/>
  <c r="C149" i="16"/>
  <c r="D148" i="16"/>
  <c r="C148" i="16"/>
  <c r="D147" i="16"/>
  <c r="C147" i="16"/>
  <c r="D146" i="16"/>
  <c r="C146" i="16"/>
  <c r="D145" i="16"/>
  <c r="C145" i="16"/>
  <c r="D144" i="16"/>
  <c r="C144" i="16"/>
  <c r="D143" i="16"/>
  <c r="C143" i="16"/>
  <c r="D142" i="16"/>
  <c r="C142" i="16"/>
  <c r="D141" i="16"/>
  <c r="C141" i="16"/>
  <c r="D140" i="16"/>
  <c r="C140" i="16"/>
  <c r="D139" i="16"/>
  <c r="C139" i="16"/>
  <c r="D138" i="16"/>
  <c r="C138" i="16"/>
  <c r="I136" i="16"/>
  <c r="H136" i="16"/>
  <c r="CV153" i="15"/>
  <c r="CV152" i="15"/>
  <c r="CV151" i="15"/>
  <c r="CV150" i="15"/>
  <c r="CV149" i="15"/>
  <c r="CV148" i="15"/>
  <c r="CV147" i="15"/>
  <c r="CV146" i="15"/>
  <c r="CV145" i="15"/>
  <c r="CV144" i="15"/>
  <c r="CV143" i="15"/>
  <c r="CV142" i="15"/>
  <c r="CV141" i="15"/>
  <c r="CV140" i="15"/>
  <c r="CV139" i="15"/>
  <c r="CV138" i="15"/>
  <c r="DA136" i="15"/>
  <c r="CZ136" i="15"/>
  <c r="BX153" i="15"/>
  <c r="BW153" i="15"/>
  <c r="BX152" i="15"/>
  <c r="BW152" i="15"/>
  <c r="BX151" i="15"/>
  <c r="BW151" i="15"/>
  <c r="BX150" i="15"/>
  <c r="BW150" i="15"/>
  <c r="BX149" i="15"/>
  <c r="BW149" i="15"/>
  <c r="BX148" i="15"/>
  <c r="BW148" i="15"/>
  <c r="BX147" i="15"/>
  <c r="BW147" i="15"/>
  <c r="BX146" i="15"/>
  <c r="BW146" i="15"/>
  <c r="BX145" i="15"/>
  <c r="BW145" i="15"/>
  <c r="BX144" i="15"/>
  <c r="BW144" i="15"/>
  <c r="BX143" i="15"/>
  <c r="BW143" i="15"/>
  <c r="BX142" i="15"/>
  <c r="BW142" i="15"/>
  <c r="BX141" i="15"/>
  <c r="BW141" i="15"/>
  <c r="BX140" i="15"/>
  <c r="BW140" i="15"/>
  <c r="BX139" i="15"/>
  <c r="BW139" i="15"/>
  <c r="BX138" i="15"/>
  <c r="BW138" i="15"/>
  <c r="CC136" i="15"/>
  <c r="CB136" i="15"/>
  <c r="AZ153" i="15"/>
  <c r="AY153" i="15"/>
  <c r="AZ152" i="15"/>
  <c r="AY152" i="15"/>
  <c r="AZ151" i="15"/>
  <c r="AY151" i="15"/>
  <c r="AZ150" i="15"/>
  <c r="AY150" i="15"/>
  <c r="AZ149" i="15"/>
  <c r="AY149" i="15"/>
  <c r="AZ148" i="15"/>
  <c r="AY148" i="15"/>
  <c r="AZ147" i="15"/>
  <c r="AY147" i="15"/>
  <c r="AZ146" i="15"/>
  <c r="AY146" i="15"/>
  <c r="AZ145" i="15"/>
  <c r="AY145" i="15"/>
  <c r="AZ144" i="15"/>
  <c r="AY144" i="15"/>
  <c r="AZ143" i="15"/>
  <c r="AY143" i="15"/>
  <c r="AZ142" i="15"/>
  <c r="AY142" i="15"/>
  <c r="AZ141" i="15"/>
  <c r="AY141" i="15"/>
  <c r="AZ140" i="15"/>
  <c r="AY140" i="15"/>
  <c r="AZ139" i="15"/>
  <c r="AY139" i="15"/>
  <c r="AZ138" i="15"/>
  <c r="AY138" i="15"/>
  <c r="BE136" i="15"/>
  <c r="BD136" i="15"/>
  <c r="AB153" i="15"/>
  <c r="AA153" i="15"/>
  <c r="AB152" i="15"/>
  <c r="AA152" i="15"/>
  <c r="AB151" i="15"/>
  <c r="AA151" i="15"/>
  <c r="AB150" i="15"/>
  <c r="AA150" i="15"/>
  <c r="AB149" i="15"/>
  <c r="AA149" i="15"/>
  <c r="AB148" i="15"/>
  <c r="AA148" i="15"/>
  <c r="AB147" i="15"/>
  <c r="AA147" i="15"/>
  <c r="AB146" i="15"/>
  <c r="AA146" i="15"/>
  <c r="AB145" i="15"/>
  <c r="AA145" i="15"/>
  <c r="AB144" i="15"/>
  <c r="AA144" i="15"/>
  <c r="AB143" i="15"/>
  <c r="AA143" i="15"/>
  <c r="AB142" i="15"/>
  <c r="AA142" i="15"/>
  <c r="AB141" i="15"/>
  <c r="AA141" i="15"/>
  <c r="AB140" i="15"/>
  <c r="AA140" i="15"/>
  <c r="AB139" i="15"/>
  <c r="AA139" i="15"/>
  <c r="AB138" i="15"/>
  <c r="AA138" i="15"/>
  <c r="AG136" i="15"/>
  <c r="AF136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38" i="15"/>
  <c r="D153" i="15"/>
  <c r="D152" i="15"/>
  <c r="D151" i="15"/>
  <c r="D150" i="15"/>
  <c r="D149" i="15"/>
  <c r="D148" i="15"/>
  <c r="E148" i="15" s="1"/>
  <c r="D147" i="15"/>
  <c r="D146" i="15"/>
  <c r="D145" i="15"/>
  <c r="D144" i="15"/>
  <c r="D143" i="15"/>
  <c r="D142" i="15"/>
  <c r="E142" i="15" s="1"/>
  <c r="D141" i="15"/>
  <c r="D140" i="15"/>
  <c r="D139" i="15"/>
  <c r="D138" i="15"/>
  <c r="I136" i="15"/>
  <c r="H136" i="15"/>
  <c r="CU139" i="14"/>
  <c r="CU140" i="14"/>
  <c r="CU141" i="14"/>
  <c r="CU142" i="14"/>
  <c r="CU143" i="14"/>
  <c r="CU144" i="14"/>
  <c r="CU145" i="14"/>
  <c r="CU146" i="14"/>
  <c r="CU147" i="14"/>
  <c r="CU148" i="14"/>
  <c r="CU149" i="14"/>
  <c r="CU150" i="14"/>
  <c r="CU151" i="14"/>
  <c r="CU152" i="14"/>
  <c r="CU153" i="14"/>
  <c r="CU138" i="14"/>
  <c r="CV153" i="14"/>
  <c r="CV152" i="14"/>
  <c r="CW152" i="14" s="1"/>
  <c r="CV151" i="14"/>
  <c r="CV150" i="14"/>
  <c r="CV149" i="14"/>
  <c r="CV148" i="14"/>
  <c r="CV147" i="14"/>
  <c r="CV146" i="14"/>
  <c r="CV145" i="14"/>
  <c r="CV144" i="14"/>
  <c r="CV143" i="14"/>
  <c r="CV142" i="14"/>
  <c r="CV141" i="14"/>
  <c r="CV140" i="14"/>
  <c r="CV139" i="14"/>
  <c r="CV138" i="14"/>
  <c r="DA136" i="14"/>
  <c r="CZ136" i="14"/>
  <c r="BW139" i="14"/>
  <c r="BW140" i="14"/>
  <c r="BW141" i="14"/>
  <c r="BW142" i="14"/>
  <c r="BW143" i="14"/>
  <c r="BW144" i="14"/>
  <c r="BW145" i="14"/>
  <c r="BW146" i="14"/>
  <c r="BW147" i="14"/>
  <c r="BW148" i="14"/>
  <c r="BW149" i="14"/>
  <c r="BW150" i="14"/>
  <c r="BW151" i="14"/>
  <c r="BW152" i="14"/>
  <c r="BW153" i="14"/>
  <c r="BW138" i="14"/>
  <c r="BX153" i="14"/>
  <c r="BX152" i="14"/>
  <c r="BY152" i="14" s="1"/>
  <c r="BX151" i="14"/>
  <c r="BX150" i="14"/>
  <c r="BX149" i="14"/>
  <c r="BX148" i="14"/>
  <c r="BX147" i="14"/>
  <c r="BX146" i="14"/>
  <c r="BX145" i="14"/>
  <c r="BX144" i="14"/>
  <c r="BY144" i="14" s="1"/>
  <c r="BX143" i="14"/>
  <c r="BX142" i="14"/>
  <c r="BX141" i="14"/>
  <c r="BX140" i="14"/>
  <c r="BX139" i="14"/>
  <c r="BX138" i="14"/>
  <c r="CC136" i="14"/>
  <c r="CB136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38" i="14"/>
  <c r="AZ153" i="14"/>
  <c r="AZ152" i="14"/>
  <c r="BA152" i="14" s="1"/>
  <c r="AZ151" i="14"/>
  <c r="AZ150" i="14"/>
  <c r="AZ149" i="14"/>
  <c r="AZ148" i="14"/>
  <c r="BA148" i="14" s="1"/>
  <c r="AZ147" i="14"/>
  <c r="AZ146" i="14"/>
  <c r="AZ145" i="14"/>
  <c r="AZ144" i="14"/>
  <c r="BA144" i="14" s="1"/>
  <c r="AZ143" i="14"/>
  <c r="AZ142" i="14"/>
  <c r="AZ141" i="14"/>
  <c r="AZ140" i="14"/>
  <c r="BA140" i="14" s="1"/>
  <c r="AZ139" i="14"/>
  <c r="AZ138" i="14"/>
  <c r="BE136" i="14"/>
  <c r="BD136" i="14"/>
  <c r="Z139" i="14"/>
  <c r="Z140" i="14"/>
  <c r="Z141" i="14"/>
  <c r="Z142" i="14"/>
  <c r="Z143" i="14"/>
  <c r="Z144" i="14"/>
  <c r="Z145" i="14"/>
  <c r="Z146" i="14"/>
  <c r="Z147" i="14"/>
  <c r="Z148" i="14"/>
  <c r="Z149" i="14"/>
  <c r="Z150" i="14"/>
  <c r="Z151" i="14"/>
  <c r="Z152" i="14"/>
  <c r="Z153" i="14"/>
  <c r="Z138" i="14"/>
  <c r="AA153" i="14"/>
  <c r="AA152" i="14"/>
  <c r="AA151" i="14"/>
  <c r="AA150" i="14"/>
  <c r="AA149" i="14"/>
  <c r="AA148" i="14"/>
  <c r="AA147" i="14"/>
  <c r="AA146" i="14"/>
  <c r="AB146" i="14" s="1"/>
  <c r="AA145" i="14"/>
  <c r="AA144" i="14"/>
  <c r="AA143" i="14"/>
  <c r="AA142" i="14"/>
  <c r="AA141" i="14"/>
  <c r="AA140" i="14"/>
  <c r="AA139" i="14"/>
  <c r="AA138" i="14"/>
  <c r="AF136" i="14"/>
  <c r="AE136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38" i="14"/>
  <c r="D139" i="14"/>
  <c r="D140" i="14"/>
  <c r="D141" i="14"/>
  <c r="D142" i="14"/>
  <c r="E142" i="14" s="1"/>
  <c r="D143" i="14"/>
  <c r="D144" i="14"/>
  <c r="D145" i="14"/>
  <c r="D146" i="14"/>
  <c r="E146" i="14" s="1"/>
  <c r="D147" i="14"/>
  <c r="D148" i="14"/>
  <c r="D149" i="14"/>
  <c r="D150" i="14"/>
  <c r="D151" i="14"/>
  <c r="D152" i="14"/>
  <c r="D153" i="14"/>
  <c r="D138" i="14"/>
  <c r="E143" i="14"/>
  <c r="I136" i="14"/>
  <c r="H136" i="14"/>
  <c r="CV139" i="13"/>
  <c r="CV140" i="13"/>
  <c r="CV141" i="13"/>
  <c r="CV142" i="13"/>
  <c r="CV143" i="13"/>
  <c r="CV144" i="13"/>
  <c r="CV145" i="13"/>
  <c r="CV146" i="13"/>
  <c r="CV147" i="13"/>
  <c r="CV148" i="13"/>
  <c r="CV149" i="13"/>
  <c r="CV150" i="13"/>
  <c r="CV151" i="13"/>
  <c r="CV152" i="13"/>
  <c r="CV153" i="13"/>
  <c r="CV138" i="13"/>
  <c r="CU153" i="13"/>
  <c r="CU152" i="13"/>
  <c r="CU151" i="13"/>
  <c r="CU150" i="13"/>
  <c r="CU149" i="13"/>
  <c r="CU148" i="13"/>
  <c r="CU147" i="13"/>
  <c r="CU146" i="13"/>
  <c r="CW146" i="13" s="1"/>
  <c r="CU145" i="13"/>
  <c r="CU144" i="13"/>
  <c r="CU143" i="13"/>
  <c r="CU142" i="13"/>
  <c r="CU141" i="13"/>
  <c r="CU140" i="13"/>
  <c r="CU139" i="13"/>
  <c r="CU138" i="13"/>
  <c r="CW138" i="13" s="1"/>
  <c r="DA136" i="13"/>
  <c r="CZ136" i="13"/>
  <c r="BX139" i="13"/>
  <c r="BX140" i="13"/>
  <c r="BX141" i="13"/>
  <c r="BX142" i="13"/>
  <c r="BX143" i="13"/>
  <c r="BX144" i="13"/>
  <c r="BX145" i="13"/>
  <c r="BX146" i="13"/>
  <c r="BX147" i="13"/>
  <c r="BX148" i="13"/>
  <c r="BX149" i="13"/>
  <c r="BX150" i="13"/>
  <c r="BX151" i="13"/>
  <c r="BX152" i="13"/>
  <c r="BX153" i="13"/>
  <c r="BX138" i="13"/>
  <c r="BW153" i="13"/>
  <c r="BW152" i="13"/>
  <c r="BW151" i="13"/>
  <c r="BW150" i="13"/>
  <c r="BW149" i="13"/>
  <c r="BW148" i="13"/>
  <c r="BW147" i="13"/>
  <c r="BW146" i="13"/>
  <c r="BW145" i="13"/>
  <c r="BW144" i="13"/>
  <c r="BW143" i="13"/>
  <c r="BW142" i="13"/>
  <c r="BW141" i="13"/>
  <c r="BW140" i="13"/>
  <c r="BY140" i="13" s="1"/>
  <c r="BW139" i="13"/>
  <c r="BW138" i="13"/>
  <c r="BY138" i="13" s="1"/>
  <c r="CC136" i="13"/>
  <c r="CB136" i="13"/>
  <c r="AZ139" i="13"/>
  <c r="AZ140" i="13"/>
  <c r="AZ141" i="13"/>
  <c r="AZ142" i="13"/>
  <c r="AZ143" i="13"/>
  <c r="AZ144" i="13"/>
  <c r="AZ145" i="13"/>
  <c r="AZ146" i="13"/>
  <c r="AZ147" i="13"/>
  <c r="AZ148" i="13"/>
  <c r="AZ149" i="13"/>
  <c r="AZ150" i="13"/>
  <c r="AZ151" i="13"/>
  <c r="AZ152" i="13"/>
  <c r="AZ153" i="13"/>
  <c r="AZ138" i="13"/>
  <c r="AY153" i="13"/>
  <c r="AY152" i="13"/>
  <c r="AY151" i="13"/>
  <c r="AY150" i="13"/>
  <c r="BA150" i="13" s="1"/>
  <c r="AY149" i="13"/>
  <c r="AY148" i="13"/>
  <c r="AY147" i="13"/>
  <c r="AY146" i="13"/>
  <c r="BA146" i="13" s="1"/>
  <c r="AY145" i="13"/>
  <c r="AY144" i="13"/>
  <c r="AY143" i="13"/>
  <c r="AY142" i="13"/>
  <c r="BA142" i="13" s="1"/>
  <c r="AY141" i="13"/>
  <c r="AY140" i="13"/>
  <c r="AY139" i="13"/>
  <c r="AY138" i="13"/>
  <c r="BA138" i="13" s="1"/>
  <c r="BE136" i="13"/>
  <c r="BD136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38" i="13"/>
  <c r="AA153" i="13"/>
  <c r="AA152" i="13"/>
  <c r="AA151" i="13"/>
  <c r="AA150" i="13"/>
  <c r="AA149" i="13"/>
  <c r="AA148" i="13"/>
  <c r="AA147" i="13"/>
  <c r="AA146" i="13"/>
  <c r="AC146" i="13" s="1"/>
  <c r="AA145" i="13"/>
  <c r="AA144" i="13"/>
  <c r="AA143" i="13"/>
  <c r="AA142" i="13"/>
  <c r="AC142" i="13" s="1"/>
  <c r="AA141" i="13"/>
  <c r="AA140" i="13"/>
  <c r="AA139" i="13"/>
  <c r="AA138" i="13"/>
  <c r="AC138" i="13" s="1"/>
  <c r="AG136" i="13"/>
  <c r="AF136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38" i="13"/>
  <c r="C139" i="13"/>
  <c r="C140" i="13"/>
  <c r="C141" i="13"/>
  <c r="C142" i="13"/>
  <c r="C143" i="13"/>
  <c r="C144" i="13"/>
  <c r="C145" i="13"/>
  <c r="E145" i="13" s="1"/>
  <c r="C146" i="13"/>
  <c r="C147" i="13"/>
  <c r="C148" i="13"/>
  <c r="C149" i="13"/>
  <c r="C150" i="13"/>
  <c r="C151" i="13"/>
  <c r="C152" i="13"/>
  <c r="C153" i="13"/>
  <c r="E153" i="13" s="1"/>
  <c r="C138" i="13"/>
  <c r="E138" i="13" s="1"/>
  <c r="I136" i="13"/>
  <c r="H136" i="13"/>
  <c r="CU128" i="16"/>
  <c r="CU127" i="16"/>
  <c r="CU126" i="16"/>
  <c r="CU125" i="16"/>
  <c r="CU124" i="16"/>
  <c r="CU123" i="16"/>
  <c r="CU122" i="16"/>
  <c r="CU121" i="16"/>
  <c r="CU120" i="16"/>
  <c r="CU119" i="16"/>
  <c r="CU118" i="16"/>
  <c r="CU117" i="16"/>
  <c r="CU116" i="16"/>
  <c r="CU115" i="16"/>
  <c r="CU114" i="16"/>
  <c r="CU113" i="16"/>
  <c r="BW128" i="16"/>
  <c r="BW127" i="16"/>
  <c r="BW126" i="16"/>
  <c r="BW125" i="16"/>
  <c r="BW124" i="16"/>
  <c r="BW123" i="16"/>
  <c r="BW122" i="16"/>
  <c r="BW121" i="16"/>
  <c r="BW120" i="16"/>
  <c r="BW119" i="16"/>
  <c r="BW118" i="16"/>
  <c r="BW117" i="16"/>
  <c r="BW116" i="16"/>
  <c r="BW115" i="16"/>
  <c r="BW114" i="16"/>
  <c r="BW113" i="16"/>
  <c r="AY128" i="16"/>
  <c r="AY127" i="16"/>
  <c r="AY126" i="16"/>
  <c r="AY125" i="16"/>
  <c r="AY124" i="16"/>
  <c r="AY123" i="16"/>
  <c r="AY122" i="16"/>
  <c r="AY121" i="16"/>
  <c r="AY120" i="16"/>
  <c r="AY119" i="16"/>
  <c r="AY118" i="16"/>
  <c r="AY117" i="16"/>
  <c r="AY116" i="16"/>
  <c r="AY115" i="16"/>
  <c r="AY114" i="16"/>
  <c r="AY113" i="16"/>
  <c r="AA128" i="16"/>
  <c r="AA127" i="16"/>
  <c r="AA126" i="16"/>
  <c r="AA125" i="16"/>
  <c r="AA124" i="16"/>
  <c r="AA123" i="16"/>
  <c r="AA122" i="16"/>
  <c r="AA121" i="16"/>
  <c r="AA120" i="16"/>
  <c r="AA119" i="16"/>
  <c r="AA118" i="16"/>
  <c r="AA117" i="16"/>
  <c r="AA116" i="16"/>
  <c r="AA115" i="16"/>
  <c r="AA114" i="16"/>
  <c r="AA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13" i="16"/>
  <c r="CU53" i="16"/>
  <c r="CU52" i="16"/>
  <c r="CU51" i="16"/>
  <c r="CU50" i="16"/>
  <c r="CU49" i="16"/>
  <c r="CU48" i="16"/>
  <c r="CU47" i="16"/>
  <c r="CU46" i="16"/>
  <c r="CU45" i="16"/>
  <c r="CU44" i="16"/>
  <c r="CU43" i="16"/>
  <c r="CU42" i="16"/>
  <c r="CU41" i="16"/>
  <c r="CU40" i="16"/>
  <c r="CU39" i="16"/>
  <c r="CU38" i="16"/>
  <c r="BW53" i="16"/>
  <c r="BW52" i="16"/>
  <c r="BW51" i="16"/>
  <c r="BW50" i="16"/>
  <c r="BW49" i="16"/>
  <c r="BW48" i="16"/>
  <c r="BW47" i="16"/>
  <c r="BW46" i="16"/>
  <c r="BW45" i="16"/>
  <c r="BW44" i="16"/>
  <c r="BW43" i="16"/>
  <c r="BW42" i="16"/>
  <c r="BW41" i="16"/>
  <c r="BW40" i="16"/>
  <c r="BW39" i="16"/>
  <c r="BW38" i="16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38" i="16"/>
  <c r="CU27" i="16"/>
  <c r="CU26" i="16"/>
  <c r="CU25" i="16"/>
  <c r="CU24" i="16"/>
  <c r="CU23" i="16"/>
  <c r="CU22" i="16"/>
  <c r="CU21" i="16"/>
  <c r="CU20" i="16"/>
  <c r="CU19" i="16"/>
  <c r="CU18" i="16"/>
  <c r="CU17" i="16"/>
  <c r="CU16" i="16"/>
  <c r="CU15" i="16"/>
  <c r="CU14" i="16"/>
  <c r="CU13" i="16"/>
  <c r="CU12" i="16"/>
  <c r="BW27" i="16"/>
  <c r="BW26" i="16"/>
  <c r="BW25" i="16"/>
  <c r="BW24" i="16"/>
  <c r="BW23" i="16"/>
  <c r="BW22" i="16"/>
  <c r="BW21" i="16"/>
  <c r="BW20" i="16"/>
  <c r="BW19" i="16"/>
  <c r="BW18" i="16"/>
  <c r="BW17" i="16"/>
  <c r="BW16" i="16"/>
  <c r="BW15" i="16"/>
  <c r="BW14" i="16"/>
  <c r="BW13" i="16"/>
  <c r="BW12" i="16"/>
  <c r="AY27" i="16"/>
  <c r="AY26" i="16"/>
  <c r="AY25" i="16"/>
  <c r="AY24" i="16"/>
  <c r="AY23" i="16"/>
  <c r="AY22" i="16"/>
  <c r="AY21" i="16"/>
  <c r="AY20" i="16"/>
  <c r="AY19" i="16"/>
  <c r="AY18" i="16"/>
  <c r="AY17" i="16"/>
  <c r="AY16" i="16"/>
  <c r="AY15" i="16"/>
  <c r="AY14" i="16"/>
  <c r="AY13" i="16"/>
  <c r="AY12" i="16"/>
  <c r="AA27" i="16"/>
  <c r="AA26" i="16"/>
  <c r="AA25" i="16"/>
  <c r="AA24" i="16"/>
  <c r="AA23" i="16"/>
  <c r="AA22" i="16"/>
  <c r="AA21" i="16"/>
  <c r="AA20" i="16"/>
  <c r="AA19" i="16"/>
  <c r="AA18" i="16"/>
  <c r="AA17" i="16"/>
  <c r="AA16" i="16"/>
  <c r="AA15" i="16"/>
  <c r="AA14" i="16"/>
  <c r="AA13" i="16"/>
  <c r="AA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12" i="16"/>
  <c r="BW128" i="15"/>
  <c r="BW127" i="15"/>
  <c r="BW126" i="15"/>
  <c r="BW125" i="15"/>
  <c r="BW124" i="15"/>
  <c r="BW123" i="15"/>
  <c r="BW122" i="15"/>
  <c r="BW121" i="15"/>
  <c r="BW120" i="15"/>
  <c r="BW119" i="15"/>
  <c r="BW118" i="15"/>
  <c r="BW117" i="15"/>
  <c r="BW116" i="15"/>
  <c r="BW115" i="15"/>
  <c r="BW114" i="15"/>
  <c r="BW113" i="15"/>
  <c r="AY128" i="15"/>
  <c r="AY127" i="15"/>
  <c r="AY126" i="15"/>
  <c r="AY125" i="15"/>
  <c r="AY124" i="15"/>
  <c r="AY123" i="15"/>
  <c r="AY122" i="15"/>
  <c r="AY121" i="15"/>
  <c r="AY120" i="15"/>
  <c r="AY119" i="15"/>
  <c r="AY118" i="15"/>
  <c r="AY117" i="15"/>
  <c r="AY116" i="15"/>
  <c r="AY115" i="15"/>
  <c r="AY114" i="15"/>
  <c r="AY113" i="15"/>
  <c r="AA128" i="15"/>
  <c r="AA127" i="15"/>
  <c r="AA126" i="15"/>
  <c r="AA125" i="15"/>
  <c r="AA124" i="15"/>
  <c r="AA123" i="15"/>
  <c r="AA122" i="15"/>
  <c r="AA121" i="15"/>
  <c r="AA120" i="15"/>
  <c r="AA119" i="15"/>
  <c r="AA118" i="15"/>
  <c r="AA117" i="15"/>
  <c r="AA116" i="15"/>
  <c r="AA115" i="15"/>
  <c r="AA114" i="15"/>
  <c r="AA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13" i="15"/>
  <c r="BW53" i="15"/>
  <c r="BW52" i="15"/>
  <c r="BW51" i="15"/>
  <c r="BW50" i="15"/>
  <c r="BW49" i="15"/>
  <c r="BW48" i="15"/>
  <c r="BW47" i="15"/>
  <c r="BW46" i="15"/>
  <c r="BW45" i="15"/>
  <c r="BW44" i="15"/>
  <c r="BW43" i="15"/>
  <c r="BW42" i="15"/>
  <c r="BW41" i="15"/>
  <c r="BW40" i="15"/>
  <c r="BW39" i="15"/>
  <c r="BW38" i="15"/>
  <c r="AY53" i="15"/>
  <c r="AY52" i="15"/>
  <c r="AY51" i="15"/>
  <c r="AY50" i="15"/>
  <c r="AY49" i="15"/>
  <c r="AY48" i="15"/>
  <c r="AY47" i="15"/>
  <c r="AY46" i="15"/>
  <c r="AY45" i="15"/>
  <c r="AY44" i="15"/>
  <c r="AY43" i="15"/>
  <c r="AY42" i="15"/>
  <c r="AY41" i="15"/>
  <c r="AY40" i="15"/>
  <c r="AY39" i="15"/>
  <c r="AY38" i="15"/>
  <c r="AA53" i="15"/>
  <c r="AA52" i="15"/>
  <c r="AA51" i="15"/>
  <c r="AA50" i="15"/>
  <c r="AA49" i="15"/>
  <c r="AA48" i="15"/>
  <c r="AA47" i="15"/>
  <c r="AA46" i="15"/>
  <c r="AA45" i="15"/>
  <c r="AA44" i="15"/>
  <c r="AA43" i="15"/>
  <c r="AA42" i="15"/>
  <c r="AA41" i="15"/>
  <c r="AA40" i="15"/>
  <c r="AA39" i="15"/>
  <c r="AA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38" i="15"/>
  <c r="BW27" i="15"/>
  <c r="BW26" i="15"/>
  <c r="BW25" i="15"/>
  <c r="BW24" i="15"/>
  <c r="BW23" i="15"/>
  <c r="BW22" i="15"/>
  <c r="BW21" i="15"/>
  <c r="BW20" i="15"/>
  <c r="BW19" i="15"/>
  <c r="BW18" i="15"/>
  <c r="BW17" i="15"/>
  <c r="BW16" i="15"/>
  <c r="BW15" i="15"/>
  <c r="BW14" i="15"/>
  <c r="BW13" i="15"/>
  <c r="BW12" i="15"/>
  <c r="AY27" i="15"/>
  <c r="AY26" i="15"/>
  <c r="AY25" i="15"/>
  <c r="AY24" i="15"/>
  <c r="AY23" i="15"/>
  <c r="AY22" i="15"/>
  <c r="AY21" i="15"/>
  <c r="AY20" i="15"/>
  <c r="AY19" i="15"/>
  <c r="AY18" i="15"/>
  <c r="AY17" i="15"/>
  <c r="AY16" i="15"/>
  <c r="AY15" i="15"/>
  <c r="AY14" i="15"/>
  <c r="AY13" i="15"/>
  <c r="AY12" i="15"/>
  <c r="AA27" i="15"/>
  <c r="AA26" i="15"/>
  <c r="AA25" i="15"/>
  <c r="AA24" i="15"/>
  <c r="AA23" i="15"/>
  <c r="AA22" i="15"/>
  <c r="AA21" i="15"/>
  <c r="AA20" i="15"/>
  <c r="AA19" i="15"/>
  <c r="AA18" i="15"/>
  <c r="AA17" i="15"/>
  <c r="AA16" i="15"/>
  <c r="AA15" i="15"/>
  <c r="AA14" i="15"/>
  <c r="AA13" i="15"/>
  <c r="AA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12" i="15"/>
  <c r="CU114" i="14"/>
  <c r="CU115" i="14"/>
  <c r="CU116" i="14"/>
  <c r="CU117" i="14"/>
  <c r="CU118" i="14"/>
  <c r="CU119" i="14"/>
  <c r="CU120" i="14"/>
  <c r="CU121" i="14"/>
  <c r="CU122" i="14"/>
  <c r="CU123" i="14"/>
  <c r="CU124" i="14"/>
  <c r="CU125" i="14"/>
  <c r="CU126" i="14"/>
  <c r="CU127" i="14"/>
  <c r="CU128" i="14"/>
  <c r="CU113" i="14"/>
  <c r="BW114" i="14"/>
  <c r="BW115" i="14"/>
  <c r="BW116" i="14"/>
  <c r="BW117" i="14"/>
  <c r="BW118" i="14"/>
  <c r="BW119" i="14"/>
  <c r="BW120" i="14"/>
  <c r="BW121" i="14"/>
  <c r="BW122" i="14"/>
  <c r="BW123" i="14"/>
  <c r="BW124" i="14"/>
  <c r="BW125" i="14"/>
  <c r="BW126" i="14"/>
  <c r="BW127" i="14"/>
  <c r="BW128" i="14"/>
  <c r="BW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13" i="14"/>
  <c r="AA114" i="14"/>
  <c r="AA115" i="14"/>
  <c r="AA116" i="14"/>
  <c r="AA117" i="14"/>
  <c r="AA118" i="14"/>
  <c r="AA119" i="14"/>
  <c r="AA120" i="14"/>
  <c r="AA121" i="14"/>
  <c r="AA122" i="14"/>
  <c r="AA123" i="14"/>
  <c r="AA124" i="14"/>
  <c r="AA125" i="14"/>
  <c r="AA126" i="14"/>
  <c r="AA127" i="14"/>
  <c r="AA128" i="14"/>
  <c r="AA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13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52" i="14"/>
  <c r="CU53" i="14"/>
  <c r="CU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38" i="14"/>
  <c r="C13" i="14"/>
  <c r="AA13" i="14" s="1"/>
  <c r="C14" i="14"/>
  <c r="AY14" i="14" s="1"/>
  <c r="C15" i="14"/>
  <c r="BW15" i="14" s="1"/>
  <c r="C16" i="14"/>
  <c r="CU16" i="14" s="1"/>
  <c r="C17" i="14"/>
  <c r="C18" i="14"/>
  <c r="C19" i="14"/>
  <c r="C20" i="14"/>
  <c r="C21" i="14"/>
  <c r="C22" i="14"/>
  <c r="C23" i="14"/>
  <c r="C24" i="14"/>
  <c r="C25" i="14"/>
  <c r="C26" i="14"/>
  <c r="C27" i="14"/>
  <c r="C12" i="14"/>
  <c r="AY12" i="14" s="1"/>
  <c r="CV89" i="13"/>
  <c r="CV90" i="13"/>
  <c r="CV91" i="13"/>
  <c r="CV92" i="13"/>
  <c r="CV93" i="13"/>
  <c r="CV94" i="13"/>
  <c r="CV95" i="13"/>
  <c r="CV96" i="13"/>
  <c r="CV97" i="13"/>
  <c r="CV98" i="13"/>
  <c r="CV99" i="13"/>
  <c r="CV100" i="13"/>
  <c r="CV101" i="13"/>
  <c r="CV102" i="13"/>
  <c r="CV103" i="13"/>
  <c r="CV88" i="13"/>
  <c r="BX89" i="13"/>
  <c r="BX90" i="13"/>
  <c r="BX91" i="13"/>
  <c r="BX92" i="13"/>
  <c r="BX93" i="13"/>
  <c r="BX94" i="13"/>
  <c r="BX95" i="13"/>
  <c r="BX96" i="13"/>
  <c r="BX97" i="13"/>
  <c r="BX98" i="13"/>
  <c r="BX99" i="13"/>
  <c r="BX100" i="13"/>
  <c r="BX101" i="13"/>
  <c r="BX102" i="13"/>
  <c r="BX103" i="13"/>
  <c r="BX88" i="13"/>
  <c r="AZ89" i="13"/>
  <c r="AZ90" i="13"/>
  <c r="AZ91" i="13"/>
  <c r="AZ92" i="13"/>
  <c r="AZ93" i="13"/>
  <c r="AZ94" i="13"/>
  <c r="AZ95" i="13"/>
  <c r="AZ96" i="13"/>
  <c r="AZ97" i="13"/>
  <c r="AZ98" i="13"/>
  <c r="AZ99" i="13"/>
  <c r="AZ100" i="13"/>
  <c r="AZ101" i="13"/>
  <c r="AZ102" i="13"/>
  <c r="AZ103" i="13"/>
  <c r="AZ88" i="13"/>
  <c r="AB89" i="13"/>
  <c r="AB90" i="13"/>
  <c r="AB91" i="13"/>
  <c r="AB92" i="13"/>
  <c r="AB93" i="13"/>
  <c r="AB94" i="13"/>
  <c r="AB95" i="13"/>
  <c r="AB96" i="13"/>
  <c r="AB97" i="13"/>
  <c r="AB98" i="13"/>
  <c r="AB99" i="13"/>
  <c r="AB100" i="13"/>
  <c r="AB101" i="13"/>
  <c r="AB102" i="13"/>
  <c r="AB103" i="13"/>
  <c r="AB88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CV39" i="13"/>
  <c r="CV40" i="13"/>
  <c r="CV41" i="13"/>
  <c r="CV42" i="13"/>
  <c r="CV43" i="13"/>
  <c r="CV44" i="13"/>
  <c r="CV45" i="13"/>
  <c r="CV46" i="13"/>
  <c r="CV47" i="13"/>
  <c r="CV48" i="13"/>
  <c r="CV49" i="13"/>
  <c r="CV50" i="13"/>
  <c r="CV51" i="13"/>
  <c r="CV52" i="13"/>
  <c r="CV53" i="13"/>
  <c r="CV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38" i="13"/>
  <c r="AZ39" i="13"/>
  <c r="AZ40" i="13"/>
  <c r="AZ41" i="13"/>
  <c r="AZ42" i="13"/>
  <c r="AZ43" i="13"/>
  <c r="AZ44" i="13"/>
  <c r="AZ45" i="13"/>
  <c r="AZ46" i="13"/>
  <c r="AZ47" i="13"/>
  <c r="AZ48" i="13"/>
  <c r="AZ49" i="13"/>
  <c r="AZ50" i="13"/>
  <c r="AZ51" i="13"/>
  <c r="AZ52" i="13"/>
  <c r="AZ53" i="13"/>
  <c r="AZ38" i="13"/>
  <c r="AB39" i="13"/>
  <c r="AB40" i="13"/>
  <c r="AB41" i="13"/>
  <c r="AB42" i="13"/>
  <c r="AB43" i="13"/>
  <c r="AB44" i="13"/>
  <c r="AB45" i="13"/>
  <c r="AB46" i="13"/>
  <c r="AB47" i="13"/>
  <c r="AB48" i="13"/>
  <c r="AB49" i="13"/>
  <c r="AB50" i="13"/>
  <c r="AB51" i="13"/>
  <c r="AB52" i="13"/>
  <c r="AB53" i="13"/>
  <c r="AB38" i="13"/>
  <c r="CV13" i="13"/>
  <c r="CV14" i="13"/>
  <c r="CV15" i="13"/>
  <c r="CV16" i="13"/>
  <c r="CV17" i="13"/>
  <c r="CV18" i="13"/>
  <c r="CV19" i="13"/>
  <c r="CV20" i="13"/>
  <c r="CV21" i="13"/>
  <c r="CV22" i="13"/>
  <c r="CV23" i="13"/>
  <c r="CV24" i="13"/>
  <c r="CV25" i="13"/>
  <c r="CV26" i="13"/>
  <c r="CV27" i="13"/>
  <c r="CV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12" i="13"/>
  <c r="AZ13" i="13"/>
  <c r="AZ14" i="13"/>
  <c r="AZ15" i="13"/>
  <c r="AZ16" i="13"/>
  <c r="AZ17" i="13"/>
  <c r="AZ18" i="13"/>
  <c r="AZ19" i="13"/>
  <c r="AZ20" i="13"/>
  <c r="AZ21" i="13"/>
  <c r="AZ22" i="13"/>
  <c r="AZ23" i="13"/>
  <c r="AZ24" i="13"/>
  <c r="AZ25" i="13"/>
  <c r="AZ26" i="13"/>
  <c r="AZ27" i="13"/>
  <c r="AZ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12" i="13"/>
  <c r="C114" i="13"/>
  <c r="AA114" i="13" s="1"/>
  <c r="C115" i="13"/>
  <c r="AA115" i="13" s="1"/>
  <c r="C116" i="13"/>
  <c r="AA116" i="13" s="1"/>
  <c r="C117" i="13"/>
  <c r="AA117" i="13" s="1"/>
  <c r="C118" i="13"/>
  <c r="C119" i="13"/>
  <c r="BW119" i="13" s="1"/>
  <c r="C120" i="13"/>
  <c r="AA120" i="13" s="1"/>
  <c r="C121" i="13"/>
  <c r="BW121" i="13" s="1"/>
  <c r="C122" i="13"/>
  <c r="C123" i="13"/>
  <c r="AA123" i="13" s="1"/>
  <c r="C124" i="13"/>
  <c r="AA124" i="13" s="1"/>
  <c r="C125" i="13"/>
  <c r="CU125" i="13" s="1"/>
  <c r="C126" i="13"/>
  <c r="C127" i="13"/>
  <c r="CU127" i="13" s="1"/>
  <c r="C128" i="13"/>
  <c r="AA128" i="13" s="1"/>
  <c r="C113" i="13"/>
  <c r="AA113" i="13" s="1"/>
  <c r="AA39" i="13"/>
  <c r="AA40" i="13"/>
  <c r="AA41" i="13"/>
  <c r="AA42" i="13"/>
  <c r="AA43" i="13"/>
  <c r="AA44" i="13"/>
  <c r="AA45" i="13"/>
  <c r="AA46" i="13"/>
  <c r="AA47" i="13"/>
  <c r="CU48" i="13"/>
  <c r="AA49" i="13"/>
  <c r="CU50" i="13"/>
  <c r="CU52" i="13"/>
  <c r="AA53" i="13"/>
  <c r="AA38" i="13"/>
  <c r="CU13" i="13"/>
  <c r="BW14" i="13"/>
  <c r="CU15" i="13"/>
  <c r="CU16" i="13"/>
  <c r="BW17" i="13"/>
  <c r="CU18" i="13"/>
  <c r="CU19" i="13"/>
  <c r="CU20" i="13"/>
  <c r="BW21" i="13"/>
  <c r="BW22" i="13"/>
  <c r="CU23" i="13"/>
  <c r="CU24" i="13"/>
  <c r="AY25" i="13"/>
  <c r="AY26" i="13"/>
  <c r="CU27" i="13"/>
  <c r="CU12" i="13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6" i="22"/>
  <c r="E139" i="15" l="1"/>
  <c r="BY148" i="14"/>
  <c r="AA12" i="14"/>
  <c r="CU12" i="14"/>
  <c r="CW150" i="13"/>
  <c r="BA142" i="15"/>
  <c r="BA144" i="15"/>
  <c r="AC140" i="16"/>
  <c r="AC142" i="16"/>
  <c r="AC144" i="16"/>
  <c r="AC146" i="16"/>
  <c r="AC148" i="16"/>
  <c r="AC150" i="16"/>
  <c r="AC152" i="16"/>
  <c r="AA15" i="14"/>
  <c r="CU15" i="14"/>
  <c r="BY147" i="14"/>
  <c r="BY151" i="14"/>
  <c r="CW141" i="14"/>
  <c r="CW153" i="14"/>
  <c r="CW142" i="15"/>
  <c r="CW144" i="15"/>
  <c r="E149" i="16"/>
  <c r="E153" i="16"/>
  <c r="BY153" i="13"/>
  <c r="CU14" i="14"/>
  <c r="AY128" i="13"/>
  <c r="AY15" i="14"/>
  <c r="BW124" i="13"/>
  <c r="AY49" i="13"/>
  <c r="BW46" i="13"/>
  <c r="AY38" i="13"/>
  <c r="AY53" i="13"/>
  <c r="BW49" i="13"/>
  <c r="CU46" i="13"/>
  <c r="AA125" i="13"/>
  <c r="AY117" i="13"/>
  <c r="BW113" i="13"/>
  <c r="BW128" i="13"/>
  <c r="CU124" i="13"/>
  <c r="AA14" i="14"/>
  <c r="BW14" i="14"/>
  <c r="CU42" i="13"/>
  <c r="AY113" i="13"/>
  <c r="CU121" i="13"/>
  <c r="AY42" i="13"/>
  <c r="BW38" i="13"/>
  <c r="BW53" i="13"/>
  <c r="CU49" i="13"/>
  <c r="AA121" i="13"/>
  <c r="AY121" i="13"/>
  <c r="BW117" i="13"/>
  <c r="CU113" i="13"/>
  <c r="CU128" i="13"/>
  <c r="AY46" i="13"/>
  <c r="BW42" i="13"/>
  <c r="CU38" i="13"/>
  <c r="CU53" i="13"/>
  <c r="AY124" i="13"/>
  <c r="CU117" i="13"/>
  <c r="E152" i="13"/>
  <c r="E148" i="13"/>
  <c r="E144" i="13"/>
  <c r="E140" i="13"/>
  <c r="CW143" i="14"/>
  <c r="BA143" i="14"/>
  <c r="BA146" i="15"/>
  <c r="AC138" i="16"/>
  <c r="BY138" i="16"/>
  <c r="CW140" i="14"/>
  <c r="BY139" i="13"/>
  <c r="BY143" i="13"/>
  <c r="BY147" i="13"/>
  <c r="BY151" i="13"/>
  <c r="CW141" i="13"/>
  <c r="CW145" i="13"/>
  <c r="CW147" i="14"/>
  <c r="BA148" i="15"/>
  <c r="CW138" i="15"/>
  <c r="CW146" i="15"/>
  <c r="CW148" i="15"/>
  <c r="BY140" i="16"/>
  <c r="BY142" i="16"/>
  <c r="BY144" i="16"/>
  <c r="BY148" i="16"/>
  <c r="BY152" i="16"/>
  <c r="CW153" i="16"/>
  <c r="BY140" i="14"/>
  <c r="AC139" i="15"/>
  <c r="BA150" i="15"/>
  <c r="BA152" i="15"/>
  <c r="CW150" i="15"/>
  <c r="CW141" i="16"/>
  <c r="AB153" i="14"/>
  <c r="AB145" i="14"/>
  <c r="E146" i="15"/>
  <c r="AC141" i="13"/>
  <c r="AC145" i="13"/>
  <c r="AC149" i="13"/>
  <c r="AC153" i="13"/>
  <c r="BA139" i="13"/>
  <c r="BA143" i="13"/>
  <c r="BA147" i="13"/>
  <c r="BA151" i="13"/>
  <c r="BY145" i="13"/>
  <c r="BY149" i="13"/>
  <c r="E144" i="14"/>
  <c r="E144" i="15"/>
  <c r="AC138" i="15"/>
  <c r="AC144" i="15"/>
  <c r="BY142" i="15"/>
  <c r="BY144" i="15"/>
  <c r="BY146" i="15"/>
  <c r="BY148" i="15"/>
  <c r="BY150" i="15"/>
  <c r="BY152" i="15"/>
  <c r="E144" i="16"/>
  <c r="E148" i="16"/>
  <c r="BA138" i="16"/>
  <c r="BA144" i="16"/>
  <c r="BA148" i="16"/>
  <c r="BA152" i="16"/>
  <c r="CW138" i="16"/>
  <c r="CW148" i="16"/>
  <c r="CW150" i="16"/>
  <c r="E150" i="15"/>
  <c r="E149" i="14"/>
  <c r="AB151" i="14"/>
  <c r="AB147" i="14"/>
  <c r="AB143" i="14"/>
  <c r="BA151" i="14"/>
  <c r="BA139" i="14"/>
  <c r="BY138" i="14"/>
  <c r="BY150" i="14"/>
  <c r="BY146" i="14"/>
  <c r="BY142" i="14"/>
  <c r="CW138" i="14"/>
  <c r="CW150" i="14"/>
  <c r="CW146" i="14"/>
  <c r="CW151" i="14"/>
  <c r="E143" i="15"/>
  <c r="CW139" i="14"/>
  <c r="CW148" i="14"/>
  <c r="E147" i="15"/>
  <c r="E151" i="15"/>
  <c r="BA141" i="13"/>
  <c r="BA145" i="13"/>
  <c r="BA149" i="13"/>
  <c r="BA153" i="13"/>
  <c r="BY141" i="13"/>
  <c r="E153" i="14"/>
  <c r="CW142" i="14"/>
  <c r="E140" i="15"/>
  <c r="E151" i="13"/>
  <c r="E143" i="13"/>
  <c r="BA147" i="14"/>
  <c r="E142" i="13"/>
  <c r="AC139" i="13"/>
  <c r="BY148" i="13"/>
  <c r="BY144" i="13"/>
  <c r="E152" i="14"/>
  <c r="E148" i="14"/>
  <c r="E140" i="14"/>
  <c r="BY153" i="14"/>
  <c r="BY145" i="14"/>
  <c r="BY141" i="14"/>
  <c r="CW149" i="14"/>
  <c r="CW145" i="14"/>
  <c r="E153" i="15"/>
  <c r="E149" i="15"/>
  <c r="E145" i="15"/>
  <c r="E141" i="15"/>
  <c r="AC145" i="15"/>
  <c r="AC149" i="15"/>
  <c r="AC153" i="15"/>
  <c r="BY145" i="15"/>
  <c r="BY149" i="15"/>
  <c r="BY153" i="15"/>
  <c r="CW139" i="15"/>
  <c r="CW143" i="15"/>
  <c r="CW147" i="15"/>
  <c r="CW151" i="15"/>
  <c r="AC141" i="16"/>
  <c r="AC145" i="16"/>
  <c r="AC149" i="16"/>
  <c r="AC153" i="16"/>
  <c r="BA139" i="16"/>
  <c r="BA143" i="16"/>
  <c r="BA147" i="16"/>
  <c r="BA151" i="16"/>
  <c r="BY145" i="16"/>
  <c r="BY149" i="16"/>
  <c r="BY153" i="16"/>
  <c r="CW139" i="16"/>
  <c r="CW145" i="16"/>
  <c r="E151" i="14"/>
  <c r="E147" i="14"/>
  <c r="E139" i="14"/>
  <c r="E138" i="15"/>
  <c r="E152" i="15"/>
  <c r="CW149" i="13"/>
  <c r="CW153" i="13"/>
  <c r="E138" i="14"/>
  <c r="AB152" i="14"/>
  <c r="AB148" i="14"/>
  <c r="AB144" i="14"/>
  <c r="BA150" i="14"/>
  <c r="BA142" i="14"/>
  <c r="BY139" i="14"/>
  <c r="AC142" i="15"/>
  <c r="AC147" i="15"/>
  <c r="AC151" i="15"/>
  <c r="CW141" i="15"/>
  <c r="E152" i="16"/>
  <c r="BA141" i="16"/>
  <c r="BY139" i="16"/>
  <c r="CW143" i="16"/>
  <c r="E151" i="16"/>
  <c r="BA146" i="16"/>
  <c r="BA150" i="16"/>
  <c r="E143" i="16"/>
  <c r="E146" i="16"/>
  <c r="BY141" i="16"/>
  <c r="BY146" i="16"/>
  <c r="BY150" i="16"/>
  <c r="CW144" i="16"/>
  <c r="CW146" i="16"/>
  <c r="CW151" i="16"/>
  <c r="E145" i="16"/>
  <c r="E147" i="16"/>
  <c r="E150" i="16"/>
  <c r="AC139" i="16"/>
  <c r="AC143" i="16"/>
  <c r="AC147" i="16"/>
  <c r="AC151" i="16"/>
  <c r="BA140" i="16"/>
  <c r="BA142" i="16"/>
  <c r="BA145" i="16"/>
  <c r="BA149" i="16"/>
  <c r="BA153" i="16"/>
  <c r="BY143" i="16"/>
  <c r="BY147" i="16"/>
  <c r="BY151" i="16"/>
  <c r="CW140" i="16"/>
  <c r="CW142" i="16"/>
  <c r="CW147" i="16"/>
  <c r="CW149" i="16"/>
  <c r="CW152" i="16"/>
  <c r="AC148" i="15"/>
  <c r="AC152" i="15"/>
  <c r="BA138" i="15"/>
  <c r="BA139" i="15"/>
  <c r="BA141" i="15"/>
  <c r="BA145" i="15"/>
  <c r="BA149" i="15"/>
  <c r="BA153" i="15"/>
  <c r="BY143" i="15"/>
  <c r="BY151" i="15"/>
  <c r="AC140" i="15"/>
  <c r="CW152" i="15"/>
  <c r="AC141" i="15"/>
  <c r="AC143" i="15"/>
  <c r="AC146" i="15"/>
  <c r="AC150" i="15"/>
  <c r="BA140" i="15"/>
  <c r="BA143" i="15"/>
  <c r="BA147" i="15"/>
  <c r="BA151" i="15"/>
  <c r="BY147" i="15"/>
  <c r="CW140" i="15"/>
  <c r="CW145" i="15"/>
  <c r="CW149" i="15"/>
  <c r="CW153" i="15"/>
  <c r="BW12" i="14"/>
  <c r="CU13" i="14"/>
  <c r="BW13" i="14"/>
  <c r="AY13" i="14"/>
  <c r="BA138" i="14"/>
  <c r="BA146" i="14"/>
  <c r="BY149" i="14"/>
  <c r="E145" i="14"/>
  <c r="E141" i="14"/>
  <c r="AB150" i="14"/>
  <c r="AB142" i="14"/>
  <c r="BA153" i="14"/>
  <c r="BA149" i="14"/>
  <c r="BA145" i="14"/>
  <c r="BA141" i="14"/>
  <c r="CW144" i="14"/>
  <c r="AB149" i="14"/>
  <c r="BY143" i="14"/>
  <c r="AA22" i="13"/>
  <c r="AA18" i="13"/>
  <c r="AY22" i="13"/>
  <c r="BW26" i="13"/>
  <c r="CU26" i="13"/>
  <c r="CU14" i="13"/>
  <c r="AA48" i="13"/>
  <c r="AY48" i="13"/>
  <c r="AA119" i="13"/>
  <c r="AY123" i="13"/>
  <c r="BW123" i="13"/>
  <c r="CU123" i="13"/>
  <c r="CU51" i="13"/>
  <c r="BW51" i="13"/>
  <c r="AY51" i="13"/>
  <c r="CU39" i="13"/>
  <c r="BW39" i="13"/>
  <c r="AY39" i="13"/>
  <c r="CU118" i="13"/>
  <c r="BW118" i="13"/>
  <c r="AY118" i="13"/>
  <c r="AA21" i="13"/>
  <c r="AY21" i="13"/>
  <c r="BW25" i="13"/>
  <c r="BW13" i="13"/>
  <c r="CU21" i="13"/>
  <c r="AA51" i="13"/>
  <c r="AY44" i="13"/>
  <c r="BW44" i="13"/>
  <c r="CU44" i="13"/>
  <c r="AA118" i="13"/>
  <c r="AY119" i="13"/>
  <c r="CU119" i="13"/>
  <c r="CW140" i="13"/>
  <c r="AA26" i="13"/>
  <c r="AY14" i="13"/>
  <c r="BW18" i="13"/>
  <c r="CU22" i="13"/>
  <c r="CU43" i="13"/>
  <c r="BW43" i="13"/>
  <c r="AY43" i="13"/>
  <c r="CU122" i="13"/>
  <c r="BW122" i="13"/>
  <c r="AY122" i="13"/>
  <c r="AA25" i="13"/>
  <c r="AA13" i="13"/>
  <c r="AY17" i="13"/>
  <c r="CU25" i="13"/>
  <c r="CU17" i="13"/>
  <c r="AA12" i="13"/>
  <c r="AA24" i="13"/>
  <c r="AA20" i="13"/>
  <c r="AA16" i="13"/>
  <c r="AY12" i="13"/>
  <c r="AY24" i="13"/>
  <c r="AY20" i="13"/>
  <c r="AY16" i="13"/>
  <c r="BW12" i="13"/>
  <c r="BW24" i="13"/>
  <c r="BW20" i="13"/>
  <c r="BW16" i="13"/>
  <c r="AA50" i="13"/>
  <c r="AY40" i="13"/>
  <c r="AY45" i="13"/>
  <c r="AY50" i="13"/>
  <c r="BW40" i="13"/>
  <c r="BW45" i="13"/>
  <c r="BW50" i="13"/>
  <c r="CU40" i="13"/>
  <c r="CU45" i="13"/>
  <c r="AA127" i="13"/>
  <c r="AA122" i="13"/>
  <c r="AY115" i="13"/>
  <c r="AY120" i="13"/>
  <c r="AY125" i="13"/>
  <c r="BW115" i="13"/>
  <c r="BW120" i="13"/>
  <c r="BW125" i="13"/>
  <c r="CU115" i="13"/>
  <c r="CU120" i="13"/>
  <c r="E147" i="13"/>
  <c r="E139" i="13"/>
  <c r="BY152" i="13"/>
  <c r="AA14" i="13"/>
  <c r="AY18" i="13"/>
  <c r="AA52" i="13"/>
  <c r="BW48" i="13"/>
  <c r="CU47" i="13"/>
  <c r="BW47" i="13"/>
  <c r="AY47" i="13"/>
  <c r="CU126" i="13"/>
  <c r="BW126" i="13"/>
  <c r="AY126" i="13"/>
  <c r="CU114" i="13"/>
  <c r="BW114" i="13"/>
  <c r="AY114" i="13"/>
  <c r="AA17" i="13"/>
  <c r="AY13" i="13"/>
  <c r="AA27" i="13"/>
  <c r="AA23" i="13"/>
  <c r="AA19" i="13"/>
  <c r="AA15" i="13"/>
  <c r="AY27" i="13"/>
  <c r="AY23" i="13"/>
  <c r="AY19" i="13"/>
  <c r="AY15" i="13"/>
  <c r="BW27" i="13"/>
  <c r="BW23" i="13"/>
  <c r="BW19" i="13"/>
  <c r="BW15" i="13"/>
  <c r="AY41" i="13"/>
  <c r="AY52" i="13"/>
  <c r="BW41" i="13"/>
  <c r="BW52" i="13"/>
  <c r="CU41" i="13"/>
  <c r="AA126" i="13"/>
  <c r="AY116" i="13"/>
  <c r="AY127" i="13"/>
  <c r="BW116" i="13"/>
  <c r="BW127" i="13"/>
  <c r="CU116" i="13"/>
  <c r="E149" i="13"/>
  <c r="E141" i="13"/>
  <c r="AC140" i="13"/>
  <c r="AC143" i="13"/>
  <c r="AC144" i="13"/>
  <c r="AC147" i="13"/>
  <c r="AC148" i="13"/>
  <c r="AC151" i="13"/>
  <c r="AC152" i="13"/>
  <c r="CW139" i="13"/>
  <c r="CW143" i="13"/>
  <c r="CW144" i="13"/>
  <c r="CW147" i="13"/>
  <c r="CW148" i="13"/>
  <c r="CW151" i="13"/>
  <c r="CW152" i="13"/>
  <c r="BY150" i="13"/>
  <c r="BY146" i="13"/>
  <c r="BY142" i="13"/>
  <c r="E138" i="16"/>
  <c r="E139" i="16"/>
  <c r="E140" i="16"/>
  <c r="E141" i="16"/>
  <c r="E142" i="16"/>
  <c r="BY138" i="15"/>
  <c r="BY139" i="15"/>
  <c r="BY140" i="15"/>
  <c r="BY141" i="15"/>
  <c r="AB138" i="14"/>
  <c r="AB139" i="14"/>
  <c r="AB140" i="14"/>
  <c r="AB141" i="14"/>
  <c r="E150" i="14"/>
  <c r="CW142" i="13"/>
  <c r="BA140" i="13"/>
  <c r="BA144" i="13"/>
  <c r="BA148" i="13"/>
  <c r="BA152" i="13"/>
  <c r="AC150" i="13"/>
  <c r="E150" i="13"/>
  <c r="E146" i="13"/>
  <c r="AA16" i="14"/>
  <c r="AY16" i="14"/>
  <c r="BW16" i="14"/>
  <c r="P46" i="2" l="1"/>
  <c r="I46" i="2"/>
  <c r="Q46" i="2" l="1"/>
  <c r="R46" i="2" s="1"/>
  <c r="J46" i="2"/>
  <c r="K46" i="2" s="1"/>
  <c r="I35" i="1" l="1"/>
  <c r="E35" i="1"/>
  <c r="I32" i="1"/>
  <c r="E32" i="1"/>
  <c r="F29" i="1"/>
  <c r="G29" i="1"/>
  <c r="H29" i="1"/>
  <c r="I29" i="1"/>
  <c r="E29" i="1"/>
  <c r="G60" i="21" l="1"/>
  <c r="H35" i="1" s="1"/>
  <c r="F60" i="21"/>
  <c r="G35" i="1" s="1"/>
  <c r="E60" i="21"/>
  <c r="F35" i="1" s="1"/>
  <c r="G59" i="21"/>
  <c r="H32" i="1" s="1"/>
  <c r="F59" i="21"/>
  <c r="G32" i="1" s="1"/>
  <c r="E59" i="21"/>
  <c r="F32" i="1" s="1"/>
  <c r="L37" i="2"/>
  <c r="L34" i="2"/>
  <c r="L31" i="2"/>
  <c r="E37" i="2"/>
  <c r="E34" i="2"/>
  <c r="E31" i="2"/>
  <c r="I38" i="2"/>
  <c r="I35" i="2"/>
  <c r="I32" i="2"/>
  <c r="P38" i="2"/>
  <c r="P35" i="2"/>
  <c r="P32" i="2"/>
  <c r="S31" i="2"/>
  <c r="W32" i="2"/>
  <c r="S34" i="2"/>
  <c r="W35" i="2"/>
  <c r="S37" i="2"/>
  <c r="W38" i="2"/>
  <c r="Z31" i="2"/>
  <c r="AD32" i="2"/>
  <c r="Z34" i="2"/>
  <c r="AD35" i="2"/>
  <c r="Z37" i="2"/>
  <c r="AD38" i="2"/>
  <c r="Z55" i="2"/>
  <c r="S55" i="2"/>
  <c r="Z52" i="2"/>
  <c r="S52" i="2"/>
  <c r="E49" i="2"/>
  <c r="L55" i="2"/>
  <c r="L52" i="2"/>
  <c r="L49" i="2"/>
  <c r="E55" i="2"/>
  <c r="E52" i="2"/>
  <c r="AD56" i="2"/>
  <c r="AD53" i="2"/>
  <c r="W56" i="2"/>
  <c r="W53" i="2"/>
  <c r="P56" i="2"/>
  <c r="P53" i="2"/>
  <c r="I56" i="2"/>
  <c r="I53" i="2"/>
  <c r="Z49" i="2"/>
  <c r="S49" i="2"/>
  <c r="AD47" i="2"/>
  <c r="W47" i="2"/>
  <c r="P47" i="2"/>
  <c r="I47" i="2"/>
  <c r="C104" i="3" l="1"/>
  <c r="K19" i="20" l="1"/>
  <c r="Q36" i="7" l="1"/>
  <c r="W54" i="7"/>
  <c r="W58" i="7"/>
  <c r="V58" i="7"/>
  <c r="I133" i="7" s="1"/>
  <c r="R58" i="7"/>
  <c r="Q58" i="7"/>
  <c r="M58" i="7"/>
  <c r="H58" i="7"/>
  <c r="H122" i="7"/>
  <c r="M122" i="7"/>
  <c r="R122" i="7"/>
  <c r="W122" i="7"/>
  <c r="M54" i="7"/>
  <c r="H54" i="7"/>
  <c r="I143" i="7"/>
  <c r="H143" i="7"/>
  <c r="G143" i="7"/>
  <c r="F143" i="7"/>
  <c r="Q122" i="7"/>
  <c r="M115" i="7"/>
  <c r="H115" i="7"/>
  <c r="C114" i="7"/>
  <c r="C113" i="7"/>
  <c r="D112" i="7"/>
  <c r="C112" i="7"/>
  <c r="C111" i="7"/>
  <c r="D109" i="7"/>
  <c r="D108" i="7"/>
  <c r="C108" i="7"/>
  <c r="C110" i="7" s="1"/>
  <c r="W105" i="7"/>
  <c r="R105" i="7"/>
  <c r="C104" i="7"/>
  <c r="Q104" i="7" s="1"/>
  <c r="Q105" i="7" s="1"/>
  <c r="H133" i="7"/>
  <c r="G133" i="7"/>
  <c r="F133" i="7"/>
  <c r="W72" i="7"/>
  <c r="R72" i="7"/>
  <c r="I132" i="7"/>
  <c r="G132" i="7"/>
  <c r="F132" i="7"/>
  <c r="I142" i="7"/>
  <c r="H140" i="7" l="1"/>
  <c r="F92" i="5"/>
  <c r="G108" i="7"/>
  <c r="G115" i="7" s="1"/>
  <c r="F142" i="7" s="1"/>
  <c r="L108" i="7"/>
  <c r="L115" i="7" s="1"/>
  <c r="G142" i="7" s="1"/>
  <c r="V104" i="7"/>
  <c r="V105" i="7" s="1"/>
  <c r="I140" i="7" l="1"/>
  <c r="G92" i="5"/>
  <c r="W85" i="7"/>
  <c r="R85" i="7"/>
  <c r="M85" i="7"/>
  <c r="H85" i="7"/>
  <c r="C84" i="7"/>
  <c r="C83" i="7"/>
  <c r="C82" i="7"/>
  <c r="D81" i="7"/>
  <c r="C81" i="7"/>
  <c r="C80" i="7"/>
  <c r="D79" i="7"/>
  <c r="C79" i="7"/>
  <c r="D78" i="7"/>
  <c r="C78" i="7"/>
  <c r="C77" i="7"/>
  <c r="D75" i="7"/>
  <c r="C75" i="7"/>
  <c r="C76" i="7" s="1"/>
  <c r="G76" i="7" s="1"/>
  <c r="P125" i="3"/>
  <c r="K125" i="3"/>
  <c r="F125" i="3"/>
  <c r="L76" i="7" l="1"/>
  <c r="Q76" i="7"/>
  <c r="Q85" i="7" s="1"/>
  <c r="V76" i="7"/>
  <c r="V85" i="7" s="1"/>
  <c r="G85" i="7"/>
  <c r="L85" i="7"/>
  <c r="G51" i="5"/>
  <c r="G65" i="5" s="1"/>
  <c r="P50" i="2"/>
  <c r="I50" i="2"/>
  <c r="F129" i="7" l="1"/>
  <c r="D82" i="5"/>
  <c r="E24" i="2" s="1"/>
  <c r="I129" i="7"/>
  <c r="G82" i="5"/>
  <c r="Z24" i="2" s="1"/>
  <c r="H129" i="7"/>
  <c r="F82" i="5"/>
  <c r="S24" i="2" s="1"/>
  <c r="G129" i="7"/>
  <c r="E82" i="5"/>
  <c r="L24" i="2" s="1"/>
  <c r="AD61" i="2"/>
  <c r="Z61" i="2"/>
  <c r="Z25" i="2"/>
  <c r="Z26" i="2"/>
  <c r="Z29" i="2"/>
  <c r="Z23" i="2"/>
  <c r="S25" i="2"/>
  <c r="S26" i="2"/>
  <c r="S29" i="2"/>
  <c r="S23" i="2"/>
  <c r="L60" i="2"/>
  <c r="L29" i="2"/>
  <c r="L45" i="2"/>
  <c r="P60" i="2"/>
  <c r="P45" i="2"/>
  <c r="L26" i="2"/>
  <c r="L25" i="2"/>
  <c r="L23" i="2"/>
  <c r="L20" i="2"/>
  <c r="I45" i="2"/>
  <c r="E45" i="2"/>
  <c r="E29" i="2"/>
  <c r="E26" i="2"/>
  <c r="E25" i="2"/>
  <c r="E20" i="2"/>
  <c r="K41" i="10" l="1"/>
  <c r="K40" i="10"/>
  <c r="J45" i="2"/>
  <c r="S92" i="10"/>
  <c r="S94" i="10"/>
  <c r="S96" i="10"/>
  <c r="S98" i="10"/>
  <c r="S100" i="10"/>
  <c r="S102" i="10"/>
  <c r="S104" i="10"/>
  <c r="S106" i="10"/>
  <c r="S93" i="10"/>
  <c r="S101" i="10"/>
  <c r="S95" i="10"/>
  <c r="S103" i="10"/>
  <c r="S97" i="10"/>
  <c r="S105" i="10"/>
  <c r="S99" i="10"/>
  <c r="K15" i="10"/>
  <c r="U15" i="10" s="1"/>
  <c r="K19" i="10"/>
  <c r="K16" i="10"/>
  <c r="K20" i="10"/>
  <c r="U20" i="10" s="1"/>
  <c r="K14" i="10"/>
  <c r="U14" i="10" s="1"/>
  <c r="W14" i="10" s="1"/>
  <c r="K22" i="10"/>
  <c r="K17" i="10"/>
  <c r="U17" i="10" s="1"/>
  <c r="K18" i="10"/>
  <c r="U18" i="10" s="1"/>
  <c r="K21" i="10"/>
  <c r="U21" i="10" s="1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39" i="10"/>
  <c r="U39" i="10" s="1"/>
  <c r="Q45" i="2"/>
  <c r="AE61" i="2"/>
  <c r="AF61" i="2" s="1"/>
  <c r="Q60" i="2"/>
  <c r="R60" i="2" s="1"/>
  <c r="W101" i="7"/>
  <c r="I146" i="7" s="1"/>
  <c r="R101" i="7"/>
  <c r="H146" i="7" s="1"/>
  <c r="M101" i="7"/>
  <c r="G146" i="7" s="1"/>
  <c r="H101" i="7"/>
  <c r="F146" i="7" s="1"/>
  <c r="C100" i="7"/>
  <c r="C99" i="7"/>
  <c r="C98" i="7"/>
  <c r="D97" i="7"/>
  <c r="C97" i="7"/>
  <c r="C96" i="7"/>
  <c r="D95" i="7"/>
  <c r="C95" i="7"/>
  <c r="D94" i="7"/>
  <c r="C94" i="7"/>
  <c r="C93" i="7"/>
  <c r="D91" i="7"/>
  <c r="C91" i="7"/>
  <c r="C92" i="7" s="1"/>
  <c r="M72" i="7"/>
  <c r="H72" i="7"/>
  <c r="C71" i="7"/>
  <c r="C70" i="7"/>
  <c r="D69" i="7"/>
  <c r="C69" i="7"/>
  <c r="C68" i="7"/>
  <c r="D66" i="7"/>
  <c r="D65" i="7"/>
  <c r="C65" i="7"/>
  <c r="C67" i="7" s="1"/>
  <c r="W62" i="7"/>
  <c r="R62" i="7"/>
  <c r="C61" i="7"/>
  <c r="V61" i="7" s="1"/>
  <c r="V62" i="7" s="1"/>
  <c r="R54" i="7"/>
  <c r="D53" i="7"/>
  <c r="C53" i="7"/>
  <c r="D52" i="7"/>
  <c r="Q52" i="7" s="1"/>
  <c r="C52" i="7"/>
  <c r="C51" i="7"/>
  <c r="C50" i="7"/>
  <c r="D49" i="7"/>
  <c r="C49" i="7"/>
  <c r="C48" i="7"/>
  <c r="D47" i="7"/>
  <c r="C47" i="7"/>
  <c r="D46" i="7"/>
  <c r="C46" i="7"/>
  <c r="C45" i="7"/>
  <c r="D44" i="7"/>
  <c r="C44" i="7"/>
  <c r="D43" i="7"/>
  <c r="C43" i="7"/>
  <c r="D42" i="7"/>
  <c r="C42" i="7"/>
  <c r="D41" i="7"/>
  <c r="C41" i="7"/>
  <c r="D40" i="7"/>
  <c r="C40" i="7"/>
  <c r="D39" i="7"/>
  <c r="C39" i="7"/>
  <c r="S20" i="2"/>
  <c r="I131" i="7" l="1"/>
  <c r="G86" i="5"/>
  <c r="Z28" i="2" s="1"/>
  <c r="AG89" i="13"/>
  <c r="AI89" i="13" s="1"/>
  <c r="DA89" i="13"/>
  <c r="DC89" i="13" s="1"/>
  <c r="CC89" i="13"/>
  <c r="DA89" i="15"/>
  <c r="BE89" i="15"/>
  <c r="I89" i="15"/>
  <c r="DA89" i="14"/>
  <c r="BE89" i="14"/>
  <c r="I89" i="14"/>
  <c r="BE89" i="13"/>
  <c r="BG89" i="13" s="1"/>
  <c r="AG89" i="14"/>
  <c r="I89" i="13"/>
  <c r="CC89" i="15"/>
  <c r="AG89" i="15"/>
  <c r="CC89" i="14"/>
  <c r="AG93" i="13"/>
  <c r="AI93" i="13" s="1"/>
  <c r="DA93" i="13"/>
  <c r="DC93" i="13" s="1"/>
  <c r="CC93" i="13"/>
  <c r="DA93" i="15"/>
  <c r="BE93" i="15"/>
  <c r="I93" i="15"/>
  <c r="DA93" i="14"/>
  <c r="BE93" i="14"/>
  <c r="I93" i="14"/>
  <c r="BE93" i="13"/>
  <c r="BG93" i="13" s="1"/>
  <c r="CC93" i="15"/>
  <c r="AG93" i="15"/>
  <c r="CC93" i="14"/>
  <c r="AG93" i="14"/>
  <c r="I93" i="13"/>
  <c r="AG95" i="13"/>
  <c r="AI95" i="13" s="1"/>
  <c r="CC95" i="15"/>
  <c r="AG95" i="15"/>
  <c r="CC95" i="14"/>
  <c r="AG95" i="14"/>
  <c r="I95" i="13"/>
  <c r="DA95" i="15"/>
  <c r="BE95" i="15"/>
  <c r="I95" i="15"/>
  <c r="DA95" i="14"/>
  <c r="BE95" i="14"/>
  <c r="DA95" i="13"/>
  <c r="DC95" i="13" s="1"/>
  <c r="I95" i="14"/>
  <c r="BE95" i="13"/>
  <c r="BG95" i="13" s="1"/>
  <c r="CC95" i="13"/>
  <c r="AG96" i="13"/>
  <c r="AI96" i="13" s="1"/>
  <c r="DA96" i="15"/>
  <c r="BE96" i="15"/>
  <c r="I96" i="15"/>
  <c r="DA96" i="14"/>
  <c r="BE96" i="14"/>
  <c r="I96" i="14"/>
  <c r="BE96" i="13"/>
  <c r="BG96" i="13" s="1"/>
  <c r="CC96" i="15"/>
  <c r="AG96" i="15"/>
  <c r="CC96" i="14"/>
  <c r="AG96" i="14"/>
  <c r="I96" i="13"/>
  <c r="DA96" i="13"/>
  <c r="DC96" i="13" s="1"/>
  <c r="CC96" i="13"/>
  <c r="AG90" i="13"/>
  <c r="AI90" i="13" s="1"/>
  <c r="CC90" i="15"/>
  <c r="AG90" i="15"/>
  <c r="CC90" i="14"/>
  <c r="AG90" i="14"/>
  <c r="I90" i="13"/>
  <c r="I90" i="15"/>
  <c r="DA90" i="13"/>
  <c r="DC90" i="13" s="1"/>
  <c r="CC90" i="13"/>
  <c r="DA90" i="15"/>
  <c r="BE90" i="15"/>
  <c r="DA90" i="14"/>
  <c r="BE90" i="14"/>
  <c r="I90" i="14"/>
  <c r="BE90" i="13"/>
  <c r="BG90" i="13" s="1"/>
  <c r="AG92" i="13"/>
  <c r="AI92" i="13" s="1"/>
  <c r="DA92" i="15"/>
  <c r="BE92" i="15"/>
  <c r="I92" i="15"/>
  <c r="DA92" i="14"/>
  <c r="BE92" i="14"/>
  <c r="I92" i="14"/>
  <c r="BE92" i="13"/>
  <c r="BG92" i="13" s="1"/>
  <c r="AG92" i="15"/>
  <c r="CC92" i="14"/>
  <c r="CC92" i="15"/>
  <c r="AG92" i="14"/>
  <c r="I92" i="13"/>
  <c r="DA92" i="13"/>
  <c r="DC92" i="13" s="1"/>
  <c r="CC92" i="13"/>
  <c r="CC113" i="15"/>
  <c r="AG113" i="15"/>
  <c r="CC113" i="14"/>
  <c r="AG113" i="14"/>
  <c r="DA113" i="13"/>
  <c r="AG113" i="13"/>
  <c r="BE113" i="13"/>
  <c r="DA113" i="15"/>
  <c r="BE113" i="15"/>
  <c r="I113" i="15"/>
  <c r="DA113" i="14"/>
  <c r="BE113" i="14"/>
  <c r="I113" i="14"/>
  <c r="CC113" i="13"/>
  <c r="I113" i="13"/>
  <c r="DA89" i="16"/>
  <c r="CC89" i="16"/>
  <c r="BE89" i="16"/>
  <c r="AG89" i="16"/>
  <c r="I89" i="16"/>
  <c r="DA113" i="16"/>
  <c r="CC113" i="16"/>
  <c r="BE113" i="16"/>
  <c r="AG113" i="16"/>
  <c r="I113" i="16"/>
  <c r="DA96" i="16"/>
  <c r="CC96" i="16"/>
  <c r="BE96" i="16"/>
  <c r="AG96" i="16"/>
  <c r="I96" i="16"/>
  <c r="DA90" i="16"/>
  <c r="CC90" i="16"/>
  <c r="BE90" i="16"/>
  <c r="AG90" i="16"/>
  <c r="I90" i="16"/>
  <c r="DA93" i="16"/>
  <c r="CC93" i="16"/>
  <c r="BE93" i="16"/>
  <c r="AG93" i="16"/>
  <c r="I93" i="16"/>
  <c r="DA95" i="16"/>
  <c r="CC95" i="16"/>
  <c r="BE95" i="16"/>
  <c r="AG95" i="16"/>
  <c r="I95" i="16"/>
  <c r="DA92" i="16"/>
  <c r="CC92" i="16"/>
  <c r="BE92" i="16"/>
  <c r="AG92" i="16"/>
  <c r="I92" i="16"/>
  <c r="K45" i="2"/>
  <c r="R45" i="2"/>
  <c r="G65" i="7"/>
  <c r="G72" i="7" s="1"/>
  <c r="F130" i="7" s="1"/>
  <c r="V65" i="7"/>
  <c r="V72" i="7" s="1"/>
  <c r="Q65" i="7"/>
  <c r="Q72" i="7" s="1"/>
  <c r="Q92" i="7"/>
  <c r="G92" i="7"/>
  <c r="V92" i="7"/>
  <c r="V101" i="7" s="1"/>
  <c r="L92" i="7"/>
  <c r="Q54" i="7"/>
  <c r="H132" i="7" s="1"/>
  <c r="L65" i="7"/>
  <c r="L72" i="7" s="1"/>
  <c r="G130" i="7" s="1"/>
  <c r="Q61" i="7"/>
  <c r="Z12" i="2"/>
  <c r="Z20" i="2"/>
  <c r="H130" i="7" l="1"/>
  <c r="F84" i="5"/>
  <c r="I141" i="7"/>
  <c r="G91" i="5"/>
  <c r="Z47" i="2" s="1"/>
  <c r="I130" i="7"/>
  <c r="G84" i="5"/>
  <c r="Q62" i="7"/>
  <c r="G101" i="7"/>
  <c r="Q101" i="7"/>
  <c r="I144" i="7"/>
  <c r="L101" i="7"/>
  <c r="AC10" i="2"/>
  <c r="O10" i="2"/>
  <c r="H10" i="2"/>
  <c r="V10" i="2"/>
  <c r="AB10" i="2"/>
  <c r="U10" i="2"/>
  <c r="N10" i="2"/>
  <c r="G10" i="2"/>
  <c r="AA10" i="2"/>
  <c r="T10" i="2"/>
  <c r="M10" i="2"/>
  <c r="F10" i="2"/>
  <c r="F26" i="21"/>
  <c r="R104" i="3"/>
  <c r="M25" i="3"/>
  <c r="H25" i="3"/>
  <c r="H35" i="3"/>
  <c r="F38" i="1"/>
  <c r="F39" i="1" s="1"/>
  <c r="G38" i="1"/>
  <c r="G39" i="1" s="1"/>
  <c r="H38" i="1"/>
  <c r="H39" i="1" s="1"/>
  <c r="I38" i="1"/>
  <c r="I39" i="1" s="1"/>
  <c r="F26" i="1"/>
  <c r="F27" i="1" s="1"/>
  <c r="G26" i="1"/>
  <c r="G27" i="1" s="1"/>
  <c r="H26" i="1"/>
  <c r="H27" i="1" s="1"/>
  <c r="I26" i="1"/>
  <c r="I27" i="1" s="1"/>
  <c r="D31" i="21"/>
  <c r="D25" i="21"/>
  <c r="E38" i="1"/>
  <c r="E39" i="1" s="1"/>
  <c r="D41" i="21"/>
  <c r="E26" i="1" s="1"/>
  <c r="E27" i="1" s="1"/>
  <c r="H141" i="7" l="1"/>
  <c r="H144" i="7" s="1"/>
  <c r="F91" i="5"/>
  <c r="S47" i="2" s="1"/>
  <c r="DG76" i="16"/>
  <c r="DG66" i="16"/>
  <c r="CG76" i="16"/>
  <c r="CG66" i="16"/>
  <c r="BG76" i="16"/>
  <c r="BG66" i="16"/>
  <c r="AG76" i="16"/>
  <c r="AG66" i="16"/>
  <c r="G76" i="16"/>
  <c r="G66" i="16"/>
  <c r="DG76" i="14"/>
  <c r="CG66" i="14"/>
  <c r="BG76" i="14"/>
  <c r="AG66" i="14"/>
  <c r="G71" i="14"/>
  <c r="DG76" i="15"/>
  <c r="DG66" i="15"/>
  <c r="CG71" i="15"/>
  <c r="BG76" i="15"/>
  <c r="BG66" i="15"/>
  <c r="AG71" i="15"/>
  <c r="G71" i="15"/>
  <c r="CG71" i="14"/>
  <c r="AG71" i="14"/>
  <c r="DG71" i="16"/>
  <c r="CG71" i="16"/>
  <c r="BG71" i="16"/>
  <c r="AG71" i="16"/>
  <c r="G71" i="16"/>
  <c r="DG66" i="14"/>
  <c r="CG76" i="14"/>
  <c r="BG66" i="14"/>
  <c r="CG76" i="15"/>
  <c r="G76" i="15"/>
  <c r="DG71" i="13"/>
  <c r="AG71" i="13"/>
  <c r="CG76" i="13"/>
  <c r="BG71" i="13"/>
  <c r="BG71" i="15"/>
  <c r="AG66" i="15"/>
  <c r="G66" i="14"/>
  <c r="DG76" i="13"/>
  <c r="AG66" i="13"/>
  <c r="BG76" i="13"/>
  <c r="G71" i="13"/>
  <c r="DG71" i="15"/>
  <c r="CG66" i="15"/>
  <c r="G66" i="15"/>
  <c r="DG71" i="14"/>
  <c r="BG71" i="14"/>
  <c r="CG66" i="13"/>
  <c r="AG76" i="14"/>
  <c r="BG66" i="13"/>
  <c r="AG76" i="15"/>
  <c r="AG76" i="13"/>
  <c r="G66" i="13"/>
  <c r="DG66" i="13"/>
  <c r="CG71" i="13"/>
  <c r="G76" i="13"/>
  <c r="G76" i="14"/>
  <c r="F141" i="7"/>
  <c r="F144" i="7" s="1"/>
  <c r="D91" i="5"/>
  <c r="E47" i="2" s="1"/>
  <c r="M95" i="10"/>
  <c r="M103" i="10"/>
  <c r="M100" i="10"/>
  <c r="M106" i="10"/>
  <c r="M94" i="10"/>
  <c r="M101" i="10"/>
  <c r="M98" i="10"/>
  <c r="AE47" i="2"/>
  <c r="AF47" i="2" s="1"/>
  <c r="M97" i="10"/>
  <c r="M105" i="10"/>
  <c r="M96" i="10"/>
  <c r="M92" i="10"/>
  <c r="M99" i="10"/>
  <c r="M104" i="10"/>
  <c r="M93" i="10"/>
  <c r="M102" i="10"/>
  <c r="G141" i="7"/>
  <c r="E91" i="5"/>
  <c r="L47" i="2" s="1"/>
  <c r="H131" i="7"/>
  <c r="F86" i="5"/>
  <c r="S28" i="2" s="1"/>
  <c r="CV116" i="13"/>
  <c r="CV120" i="13"/>
  <c r="CV124" i="13"/>
  <c r="CV128" i="13"/>
  <c r="BX116" i="13"/>
  <c r="BX120" i="13"/>
  <c r="BX124" i="13"/>
  <c r="BX128" i="13"/>
  <c r="AZ116" i="13"/>
  <c r="AZ120" i="13"/>
  <c r="AZ124" i="13"/>
  <c r="AZ128" i="13"/>
  <c r="AB116" i="13"/>
  <c r="AB120" i="13"/>
  <c r="AB124" i="13"/>
  <c r="AB128" i="13"/>
  <c r="D116" i="13"/>
  <c r="D120" i="13"/>
  <c r="D124" i="13"/>
  <c r="D128" i="13"/>
  <c r="CV117" i="13"/>
  <c r="CV121" i="13"/>
  <c r="CV125" i="13"/>
  <c r="CV113" i="13"/>
  <c r="BX117" i="13"/>
  <c r="BX121" i="13"/>
  <c r="BX125" i="13"/>
  <c r="BX113" i="13"/>
  <c r="AZ117" i="13"/>
  <c r="AZ121" i="13"/>
  <c r="AZ125" i="13"/>
  <c r="AZ113" i="13"/>
  <c r="AB117" i="13"/>
  <c r="AB121" i="13"/>
  <c r="AB125" i="13"/>
  <c r="AB113" i="13"/>
  <c r="D117" i="13"/>
  <c r="D121" i="13"/>
  <c r="D125" i="13"/>
  <c r="D113" i="13"/>
  <c r="CV114" i="13"/>
  <c r="CV118" i="13"/>
  <c r="CV122" i="13"/>
  <c r="CV126" i="13"/>
  <c r="BX114" i="13"/>
  <c r="BX118" i="13"/>
  <c r="BX122" i="13"/>
  <c r="BX126" i="13"/>
  <c r="AZ114" i="13"/>
  <c r="AZ118" i="13"/>
  <c r="AZ122" i="13"/>
  <c r="AZ126" i="13"/>
  <c r="AB114" i="13"/>
  <c r="AB118" i="13"/>
  <c r="AB122" i="13"/>
  <c r="AB126" i="13"/>
  <c r="D114" i="13"/>
  <c r="D118" i="13"/>
  <c r="D122" i="13"/>
  <c r="D126" i="13"/>
  <c r="CV115" i="13"/>
  <c r="CV119" i="13"/>
  <c r="CV123" i="13"/>
  <c r="CV127" i="13"/>
  <c r="BX115" i="13"/>
  <c r="BX119" i="13"/>
  <c r="BX123" i="13"/>
  <c r="BX127" i="13"/>
  <c r="AZ115" i="13"/>
  <c r="AZ119" i="13"/>
  <c r="AZ123" i="13"/>
  <c r="AZ127" i="13"/>
  <c r="AB115" i="13"/>
  <c r="AB119" i="13"/>
  <c r="AB123" i="13"/>
  <c r="AB127" i="13"/>
  <c r="D115" i="13"/>
  <c r="D119" i="13"/>
  <c r="D123" i="13"/>
  <c r="D127" i="13"/>
  <c r="G144" i="7"/>
  <c r="AD50" i="2"/>
  <c r="W50" i="2"/>
  <c r="M40" i="10" l="1"/>
  <c r="M44" i="10"/>
  <c r="M48" i="10"/>
  <c r="M52" i="10"/>
  <c r="M46" i="10"/>
  <c r="M50" i="10"/>
  <c r="M43" i="10"/>
  <c r="M51" i="10"/>
  <c r="M41" i="10"/>
  <c r="M45" i="10"/>
  <c r="M49" i="10"/>
  <c r="M53" i="10"/>
  <c r="Q47" i="2"/>
  <c r="R47" i="2" s="1"/>
  <c r="M42" i="10"/>
  <c r="M54" i="10"/>
  <c r="M47" i="10"/>
  <c r="M73" i="10"/>
  <c r="M76" i="10"/>
  <c r="M78" i="10"/>
  <c r="M79" i="10"/>
  <c r="X47" i="2"/>
  <c r="Y47" i="2" s="1"/>
  <c r="M68" i="10"/>
  <c r="M71" i="10"/>
  <c r="M69" i="10"/>
  <c r="M74" i="10"/>
  <c r="M77" i="10"/>
  <c r="M80" i="10"/>
  <c r="M67" i="10"/>
  <c r="M66" i="10"/>
  <c r="M70" i="10"/>
  <c r="M72" i="10"/>
  <c r="M75" i="10"/>
  <c r="M28" i="10"/>
  <c r="M22" i="10"/>
  <c r="M25" i="10"/>
  <c r="M16" i="10"/>
  <c r="J47" i="2"/>
  <c r="K47" i="2" s="1"/>
  <c r="M19" i="10"/>
  <c r="W15" i="10"/>
  <c r="W17" i="10"/>
  <c r="W18" i="10"/>
  <c r="W20" i="10"/>
  <c r="W21" i="10"/>
  <c r="W23" i="10"/>
  <c r="W24" i="10"/>
  <c r="W26" i="10"/>
  <c r="W27" i="10"/>
  <c r="DD78" i="16" l="1"/>
  <c r="DD75" i="16"/>
  <c r="DD74" i="16"/>
  <c r="DD73" i="16"/>
  <c r="DD70" i="16"/>
  <c r="DD69" i="16"/>
  <c r="DD68" i="16"/>
  <c r="DD65" i="16"/>
  <c r="DD64" i="16"/>
  <c r="DD63" i="16"/>
  <c r="CD78" i="16"/>
  <c r="CD75" i="16"/>
  <c r="CD74" i="16"/>
  <c r="CD73" i="16"/>
  <c r="CD70" i="16"/>
  <c r="CD69" i="16"/>
  <c r="CD68" i="16"/>
  <c r="CD65" i="16"/>
  <c r="CD64" i="16"/>
  <c r="CD63" i="16"/>
  <c r="BD78" i="16"/>
  <c r="BD75" i="16"/>
  <c r="BD74" i="16"/>
  <c r="BD73" i="16"/>
  <c r="BD70" i="16"/>
  <c r="BD69" i="16"/>
  <c r="BD68" i="16"/>
  <c r="BD65" i="16"/>
  <c r="BD64" i="16"/>
  <c r="BD63" i="16"/>
  <c r="AD78" i="16"/>
  <c r="AD75" i="16"/>
  <c r="AD74" i="16"/>
  <c r="AD73" i="16"/>
  <c r="AD70" i="16"/>
  <c r="AD69" i="16"/>
  <c r="AD68" i="16"/>
  <c r="AD65" i="16"/>
  <c r="AD64" i="16"/>
  <c r="AD63" i="16"/>
  <c r="D78" i="16"/>
  <c r="D75" i="16"/>
  <c r="D74" i="16"/>
  <c r="D73" i="16"/>
  <c r="D70" i="16"/>
  <c r="D69" i="16"/>
  <c r="D68" i="16"/>
  <c r="D65" i="16"/>
  <c r="D64" i="16"/>
  <c r="D63" i="16"/>
  <c r="DD78" i="15"/>
  <c r="DD75" i="15"/>
  <c r="DD74" i="15"/>
  <c r="DD73" i="15"/>
  <c r="DD70" i="15"/>
  <c r="DD69" i="15"/>
  <c r="DD68" i="15"/>
  <c r="DD65" i="15"/>
  <c r="DD64" i="15"/>
  <c r="DD63" i="15"/>
  <c r="CD78" i="15"/>
  <c r="CD75" i="15"/>
  <c r="CD74" i="15"/>
  <c r="CD73" i="15"/>
  <c r="CD70" i="15"/>
  <c r="CD69" i="15"/>
  <c r="CD68" i="15"/>
  <c r="CD65" i="15"/>
  <c r="CD64" i="15"/>
  <c r="CD63" i="15"/>
  <c r="BD78" i="15"/>
  <c r="BD75" i="15"/>
  <c r="BD74" i="15"/>
  <c r="BD73" i="15"/>
  <c r="BD70" i="15"/>
  <c r="BD69" i="15"/>
  <c r="BD68" i="15"/>
  <c r="BD65" i="15"/>
  <c r="BD64" i="15"/>
  <c r="BD63" i="15"/>
  <c r="AD78" i="15"/>
  <c r="AD75" i="15"/>
  <c r="AD74" i="15"/>
  <c r="AD73" i="15"/>
  <c r="AD70" i="15"/>
  <c r="AD69" i="15"/>
  <c r="AD68" i="15"/>
  <c r="AD65" i="15"/>
  <c r="AD64" i="15"/>
  <c r="AD63" i="15"/>
  <c r="D78" i="15"/>
  <c r="D75" i="15"/>
  <c r="D74" i="15"/>
  <c r="D73" i="15"/>
  <c r="D70" i="15"/>
  <c r="D69" i="15"/>
  <c r="D68" i="15"/>
  <c r="D65" i="15"/>
  <c r="D64" i="15"/>
  <c r="D63" i="15"/>
  <c r="DD78" i="14"/>
  <c r="DD75" i="14"/>
  <c r="DD74" i="14"/>
  <c r="DD73" i="14"/>
  <c r="DD70" i="14"/>
  <c r="DD69" i="14"/>
  <c r="DD68" i="14"/>
  <c r="DD65" i="14"/>
  <c r="DD64" i="14"/>
  <c r="DD63" i="14"/>
  <c r="CD78" i="14"/>
  <c r="CD75" i="14"/>
  <c r="CD74" i="14"/>
  <c r="CD73" i="14"/>
  <c r="CD70" i="14"/>
  <c r="CD69" i="14"/>
  <c r="CD68" i="14"/>
  <c r="CD65" i="14"/>
  <c r="CD64" i="14"/>
  <c r="CD63" i="14"/>
  <c r="BD63" i="14"/>
  <c r="BD78" i="14"/>
  <c r="BD75" i="14"/>
  <c r="BD74" i="14"/>
  <c r="BD73" i="14"/>
  <c r="BD70" i="14"/>
  <c r="BD69" i="14"/>
  <c r="BD68" i="14"/>
  <c r="BD65" i="14"/>
  <c r="BD64" i="14"/>
  <c r="AD78" i="14"/>
  <c r="AD75" i="14"/>
  <c r="AD74" i="14"/>
  <c r="AD73" i="14"/>
  <c r="AD70" i="14"/>
  <c r="AD69" i="14"/>
  <c r="AD68" i="14"/>
  <c r="AD65" i="14"/>
  <c r="AD64" i="14"/>
  <c r="AD63" i="14"/>
  <c r="D78" i="14"/>
  <c r="D75" i="14"/>
  <c r="D74" i="14"/>
  <c r="D73" i="14"/>
  <c r="D70" i="14"/>
  <c r="D69" i="14"/>
  <c r="D68" i="14"/>
  <c r="D65" i="14"/>
  <c r="D64" i="14"/>
  <c r="D63" i="14"/>
  <c r="DD78" i="13"/>
  <c r="DD75" i="13"/>
  <c r="DD74" i="13"/>
  <c r="DD73" i="13"/>
  <c r="DD70" i="13"/>
  <c r="DD69" i="13"/>
  <c r="DD68" i="13"/>
  <c r="DD65" i="13"/>
  <c r="DD64" i="13"/>
  <c r="DD63" i="13"/>
  <c r="CD78" i="13"/>
  <c r="CD75" i="13"/>
  <c r="CD74" i="13"/>
  <c r="CD73" i="13"/>
  <c r="CD70" i="13"/>
  <c r="CD69" i="13"/>
  <c r="CD68" i="13"/>
  <c r="CD65" i="13"/>
  <c r="CD64" i="13"/>
  <c r="CD63" i="13"/>
  <c r="BD78" i="13"/>
  <c r="BD75" i="13"/>
  <c r="BD74" i="13"/>
  <c r="BD73" i="13"/>
  <c r="BD70" i="13"/>
  <c r="BD69" i="13"/>
  <c r="BD68" i="13"/>
  <c r="BD65" i="13"/>
  <c r="BD64" i="13"/>
  <c r="BD63" i="13"/>
  <c r="AD78" i="13"/>
  <c r="AD75" i="13"/>
  <c r="AD74" i="13"/>
  <c r="AD73" i="13"/>
  <c r="AD70" i="13"/>
  <c r="AD69" i="13"/>
  <c r="AD68" i="13"/>
  <c r="AD65" i="13"/>
  <c r="AD64" i="13"/>
  <c r="AD63" i="13"/>
  <c r="D78" i="13"/>
  <c r="D75" i="13"/>
  <c r="D74" i="13"/>
  <c r="D73" i="13"/>
  <c r="D70" i="13"/>
  <c r="D69" i="13"/>
  <c r="D68" i="13"/>
  <c r="D65" i="13"/>
  <c r="D64" i="13"/>
  <c r="D63" i="13"/>
  <c r="BV14" i="16" l="1"/>
  <c r="BV15" i="16" s="1"/>
  <c r="BV16" i="16" s="1"/>
  <c r="BV17" i="16" s="1"/>
  <c r="BV18" i="16" s="1"/>
  <c r="BV19" i="16" s="1"/>
  <c r="BV20" i="16" s="1"/>
  <c r="BV21" i="16" s="1"/>
  <c r="BV22" i="16" s="1"/>
  <c r="BV23" i="16" s="1"/>
  <c r="BV24" i="16" s="1"/>
  <c r="BV25" i="16" s="1"/>
  <c r="BV26" i="16" s="1"/>
  <c r="BV27" i="16" s="1"/>
  <c r="BV40" i="16"/>
  <c r="BV41" i="16" s="1"/>
  <c r="BV42" i="16" s="1"/>
  <c r="BV43" i="16" s="1"/>
  <c r="BV44" i="16" s="1"/>
  <c r="BV45" i="16" s="1"/>
  <c r="BV46" i="16" s="1"/>
  <c r="BV47" i="16" s="1"/>
  <c r="BV48" i="16" s="1"/>
  <c r="BV49" i="16" s="1"/>
  <c r="BV50" i="16" s="1"/>
  <c r="BV51" i="16" s="1"/>
  <c r="BV52" i="16" s="1"/>
  <c r="BV53" i="16" s="1"/>
  <c r="CB65" i="16"/>
  <c r="CB66" i="16" s="1"/>
  <c r="CB67" i="16" s="1"/>
  <c r="CB68" i="16" s="1"/>
  <c r="CB69" i="16" s="1"/>
  <c r="CB70" i="16" s="1"/>
  <c r="CB71" i="16" s="1"/>
  <c r="CB72" i="16" s="1"/>
  <c r="CB73" i="16" s="1"/>
  <c r="CB74" i="16" s="1"/>
  <c r="CB75" i="16" s="1"/>
  <c r="CB76" i="16" s="1"/>
  <c r="CB77" i="16" s="1"/>
  <c r="CB78" i="16" s="1"/>
  <c r="BV90" i="16"/>
  <c r="BV91" i="16" s="1"/>
  <c r="BV92" i="16" s="1"/>
  <c r="BV93" i="16" s="1"/>
  <c r="BV94" i="16" s="1"/>
  <c r="BV95" i="16" s="1"/>
  <c r="BV96" i="16" s="1"/>
  <c r="BV97" i="16" s="1"/>
  <c r="BV98" i="16" s="1"/>
  <c r="BV99" i="16" s="1"/>
  <c r="BV100" i="16" s="1"/>
  <c r="BV101" i="16" s="1"/>
  <c r="BV102" i="16" s="1"/>
  <c r="BV103" i="16" s="1"/>
  <c r="BV115" i="16"/>
  <c r="BV116" i="16" s="1"/>
  <c r="BV117" i="16" s="1"/>
  <c r="BV118" i="16" s="1"/>
  <c r="BV119" i="16" s="1"/>
  <c r="BV120" i="16" s="1"/>
  <c r="BV121" i="16" s="1"/>
  <c r="BV122" i="16" s="1"/>
  <c r="BV123" i="16" s="1"/>
  <c r="BV124" i="16" s="1"/>
  <c r="BV125" i="16" s="1"/>
  <c r="BV126" i="16" s="1"/>
  <c r="BV127" i="16" s="1"/>
  <c r="BV128" i="16" s="1"/>
  <c r="AX115" i="16"/>
  <c r="AX116" i="16" s="1"/>
  <c r="AX117" i="16" s="1"/>
  <c r="AX118" i="16" s="1"/>
  <c r="AX119" i="16" s="1"/>
  <c r="AX120" i="16" s="1"/>
  <c r="AX121" i="16" s="1"/>
  <c r="AX122" i="16" s="1"/>
  <c r="AX123" i="16" s="1"/>
  <c r="AX124" i="16" s="1"/>
  <c r="AX125" i="16" s="1"/>
  <c r="AX126" i="16" s="1"/>
  <c r="AX127" i="16" s="1"/>
  <c r="AX128" i="16" s="1"/>
  <c r="AX90" i="16"/>
  <c r="AX91" i="16" s="1"/>
  <c r="AX92" i="16" s="1"/>
  <c r="AX93" i="16" s="1"/>
  <c r="AX94" i="16" s="1"/>
  <c r="AX95" i="16" s="1"/>
  <c r="AX96" i="16" s="1"/>
  <c r="AX97" i="16" s="1"/>
  <c r="AX98" i="16" s="1"/>
  <c r="AX99" i="16" s="1"/>
  <c r="AX100" i="16" s="1"/>
  <c r="AX101" i="16" s="1"/>
  <c r="AX102" i="16" s="1"/>
  <c r="AX103" i="16" s="1"/>
  <c r="BB65" i="16"/>
  <c r="BB66" i="16" s="1"/>
  <c r="BB67" i="16" s="1"/>
  <c r="BB68" i="16" s="1"/>
  <c r="BB69" i="16" s="1"/>
  <c r="BB70" i="16" s="1"/>
  <c r="BB71" i="16" s="1"/>
  <c r="BB72" i="16" s="1"/>
  <c r="BB73" i="16" s="1"/>
  <c r="BB74" i="16" s="1"/>
  <c r="BB75" i="16" s="1"/>
  <c r="BB76" i="16" s="1"/>
  <c r="BB77" i="16" s="1"/>
  <c r="BB78" i="16" s="1"/>
  <c r="AX40" i="16"/>
  <c r="AX41" i="16" s="1"/>
  <c r="AX42" i="16" s="1"/>
  <c r="AX43" i="16" s="1"/>
  <c r="AX44" i="16" s="1"/>
  <c r="AX45" i="16" s="1"/>
  <c r="AX46" i="16" s="1"/>
  <c r="AX47" i="16" s="1"/>
  <c r="AX48" i="16" s="1"/>
  <c r="AX49" i="16" s="1"/>
  <c r="AX50" i="16" s="1"/>
  <c r="AX51" i="16" s="1"/>
  <c r="AX52" i="16" s="1"/>
  <c r="AX53" i="16" s="1"/>
  <c r="AX14" i="16"/>
  <c r="AX15" i="16" s="1"/>
  <c r="AX16" i="16" s="1"/>
  <c r="AX17" i="16" s="1"/>
  <c r="AX18" i="16" s="1"/>
  <c r="AX19" i="16" s="1"/>
  <c r="AX20" i="16" s="1"/>
  <c r="AX21" i="16" s="1"/>
  <c r="AX22" i="16" s="1"/>
  <c r="AX23" i="16" s="1"/>
  <c r="AX24" i="16" s="1"/>
  <c r="AX25" i="16" s="1"/>
  <c r="AX26" i="16" s="1"/>
  <c r="AX27" i="16" s="1"/>
  <c r="Z14" i="16"/>
  <c r="Z15" i="16" s="1"/>
  <c r="Z16" i="16" s="1"/>
  <c r="Z17" i="16" s="1"/>
  <c r="Z18" i="16" s="1"/>
  <c r="Z19" i="16" s="1"/>
  <c r="Z20" i="16" s="1"/>
  <c r="Z21" i="16" s="1"/>
  <c r="Z22" i="16" s="1"/>
  <c r="Z23" i="16" s="1"/>
  <c r="Z24" i="16" s="1"/>
  <c r="Z25" i="16" s="1"/>
  <c r="Z26" i="16" s="1"/>
  <c r="Z27" i="16" s="1"/>
  <c r="Z40" i="16"/>
  <c r="Z41" i="16" s="1"/>
  <c r="Z42" i="16" s="1"/>
  <c r="Z43" i="16" s="1"/>
  <c r="Z44" i="16" s="1"/>
  <c r="Z45" i="16" s="1"/>
  <c r="Z46" i="16" s="1"/>
  <c r="Z47" i="16" s="1"/>
  <c r="Z48" i="16" s="1"/>
  <c r="Z49" i="16" s="1"/>
  <c r="Z50" i="16" s="1"/>
  <c r="Z51" i="16" s="1"/>
  <c r="Z52" i="16" s="1"/>
  <c r="Z53" i="16" s="1"/>
  <c r="AB65" i="16"/>
  <c r="AB66" i="16" s="1"/>
  <c r="AB67" i="16" s="1"/>
  <c r="AB68" i="16" s="1"/>
  <c r="AB69" i="16" s="1"/>
  <c r="AB70" i="16" s="1"/>
  <c r="AB71" i="16" s="1"/>
  <c r="AB72" i="16" s="1"/>
  <c r="AB73" i="16" s="1"/>
  <c r="AB74" i="16" s="1"/>
  <c r="AB75" i="16" s="1"/>
  <c r="AB76" i="16" s="1"/>
  <c r="AB77" i="16" s="1"/>
  <c r="AB78" i="16" s="1"/>
  <c r="Z90" i="16"/>
  <c r="Z91" i="16" s="1"/>
  <c r="Z92" i="16" s="1"/>
  <c r="Z93" i="16" s="1"/>
  <c r="Z94" i="16" s="1"/>
  <c r="Z95" i="16" s="1"/>
  <c r="Z96" i="16" s="1"/>
  <c r="Z97" i="16" s="1"/>
  <c r="Z98" i="16" s="1"/>
  <c r="Z99" i="16" s="1"/>
  <c r="Z100" i="16" s="1"/>
  <c r="Z101" i="16" s="1"/>
  <c r="Z102" i="16" s="1"/>
  <c r="Z103" i="16" s="1"/>
  <c r="Z115" i="16"/>
  <c r="Z116" i="16" s="1"/>
  <c r="Z117" i="16" s="1"/>
  <c r="Z118" i="16" s="1"/>
  <c r="Z119" i="16" s="1"/>
  <c r="Z120" i="16" s="1"/>
  <c r="Z121" i="16" s="1"/>
  <c r="Z122" i="16" s="1"/>
  <c r="Z123" i="16" s="1"/>
  <c r="Z124" i="16" s="1"/>
  <c r="Z125" i="16" s="1"/>
  <c r="Z126" i="16" s="1"/>
  <c r="Z127" i="16" s="1"/>
  <c r="Z128" i="16" s="1"/>
  <c r="B115" i="16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90" i="16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65" i="16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40" i="16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14" i="16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CT115" i="15"/>
  <c r="CT116" i="15" s="1"/>
  <c r="CT117" i="15" s="1"/>
  <c r="CT118" i="15" s="1"/>
  <c r="CT119" i="15" s="1"/>
  <c r="CT120" i="15" s="1"/>
  <c r="CT121" i="15" s="1"/>
  <c r="CT122" i="15" s="1"/>
  <c r="CT123" i="15" s="1"/>
  <c r="CT124" i="15" s="1"/>
  <c r="CT125" i="15" s="1"/>
  <c r="CT126" i="15" s="1"/>
  <c r="CT127" i="15" s="1"/>
  <c r="CT128" i="15" s="1"/>
  <c r="CT90" i="15"/>
  <c r="CT91" i="15" s="1"/>
  <c r="CT92" i="15" s="1"/>
  <c r="CT93" i="15" s="1"/>
  <c r="CT94" i="15" s="1"/>
  <c r="CT95" i="15" s="1"/>
  <c r="CT96" i="15" s="1"/>
  <c r="CT97" i="15" s="1"/>
  <c r="CT98" i="15" s="1"/>
  <c r="CT99" i="15" s="1"/>
  <c r="CT100" i="15" s="1"/>
  <c r="CT101" i="15" s="1"/>
  <c r="CT102" i="15" s="1"/>
  <c r="CT103" i="15" s="1"/>
  <c r="DB65" i="15"/>
  <c r="DB66" i="15" s="1"/>
  <c r="DB67" i="15" s="1"/>
  <c r="DB68" i="15" s="1"/>
  <c r="DB69" i="15" s="1"/>
  <c r="DB70" i="15" s="1"/>
  <c r="DB71" i="15" s="1"/>
  <c r="DB72" i="15" s="1"/>
  <c r="DB73" i="15" s="1"/>
  <c r="DB74" i="15" s="1"/>
  <c r="DB75" i="15" s="1"/>
  <c r="DB76" i="15" s="1"/>
  <c r="DB77" i="15" s="1"/>
  <c r="DB78" i="15" s="1"/>
  <c r="CT40" i="15"/>
  <c r="CT41" i="15" s="1"/>
  <c r="CT42" i="15" s="1"/>
  <c r="CT43" i="15" s="1"/>
  <c r="CT44" i="15" s="1"/>
  <c r="CT45" i="15" s="1"/>
  <c r="CT46" i="15" s="1"/>
  <c r="CT47" i="15" s="1"/>
  <c r="CT48" i="15" s="1"/>
  <c r="CT49" i="15" s="1"/>
  <c r="CT50" i="15" s="1"/>
  <c r="CT51" i="15" s="1"/>
  <c r="CT52" i="15" s="1"/>
  <c r="CT53" i="15" s="1"/>
  <c r="CT14" i="15"/>
  <c r="CT15" i="15" s="1"/>
  <c r="CT16" i="15" s="1"/>
  <c r="CT17" i="15" s="1"/>
  <c r="CT18" i="15" s="1"/>
  <c r="CT19" i="15" s="1"/>
  <c r="CT20" i="15" s="1"/>
  <c r="CT21" i="15" s="1"/>
  <c r="CT22" i="15" s="1"/>
  <c r="CT23" i="15" s="1"/>
  <c r="CT24" i="15" s="1"/>
  <c r="CT25" i="15" s="1"/>
  <c r="CT26" i="15" s="1"/>
  <c r="CT27" i="15" s="1"/>
  <c r="BV14" i="15"/>
  <c r="BV15" i="15" s="1"/>
  <c r="BV16" i="15" s="1"/>
  <c r="BV17" i="15" s="1"/>
  <c r="BV18" i="15" s="1"/>
  <c r="BV19" i="15" s="1"/>
  <c r="BV20" i="15" s="1"/>
  <c r="BV21" i="15" s="1"/>
  <c r="BV22" i="15" s="1"/>
  <c r="BV23" i="15" s="1"/>
  <c r="BV24" i="15" s="1"/>
  <c r="BV25" i="15" s="1"/>
  <c r="BV26" i="15" s="1"/>
  <c r="BV27" i="15" s="1"/>
  <c r="BV40" i="15"/>
  <c r="BV41" i="15" s="1"/>
  <c r="BV42" i="15" s="1"/>
  <c r="BV43" i="15" s="1"/>
  <c r="BV44" i="15" s="1"/>
  <c r="BV45" i="15" s="1"/>
  <c r="BV46" i="15" s="1"/>
  <c r="BV47" i="15" s="1"/>
  <c r="BV48" i="15" s="1"/>
  <c r="BV49" i="15" s="1"/>
  <c r="BV50" i="15" s="1"/>
  <c r="BV51" i="15" s="1"/>
  <c r="BV52" i="15" s="1"/>
  <c r="BV53" i="15" s="1"/>
  <c r="CB65" i="15"/>
  <c r="CB66" i="15" s="1"/>
  <c r="CB67" i="15" s="1"/>
  <c r="CB68" i="15" s="1"/>
  <c r="CB69" i="15" s="1"/>
  <c r="CB70" i="15" s="1"/>
  <c r="CB71" i="15" s="1"/>
  <c r="CB72" i="15" s="1"/>
  <c r="CB73" i="15" s="1"/>
  <c r="CB74" i="15" s="1"/>
  <c r="CB75" i="15" s="1"/>
  <c r="CB76" i="15" s="1"/>
  <c r="CB77" i="15" s="1"/>
  <c r="CB78" i="15" s="1"/>
  <c r="BV90" i="15"/>
  <c r="BV91" i="15" s="1"/>
  <c r="BV92" i="15" s="1"/>
  <c r="BV93" i="15" s="1"/>
  <c r="BV94" i="15" s="1"/>
  <c r="BV95" i="15" s="1"/>
  <c r="BV96" i="15" s="1"/>
  <c r="BV97" i="15" s="1"/>
  <c r="BV98" i="15" s="1"/>
  <c r="BV99" i="15" s="1"/>
  <c r="BV100" i="15" s="1"/>
  <c r="BV101" i="15" s="1"/>
  <c r="BV102" i="15" s="1"/>
  <c r="BV103" i="15" s="1"/>
  <c r="BV115" i="15"/>
  <c r="BV116" i="15" s="1"/>
  <c r="BV117" i="15" s="1"/>
  <c r="BV118" i="15" s="1"/>
  <c r="BV119" i="15" s="1"/>
  <c r="BV120" i="15" s="1"/>
  <c r="BV121" i="15" s="1"/>
  <c r="BV122" i="15" s="1"/>
  <c r="BV123" i="15" s="1"/>
  <c r="BV124" i="15" s="1"/>
  <c r="BV125" i="15" s="1"/>
  <c r="BV126" i="15" s="1"/>
  <c r="BV127" i="15" s="1"/>
  <c r="BV128" i="15" s="1"/>
  <c r="AX115" i="15"/>
  <c r="AX116" i="15" s="1"/>
  <c r="AX117" i="15" s="1"/>
  <c r="AX118" i="15" s="1"/>
  <c r="AX119" i="15" s="1"/>
  <c r="AX120" i="15" s="1"/>
  <c r="AX121" i="15" s="1"/>
  <c r="AX122" i="15" s="1"/>
  <c r="AX123" i="15" s="1"/>
  <c r="AX124" i="15" s="1"/>
  <c r="AX125" i="15" s="1"/>
  <c r="AX126" i="15" s="1"/>
  <c r="AX127" i="15" s="1"/>
  <c r="AX128" i="15" s="1"/>
  <c r="AX90" i="15"/>
  <c r="AX91" i="15" s="1"/>
  <c r="AX92" i="15" s="1"/>
  <c r="AX93" i="15" s="1"/>
  <c r="AX94" i="15" s="1"/>
  <c r="AX95" i="15" s="1"/>
  <c r="AX96" i="15" s="1"/>
  <c r="AX97" i="15" s="1"/>
  <c r="AX98" i="15" s="1"/>
  <c r="AX99" i="15" s="1"/>
  <c r="AX100" i="15" s="1"/>
  <c r="AX101" i="15" s="1"/>
  <c r="AX102" i="15" s="1"/>
  <c r="AX103" i="15" s="1"/>
  <c r="BB65" i="15"/>
  <c r="BB66" i="15" s="1"/>
  <c r="BB67" i="15" s="1"/>
  <c r="BB68" i="15" s="1"/>
  <c r="BB69" i="15" s="1"/>
  <c r="BB70" i="15" s="1"/>
  <c r="BB71" i="15" s="1"/>
  <c r="BB72" i="15" s="1"/>
  <c r="BB73" i="15" s="1"/>
  <c r="BB74" i="15" s="1"/>
  <c r="BB75" i="15" s="1"/>
  <c r="BB76" i="15" s="1"/>
  <c r="BB77" i="15" s="1"/>
  <c r="BB78" i="15" s="1"/>
  <c r="AX40" i="15"/>
  <c r="AX41" i="15" s="1"/>
  <c r="AX42" i="15" s="1"/>
  <c r="AX43" i="15" s="1"/>
  <c r="AX44" i="15" s="1"/>
  <c r="AX45" i="15" s="1"/>
  <c r="AX46" i="15" s="1"/>
  <c r="AX47" i="15" s="1"/>
  <c r="AX48" i="15" s="1"/>
  <c r="AX49" i="15" s="1"/>
  <c r="AX50" i="15" s="1"/>
  <c r="AX51" i="15" s="1"/>
  <c r="AX52" i="15" s="1"/>
  <c r="AX53" i="15" s="1"/>
  <c r="AX14" i="15"/>
  <c r="AX15" i="15" s="1"/>
  <c r="AX16" i="15" s="1"/>
  <c r="AX17" i="15" s="1"/>
  <c r="AX18" i="15" s="1"/>
  <c r="AX19" i="15" s="1"/>
  <c r="AX20" i="15" s="1"/>
  <c r="AX21" i="15" s="1"/>
  <c r="AX22" i="15" s="1"/>
  <c r="AX23" i="15" s="1"/>
  <c r="AX24" i="15" s="1"/>
  <c r="AX25" i="15" s="1"/>
  <c r="AX26" i="15" s="1"/>
  <c r="AX27" i="15" s="1"/>
  <c r="Z14" i="15"/>
  <c r="Z15" i="15" s="1"/>
  <c r="Z16" i="15" s="1"/>
  <c r="Z17" i="15" s="1"/>
  <c r="Z18" i="15" s="1"/>
  <c r="Z19" i="15" s="1"/>
  <c r="Z20" i="15" s="1"/>
  <c r="Z21" i="15" s="1"/>
  <c r="Z22" i="15" s="1"/>
  <c r="Z23" i="15" s="1"/>
  <c r="Z24" i="15" s="1"/>
  <c r="Z25" i="15" s="1"/>
  <c r="Z26" i="15" s="1"/>
  <c r="Z27" i="15" s="1"/>
  <c r="Z40" i="15"/>
  <c r="Z41" i="15" s="1"/>
  <c r="Z42" i="15" s="1"/>
  <c r="Z43" i="15" s="1"/>
  <c r="Z44" i="15" s="1"/>
  <c r="Z45" i="15" s="1"/>
  <c r="Z46" i="15" s="1"/>
  <c r="Z47" i="15" s="1"/>
  <c r="Z48" i="15" s="1"/>
  <c r="Z49" i="15" s="1"/>
  <c r="Z50" i="15" s="1"/>
  <c r="Z51" i="15" s="1"/>
  <c r="Z52" i="15" s="1"/>
  <c r="Z53" i="15" s="1"/>
  <c r="AB65" i="15"/>
  <c r="AB66" i="15" s="1"/>
  <c r="AB67" i="15" s="1"/>
  <c r="AB68" i="15" s="1"/>
  <c r="AB69" i="15" s="1"/>
  <c r="AB70" i="15" s="1"/>
  <c r="AB71" i="15" s="1"/>
  <c r="AB72" i="15" s="1"/>
  <c r="AB73" i="15" s="1"/>
  <c r="AB74" i="15" s="1"/>
  <c r="AB75" i="15" s="1"/>
  <c r="AB76" i="15" s="1"/>
  <c r="AB77" i="15" s="1"/>
  <c r="AB78" i="15" s="1"/>
  <c r="Z90" i="15"/>
  <c r="Z91" i="15" s="1"/>
  <c r="Z92" i="15" s="1"/>
  <c r="Z93" i="15" s="1"/>
  <c r="Z94" i="15" s="1"/>
  <c r="Z95" i="15" s="1"/>
  <c r="Z96" i="15" s="1"/>
  <c r="Z97" i="15" s="1"/>
  <c r="Z98" i="15" s="1"/>
  <c r="Z99" i="15" s="1"/>
  <c r="Z100" i="15" s="1"/>
  <c r="Z101" i="15" s="1"/>
  <c r="Z102" i="15" s="1"/>
  <c r="Z103" i="15" s="1"/>
  <c r="Z115" i="15"/>
  <c r="Z116" i="15" s="1"/>
  <c r="Z117" i="15" s="1"/>
  <c r="Z118" i="15" s="1"/>
  <c r="Z119" i="15" s="1"/>
  <c r="Z120" i="15" s="1"/>
  <c r="Z121" i="15" s="1"/>
  <c r="Z122" i="15" s="1"/>
  <c r="Z123" i="15" s="1"/>
  <c r="Z124" i="15" s="1"/>
  <c r="Z125" i="15" s="1"/>
  <c r="Z126" i="15" s="1"/>
  <c r="Z127" i="15" s="1"/>
  <c r="Z128" i="15" s="1"/>
  <c r="B115" i="15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90" i="15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65" i="15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40" i="15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14" i="15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CT14" i="14"/>
  <c r="CT15" i="14" s="1"/>
  <c r="CT16" i="14" s="1"/>
  <c r="CT17" i="14" s="1"/>
  <c r="CT18" i="14" s="1"/>
  <c r="CT19" i="14" s="1"/>
  <c r="CT20" i="14" s="1"/>
  <c r="CT21" i="14" s="1"/>
  <c r="CT22" i="14" s="1"/>
  <c r="CT23" i="14" s="1"/>
  <c r="CT24" i="14" s="1"/>
  <c r="CT25" i="14" s="1"/>
  <c r="CT26" i="14" s="1"/>
  <c r="CT27" i="14" s="1"/>
  <c r="CT40" i="14"/>
  <c r="CT41" i="14" s="1"/>
  <c r="CT42" i="14" s="1"/>
  <c r="CT43" i="14" s="1"/>
  <c r="CT44" i="14" s="1"/>
  <c r="CT45" i="14" s="1"/>
  <c r="CT46" i="14" s="1"/>
  <c r="CT47" i="14" s="1"/>
  <c r="CT48" i="14" s="1"/>
  <c r="CT49" i="14" s="1"/>
  <c r="CT50" i="14" s="1"/>
  <c r="CT51" i="14" s="1"/>
  <c r="CT52" i="14" s="1"/>
  <c r="CT53" i="14" s="1"/>
  <c r="DB65" i="14"/>
  <c r="DB66" i="14" s="1"/>
  <c r="DB67" i="14" s="1"/>
  <c r="DB68" i="14" s="1"/>
  <c r="DB69" i="14" s="1"/>
  <c r="DB70" i="14" s="1"/>
  <c r="DB71" i="14" s="1"/>
  <c r="DB72" i="14" s="1"/>
  <c r="DB73" i="14" s="1"/>
  <c r="DB74" i="14" s="1"/>
  <c r="DB75" i="14" s="1"/>
  <c r="DB76" i="14" s="1"/>
  <c r="DB77" i="14" s="1"/>
  <c r="DB78" i="14" s="1"/>
  <c r="CT90" i="14"/>
  <c r="CT91" i="14" s="1"/>
  <c r="CT92" i="14" s="1"/>
  <c r="CT93" i="14" s="1"/>
  <c r="CT94" i="14" s="1"/>
  <c r="CT95" i="14" s="1"/>
  <c r="CT96" i="14" s="1"/>
  <c r="CT97" i="14" s="1"/>
  <c r="CT98" i="14" s="1"/>
  <c r="CT99" i="14" s="1"/>
  <c r="CT100" i="14" s="1"/>
  <c r="CT101" i="14" s="1"/>
  <c r="CT102" i="14" s="1"/>
  <c r="CT103" i="14" s="1"/>
  <c r="CT115" i="14"/>
  <c r="CT116" i="14" s="1"/>
  <c r="CT117" i="14" s="1"/>
  <c r="CT118" i="14" s="1"/>
  <c r="CT119" i="14" s="1"/>
  <c r="CT120" i="14" s="1"/>
  <c r="CT121" i="14" s="1"/>
  <c r="CT122" i="14" s="1"/>
  <c r="CT123" i="14" s="1"/>
  <c r="CT124" i="14" s="1"/>
  <c r="CT125" i="14" s="1"/>
  <c r="CT126" i="14" s="1"/>
  <c r="CT127" i="14" s="1"/>
  <c r="CT128" i="14" s="1"/>
  <c r="BV115" i="14"/>
  <c r="BV116" i="14" s="1"/>
  <c r="BV117" i="14" s="1"/>
  <c r="BV118" i="14" s="1"/>
  <c r="BV119" i="14" s="1"/>
  <c r="BV120" i="14" s="1"/>
  <c r="BV121" i="14" s="1"/>
  <c r="BV122" i="14" s="1"/>
  <c r="BV123" i="14" s="1"/>
  <c r="BV124" i="14" s="1"/>
  <c r="BV125" i="14" s="1"/>
  <c r="BV126" i="14" s="1"/>
  <c r="BV127" i="14" s="1"/>
  <c r="BV128" i="14" s="1"/>
  <c r="BV90" i="14"/>
  <c r="BV91" i="14" s="1"/>
  <c r="BV92" i="14" s="1"/>
  <c r="BV93" i="14" s="1"/>
  <c r="BV94" i="14" s="1"/>
  <c r="BV95" i="14" s="1"/>
  <c r="BV96" i="14" s="1"/>
  <c r="BV97" i="14" s="1"/>
  <c r="BV98" i="14" s="1"/>
  <c r="BV99" i="14" s="1"/>
  <c r="BV100" i="14" s="1"/>
  <c r="BV101" i="14" s="1"/>
  <c r="BV102" i="14" s="1"/>
  <c r="BV103" i="14" s="1"/>
  <c r="CB65" i="14"/>
  <c r="CB66" i="14" s="1"/>
  <c r="CB67" i="14" s="1"/>
  <c r="CB68" i="14" s="1"/>
  <c r="CB69" i="14" s="1"/>
  <c r="CB70" i="14" s="1"/>
  <c r="CB71" i="14" s="1"/>
  <c r="CB72" i="14" s="1"/>
  <c r="CB73" i="14" s="1"/>
  <c r="CB74" i="14" s="1"/>
  <c r="CB75" i="14" s="1"/>
  <c r="CB76" i="14" s="1"/>
  <c r="CB77" i="14" s="1"/>
  <c r="CB78" i="14" s="1"/>
  <c r="BV40" i="14"/>
  <c r="BV41" i="14" s="1"/>
  <c r="BV42" i="14" s="1"/>
  <c r="BV43" i="14" s="1"/>
  <c r="BV44" i="14" s="1"/>
  <c r="BV45" i="14" s="1"/>
  <c r="BV46" i="14" s="1"/>
  <c r="BV47" i="14" s="1"/>
  <c r="BV48" i="14" s="1"/>
  <c r="BV49" i="14" s="1"/>
  <c r="BV50" i="14" s="1"/>
  <c r="BV51" i="14" s="1"/>
  <c r="BV52" i="14" s="1"/>
  <c r="BV53" i="14" s="1"/>
  <c r="BV14" i="14"/>
  <c r="BV15" i="14" s="1"/>
  <c r="BV16" i="14" s="1"/>
  <c r="BV17" i="14" s="1"/>
  <c r="BV18" i="14" s="1"/>
  <c r="BV19" i="14" s="1"/>
  <c r="BV20" i="14" s="1"/>
  <c r="BV21" i="14" s="1"/>
  <c r="BV22" i="14" s="1"/>
  <c r="BV23" i="14" s="1"/>
  <c r="BV24" i="14" s="1"/>
  <c r="BV25" i="14" s="1"/>
  <c r="BV26" i="14" s="1"/>
  <c r="BV27" i="14" s="1"/>
  <c r="AX115" i="14"/>
  <c r="AX116" i="14" s="1"/>
  <c r="AX117" i="14" s="1"/>
  <c r="AX118" i="14" s="1"/>
  <c r="AX119" i="14" s="1"/>
  <c r="AX120" i="14" s="1"/>
  <c r="AX121" i="14" s="1"/>
  <c r="AX122" i="14" s="1"/>
  <c r="AX123" i="14" s="1"/>
  <c r="AX124" i="14" s="1"/>
  <c r="AX125" i="14" s="1"/>
  <c r="AX126" i="14" s="1"/>
  <c r="AX127" i="14" s="1"/>
  <c r="AX128" i="14" s="1"/>
  <c r="AX90" i="14"/>
  <c r="AX91" i="14" s="1"/>
  <c r="AX92" i="14" s="1"/>
  <c r="AX93" i="14" s="1"/>
  <c r="AX94" i="14" s="1"/>
  <c r="AX95" i="14" s="1"/>
  <c r="AX96" i="14" s="1"/>
  <c r="AX97" i="14" s="1"/>
  <c r="AX98" i="14" s="1"/>
  <c r="AX99" i="14" s="1"/>
  <c r="AX100" i="14" s="1"/>
  <c r="AX101" i="14" s="1"/>
  <c r="AX102" i="14" s="1"/>
  <c r="AX103" i="14" s="1"/>
  <c r="BB65" i="14"/>
  <c r="BB66" i="14" s="1"/>
  <c r="BB67" i="14" s="1"/>
  <c r="BB68" i="14" s="1"/>
  <c r="BB69" i="14" s="1"/>
  <c r="BB70" i="14" s="1"/>
  <c r="BB71" i="14" s="1"/>
  <c r="BB72" i="14" s="1"/>
  <c r="BB73" i="14" s="1"/>
  <c r="BB74" i="14" s="1"/>
  <c r="BB75" i="14" s="1"/>
  <c r="BB76" i="14" s="1"/>
  <c r="BB77" i="14" s="1"/>
  <c r="BB78" i="14" s="1"/>
  <c r="AX40" i="14"/>
  <c r="AX41" i="14" s="1"/>
  <c r="AX42" i="14" s="1"/>
  <c r="AX43" i="14" s="1"/>
  <c r="AX44" i="14" s="1"/>
  <c r="AX45" i="14" s="1"/>
  <c r="AX46" i="14" s="1"/>
  <c r="AX47" i="14" s="1"/>
  <c r="AX48" i="14" s="1"/>
  <c r="AX49" i="14" s="1"/>
  <c r="AX50" i="14" s="1"/>
  <c r="AX51" i="14" s="1"/>
  <c r="AX52" i="14" s="1"/>
  <c r="AX53" i="14" s="1"/>
  <c r="AX14" i="14"/>
  <c r="AX15" i="14" s="1"/>
  <c r="AX16" i="14" s="1"/>
  <c r="AX17" i="14" s="1"/>
  <c r="AX18" i="14" s="1"/>
  <c r="AX19" i="14" s="1"/>
  <c r="AX20" i="14" s="1"/>
  <c r="AX21" i="14" s="1"/>
  <c r="AX22" i="14" s="1"/>
  <c r="AX23" i="14" s="1"/>
  <c r="AX24" i="14" s="1"/>
  <c r="AX25" i="14" s="1"/>
  <c r="AX26" i="14" s="1"/>
  <c r="AX27" i="14" s="1"/>
  <c r="Z14" i="14"/>
  <c r="Z15" i="14" s="1"/>
  <c r="Z16" i="14" s="1"/>
  <c r="Z17" i="14" s="1"/>
  <c r="Z18" i="14" s="1"/>
  <c r="Z19" i="14" s="1"/>
  <c r="Z20" i="14" s="1"/>
  <c r="Z21" i="14" s="1"/>
  <c r="Z22" i="14" s="1"/>
  <c r="Z23" i="14" s="1"/>
  <c r="Z24" i="14" s="1"/>
  <c r="Z25" i="14" s="1"/>
  <c r="Z26" i="14" s="1"/>
  <c r="Z27" i="14" s="1"/>
  <c r="Z40" i="14"/>
  <c r="Z41" i="14" s="1"/>
  <c r="Z42" i="14" s="1"/>
  <c r="Z43" i="14" s="1"/>
  <c r="Z44" i="14" s="1"/>
  <c r="Z45" i="14" s="1"/>
  <c r="Z46" i="14" s="1"/>
  <c r="Z47" i="14" s="1"/>
  <c r="Z48" i="14" s="1"/>
  <c r="Z49" i="14" s="1"/>
  <c r="Z50" i="14" s="1"/>
  <c r="Z51" i="14" s="1"/>
  <c r="Z52" i="14" s="1"/>
  <c r="Z53" i="14" s="1"/>
  <c r="AB65" i="14"/>
  <c r="AB66" i="14" s="1"/>
  <c r="AB67" i="14" s="1"/>
  <c r="AB68" i="14" s="1"/>
  <c r="AB69" i="14" s="1"/>
  <c r="AB70" i="14" s="1"/>
  <c r="AB71" i="14" s="1"/>
  <c r="AB72" i="14" s="1"/>
  <c r="AB73" i="14" s="1"/>
  <c r="AB74" i="14" s="1"/>
  <c r="AB75" i="14" s="1"/>
  <c r="AB76" i="14" s="1"/>
  <c r="AB77" i="14" s="1"/>
  <c r="AB78" i="14" s="1"/>
  <c r="Z90" i="14"/>
  <c r="Z91" i="14" s="1"/>
  <c r="Z92" i="14" s="1"/>
  <c r="Z93" i="14" s="1"/>
  <c r="Z94" i="14" s="1"/>
  <c r="Z95" i="14" s="1"/>
  <c r="Z96" i="14" s="1"/>
  <c r="Z97" i="14" s="1"/>
  <c r="Z98" i="14" s="1"/>
  <c r="Z99" i="14" s="1"/>
  <c r="Z100" i="14" s="1"/>
  <c r="Z101" i="14" s="1"/>
  <c r="Z102" i="14" s="1"/>
  <c r="Z103" i="14" s="1"/>
  <c r="Z115" i="14"/>
  <c r="Z116" i="14" s="1"/>
  <c r="Z117" i="14" s="1"/>
  <c r="Z118" i="14" s="1"/>
  <c r="Z119" i="14" s="1"/>
  <c r="Z120" i="14" s="1"/>
  <c r="Z121" i="14" s="1"/>
  <c r="Z122" i="14" s="1"/>
  <c r="Z123" i="14" s="1"/>
  <c r="Z124" i="14" s="1"/>
  <c r="Z125" i="14" s="1"/>
  <c r="Z126" i="14" s="1"/>
  <c r="Z127" i="14" s="1"/>
  <c r="Z128" i="14" s="1"/>
  <c r="B115" i="14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90" i="14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65" i="14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40" i="14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14" i="14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CT14" i="13"/>
  <c r="CT15" i="13" s="1"/>
  <c r="CT16" i="13" s="1"/>
  <c r="CT17" i="13" s="1"/>
  <c r="CT18" i="13" s="1"/>
  <c r="CT19" i="13" s="1"/>
  <c r="CT20" i="13" s="1"/>
  <c r="CT21" i="13" s="1"/>
  <c r="CT22" i="13" s="1"/>
  <c r="CT23" i="13" s="1"/>
  <c r="CT24" i="13" s="1"/>
  <c r="CT25" i="13" s="1"/>
  <c r="CT26" i="13" s="1"/>
  <c r="CT27" i="13" s="1"/>
  <c r="CT40" i="13"/>
  <c r="CT41" i="13" s="1"/>
  <c r="CT42" i="13" s="1"/>
  <c r="CT43" i="13" s="1"/>
  <c r="CT44" i="13" s="1"/>
  <c r="CT45" i="13" s="1"/>
  <c r="CT46" i="13" s="1"/>
  <c r="CT47" i="13" s="1"/>
  <c r="CT48" i="13" s="1"/>
  <c r="CT49" i="13" s="1"/>
  <c r="CT50" i="13" s="1"/>
  <c r="CT51" i="13" s="1"/>
  <c r="CT52" i="13" s="1"/>
  <c r="CT53" i="13" s="1"/>
  <c r="DB65" i="13"/>
  <c r="DB66" i="13" s="1"/>
  <c r="DB67" i="13" s="1"/>
  <c r="DB68" i="13" s="1"/>
  <c r="DB69" i="13" s="1"/>
  <c r="DB70" i="13" s="1"/>
  <c r="DB71" i="13" s="1"/>
  <c r="DB72" i="13" s="1"/>
  <c r="DB73" i="13" s="1"/>
  <c r="DB74" i="13" s="1"/>
  <c r="DB75" i="13" s="1"/>
  <c r="DB76" i="13" s="1"/>
  <c r="DB77" i="13" s="1"/>
  <c r="DB78" i="13" s="1"/>
  <c r="CT90" i="13"/>
  <c r="CT91" i="13" l="1"/>
  <c r="D8" i="5"/>
  <c r="CT92" i="13" l="1"/>
  <c r="CT114" i="16"/>
  <c r="CT115" i="16" s="1"/>
  <c r="CT116" i="16" s="1"/>
  <c r="CT117" i="16" s="1"/>
  <c r="CT118" i="16" s="1"/>
  <c r="CT119" i="16" s="1"/>
  <c r="CT115" i="13"/>
  <c r="CT116" i="13" s="1"/>
  <c r="CT117" i="13" s="1"/>
  <c r="CT118" i="13" s="1"/>
  <c r="CT89" i="16"/>
  <c r="CT90" i="16" s="1"/>
  <c r="CT91" i="16" s="1"/>
  <c r="CT92" i="16" s="1"/>
  <c r="CT93" i="16" s="1"/>
  <c r="CT93" i="13" l="1"/>
  <c r="CT119" i="13"/>
  <c r="CT120" i="13" s="1"/>
  <c r="CT121" i="13" s="1"/>
  <c r="CT122" i="13" s="1"/>
  <c r="CT123" i="13" s="1"/>
  <c r="CT120" i="16"/>
  <c r="CT94" i="16"/>
  <c r="DB64" i="16"/>
  <c r="DB65" i="16" s="1"/>
  <c r="DB66" i="16" s="1"/>
  <c r="DL61" i="16"/>
  <c r="DK61" i="16"/>
  <c r="CL61" i="16"/>
  <c r="CK61" i="16"/>
  <c r="BL61" i="16"/>
  <c r="BK61" i="16"/>
  <c r="AL61" i="16"/>
  <c r="AK61" i="16"/>
  <c r="L61" i="16"/>
  <c r="K61" i="16"/>
  <c r="DL61" i="15"/>
  <c r="DK61" i="15"/>
  <c r="CL61" i="15"/>
  <c r="CK61" i="15"/>
  <c r="BL61" i="15"/>
  <c r="BK61" i="15"/>
  <c r="AL61" i="15"/>
  <c r="AK61" i="15"/>
  <c r="L61" i="15"/>
  <c r="K61" i="15"/>
  <c r="DL61" i="14"/>
  <c r="DK61" i="14"/>
  <c r="CL61" i="14"/>
  <c r="CK61" i="14"/>
  <c r="BL61" i="14"/>
  <c r="BK61" i="14"/>
  <c r="AL61" i="14"/>
  <c r="AK61" i="14"/>
  <c r="L61" i="14"/>
  <c r="K61" i="14"/>
  <c r="G5" i="18"/>
  <c r="H5" i="18"/>
  <c r="D5" i="18"/>
  <c r="CT94" i="13" l="1"/>
  <c r="D8" i="17"/>
  <c r="D12" i="17"/>
  <c r="D16" i="17"/>
  <c r="D20" i="17"/>
  <c r="D10" i="17"/>
  <c r="D18" i="17"/>
  <c r="D11" i="17"/>
  <c r="D19" i="17"/>
  <c r="D9" i="17"/>
  <c r="D13" i="17"/>
  <c r="D17" i="17"/>
  <c r="D21" i="17"/>
  <c r="D14" i="17"/>
  <c r="D22" i="17"/>
  <c r="D15" i="17"/>
  <c r="D7" i="17"/>
  <c r="CT121" i="16"/>
  <c r="CT124" i="13"/>
  <c r="CT95" i="16"/>
  <c r="DB67" i="16"/>
  <c r="DB68" i="16" s="1"/>
  <c r="D35" i="7"/>
  <c r="D34" i="7"/>
  <c r="D33" i="7"/>
  <c r="V33" i="7" s="1"/>
  <c r="D32" i="7"/>
  <c r="D31" i="7"/>
  <c r="D30" i="7"/>
  <c r="D29" i="7"/>
  <c r="D28" i="7"/>
  <c r="D27" i="7"/>
  <c r="V27" i="7" s="1"/>
  <c r="D26" i="7"/>
  <c r="Q26" i="7" s="1"/>
  <c r="D25" i="7"/>
  <c r="D24" i="7"/>
  <c r="D23" i="7"/>
  <c r="D22" i="7"/>
  <c r="D21" i="7"/>
  <c r="D20" i="7"/>
  <c r="D19" i="7"/>
  <c r="D18" i="7"/>
  <c r="D16" i="7"/>
  <c r="D15" i="7"/>
  <c r="D17" i="7" s="1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19" i="7"/>
  <c r="C18" i="7"/>
  <c r="C16" i="7"/>
  <c r="C15" i="7"/>
  <c r="C17" i="7" s="1"/>
  <c r="F25" i="22"/>
  <c r="G25" i="22"/>
  <c r="E25" i="22"/>
  <c r="D25" i="22"/>
  <c r="D159" i="3"/>
  <c r="D154" i="3"/>
  <c r="D151" i="3"/>
  <c r="D146" i="3"/>
  <c r="D145" i="3"/>
  <c r="C159" i="3"/>
  <c r="C158" i="3"/>
  <c r="C157" i="3"/>
  <c r="C156" i="3"/>
  <c r="C155" i="3"/>
  <c r="C154" i="3"/>
  <c r="C153" i="3"/>
  <c r="C152" i="3"/>
  <c r="C150" i="3"/>
  <c r="C149" i="3"/>
  <c r="C148" i="3"/>
  <c r="C147" i="3"/>
  <c r="C146" i="3"/>
  <c r="C145" i="3"/>
  <c r="D140" i="3"/>
  <c r="D139" i="3"/>
  <c r="D138" i="3"/>
  <c r="D137" i="3"/>
  <c r="C140" i="3"/>
  <c r="C139" i="3"/>
  <c r="C138" i="3"/>
  <c r="C137" i="3"/>
  <c r="D133" i="3"/>
  <c r="D125" i="3"/>
  <c r="D121" i="3"/>
  <c r="D119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D112" i="3"/>
  <c r="D111" i="3"/>
  <c r="D110" i="3"/>
  <c r="D109" i="3"/>
  <c r="C115" i="3"/>
  <c r="C114" i="3"/>
  <c r="C113" i="3"/>
  <c r="C112" i="3"/>
  <c r="C111" i="3"/>
  <c r="C110" i="3"/>
  <c r="C109" i="3"/>
  <c r="C108" i="3"/>
  <c r="D104" i="3"/>
  <c r="Q104" i="3" s="1"/>
  <c r="D103" i="3"/>
  <c r="D99" i="3"/>
  <c r="D98" i="3"/>
  <c r="D96" i="3"/>
  <c r="D95" i="3"/>
  <c r="D94" i="3"/>
  <c r="D93" i="3"/>
  <c r="D90" i="3"/>
  <c r="D89" i="3"/>
  <c r="D87" i="3"/>
  <c r="D86" i="3"/>
  <c r="D85" i="3"/>
  <c r="D84" i="3"/>
  <c r="C103" i="3"/>
  <c r="C102" i="3"/>
  <c r="AA102" i="3" s="1"/>
  <c r="C101" i="3"/>
  <c r="C100" i="3"/>
  <c r="C99" i="3"/>
  <c r="C98" i="3"/>
  <c r="C97" i="3"/>
  <c r="C96" i="3"/>
  <c r="V96" i="3" s="1"/>
  <c r="C95" i="3"/>
  <c r="C94" i="3"/>
  <c r="C93" i="3"/>
  <c r="C92" i="3"/>
  <c r="C91" i="3"/>
  <c r="C90" i="3"/>
  <c r="C89" i="3"/>
  <c r="C88" i="3"/>
  <c r="C84" i="3"/>
  <c r="C86" i="3" s="1"/>
  <c r="D78" i="3"/>
  <c r="D75" i="3"/>
  <c r="D74" i="3"/>
  <c r="C80" i="3"/>
  <c r="C79" i="3"/>
  <c r="C78" i="3"/>
  <c r="C77" i="3"/>
  <c r="C74" i="3"/>
  <c r="C76" i="3" s="1"/>
  <c r="D70" i="3"/>
  <c r="D69" i="3"/>
  <c r="D66" i="3"/>
  <c r="D64" i="3"/>
  <c r="D63" i="3"/>
  <c r="D61" i="3"/>
  <c r="D60" i="3"/>
  <c r="D59" i="3"/>
  <c r="D58" i="3"/>
  <c r="D57" i="3"/>
  <c r="D56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2" i="3"/>
  <c r="C51" i="3"/>
  <c r="D44" i="3"/>
  <c r="D42" i="3"/>
  <c r="D41" i="3"/>
  <c r="D38" i="3"/>
  <c r="C47" i="3"/>
  <c r="C46" i="3"/>
  <c r="C45" i="3"/>
  <c r="C44" i="3"/>
  <c r="C43" i="3"/>
  <c r="C42" i="3"/>
  <c r="C41" i="3"/>
  <c r="C40" i="3"/>
  <c r="C38" i="3"/>
  <c r="C39" i="3" s="1"/>
  <c r="D34" i="3"/>
  <c r="D33" i="3"/>
  <c r="D32" i="3"/>
  <c r="AA32" i="3" s="1"/>
  <c r="D31" i="3"/>
  <c r="V31" i="3" s="1"/>
  <c r="D30" i="3"/>
  <c r="Q30" i="3" s="1"/>
  <c r="D29" i="3"/>
  <c r="D28" i="3"/>
  <c r="D27" i="3"/>
  <c r="D26" i="3"/>
  <c r="D25" i="3"/>
  <c r="D24" i="3"/>
  <c r="D23" i="3"/>
  <c r="D22" i="3"/>
  <c r="D21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D20" i="3"/>
  <c r="D19" i="3"/>
  <c r="C18" i="3"/>
  <c r="C17" i="3"/>
  <c r="D17" i="3"/>
  <c r="D15" i="3"/>
  <c r="D14" i="3"/>
  <c r="D16" i="3" s="1"/>
  <c r="C15" i="3"/>
  <c r="C14" i="3"/>
  <c r="C16" i="3" s="1"/>
  <c r="F50" i="21"/>
  <c r="D50" i="21"/>
  <c r="D36" i="21"/>
  <c r="D35" i="21"/>
  <c r="D34" i="21"/>
  <c r="C4" i="3"/>
  <c r="E26" i="21"/>
  <c r="E25" i="21"/>
  <c r="D10" i="21"/>
  <c r="D12" i="18" s="1"/>
  <c r="DG72" i="16" l="1"/>
  <c r="CG72" i="16"/>
  <c r="BG72" i="16"/>
  <c r="AG72" i="16"/>
  <c r="G72" i="16"/>
  <c r="CG72" i="14"/>
  <c r="AG72" i="14"/>
  <c r="G77" i="14"/>
  <c r="G67" i="14"/>
  <c r="DG72" i="15"/>
  <c r="CG77" i="15"/>
  <c r="CG67" i="15"/>
  <c r="BG72" i="15"/>
  <c r="AG77" i="15"/>
  <c r="AG67" i="15"/>
  <c r="G77" i="15"/>
  <c r="G67" i="15"/>
  <c r="DG67" i="14"/>
  <c r="CG77" i="14"/>
  <c r="BG67" i="14"/>
  <c r="AG77" i="14"/>
  <c r="DG77" i="16"/>
  <c r="DG67" i="16"/>
  <c r="CG77" i="16"/>
  <c r="CG67" i="16"/>
  <c r="BG77" i="16"/>
  <c r="BG67" i="16"/>
  <c r="AG77" i="16"/>
  <c r="AG67" i="16"/>
  <c r="G77" i="16"/>
  <c r="G67" i="16"/>
  <c r="DG72" i="14"/>
  <c r="BG72" i="14"/>
  <c r="DG77" i="15"/>
  <c r="CG72" i="15"/>
  <c r="G72" i="15"/>
  <c r="DG77" i="14"/>
  <c r="CG67" i="14"/>
  <c r="BG77" i="14"/>
  <c r="DG77" i="13"/>
  <c r="AG77" i="13"/>
  <c r="BG77" i="13"/>
  <c r="G72" i="13"/>
  <c r="BG67" i="15"/>
  <c r="AG72" i="13"/>
  <c r="CG67" i="13"/>
  <c r="DG67" i="15"/>
  <c r="AG67" i="14"/>
  <c r="DG67" i="13"/>
  <c r="AG67" i="13"/>
  <c r="CG72" i="13"/>
  <c r="BG67" i="13"/>
  <c r="G77" i="13"/>
  <c r="G67" i="13"/>
  <c r="DG72" i="13"/>
  <c r="CG77" i="13"/>
  <c r="AG72" i="15"/>
  <c r="BG72" i="13"/>
  <c r="BG77" i="15"/>
  <c r="G72" i="14"/>
  <c r="Q21" i="7"/>
  <c r="V21" i="7"/>
  <c r="L21" i="7"/>
  <c r="G21" i="7"/>
  <c r="CT95" i="13"/>
  <c r="S30" i="3"/>
  <c r="AC67" i="3"/>
  <c r="I34" i="1"/>
  <c r="I36" i="1" s="1"/>
  <c r="F34" i="1"/>
  <c r="F36" i="1" s="1"/>
  <c r="E34" i="1"/>
  <c r="E36" i="1" s="1"/>
  <c r="H34" i="1"/>
  <c r="H36" i="1" s="1"/>
  <c r="G34" i="1"/>
  <c r="G36" i="1" s="1"/>
  <c r="G31" i="1"/>
  <c r="G33" i="1" s="1"/>
  <c r="H31" i="1"/>
  <c r="H33" i="1" s="1"/>
  <c r="F31" i="1"/>
  <c r="F33" i="1" s="1"/>
  <c r="I31" i="1"/>
  <c r="I33" i="1" s="1"/>
  <c r="E31" i="1"/>
  <c r="E33" i="1" s="1"/>
  <c r="I28" i="1"/>
  <c r="I30" i="1" s="1"/>
  <c r="H28" i="1"/>
  <c r="H30" i="1" s="1"/>
  <c r="H37" i="1" s="1"/>
  <c r="F28" i="1"/>
  <c r="F30" i="1" s="1"/>
  <c r="E28" i="1"/>
  <c r="E30" i="1" s="1"/>
  <c r="G28" i="1"/>
  <c r="G30" i="1" s="1"/>
  <c r="E36" i="2"/>
  <c r="J38" i="2" s="1"/>
  <c r="K38" i="2" s="1"/>
  <c r="S54" i="2"/>
  <c r="Z36" i="2"/>
  <c r="AE38" i="2" s="1"/>
  <c r="AF38" i="2" s="1"/>
  <c r="E54" i="2"/>
  <c r="S36" i="2"/>
  <c r="X38" i="2" s="1"/>
  <c r="Y38" i="2" s="1"/>
  <c r="L54" i="2"/>
  <c r="L36" i="2"/>
  <c r="Q38" i="2" s="1"/>
  <c r="R38" i="2" s="1"/>
  <c r="Z54" i="2"/>
  <c r="L33" i="2"/>
  <c r="Q35" i="2" s="1"/>
  <c r="R35" i="2" s="1"/>
  <c r="S51" i="2"/>
  <c r="E33" i="2"/>
  <c r="J35" i="2" s="1"/>
  <c r="K35" i="2" s="1"/>
  <c r="E51" i="2"/>
  <c r="Z33" i="2"/>
  <c r="AE35" i="2" s="1"/>
  <c r="AF35" i="2" s="1"/>
  <c r="Z51" i="2"/>
  <c r="L51" i="2"/>
  <c r="S33" i="2"/>
  <c r="X35" i="2" s="1"/>
  <c r="Y35" i="2" s="1"/>
  <c r="E30" i="2"/>
  <c r="J32" i="2" s="1"/>
  <c r="Z30" i="2"/>
  <c r="AE32" i="2" s="1"/>
  <c r="L30" i="2"/>
  <c r="Q32" i="2" s="1"/>
  <c r="S30" i="2"/>
  <c r="X32" i="2" s="1"/>
  <c r="L48" i="2"/>
  <c r="E48" i="2"/>
  <c r="AA25" i="3"/>
  <c r="AC39" i="3"/>
  <c r="AC25" i="3"/>
  <c r="V30" i="3"/>
  <c r="Q39" i="3"/>
  <c r="AA39" i="3"/>
  <c r="AC32" i="3"/>
  <c r="X96" i="3"/>
  <c r="X30" i="3"/>
  <c r="AC102" i="3"/>
  <c r="X31" i="3"/>
  <c r="S39" i="3"/>
  <c r="S104" i="3"/>
  <c r="F9" i="18"/>
  <c r="DE76" i="16"/>
  <c r="DE66" i="16"/>
  <c r="CE76" i="16"/>
  <c r="CE66" i="16"/>
  <c r="BE76" i="16"/>
  <c r="BE66" i="16"/>
  <c r="AE76" i="16"/>
  <c r="AE66" i="16"/>
  <c r="E76" i="16"/>
  <c r="E66" i="16"/>
  <c r="DE76" i="15"/>
  <c r="DE66" i="15"/>
  <c r="CE76" i="15"/>
  <c r="CE66" i="15"/>
  <c r="BE76" i="15"/>
  <c r="BE66" i="15"/>
  <c r="AE76" i="15"/>
  <c r="AE66" i="15"/>
  <c r="E76" i="15"/>
  <c r="E66" i="15"/>
  <c r="DE71" i="16"/>
  <c r="CE71" i="16"/>
  <c r="BE71" i="16"/>
  <c r="AE71" i="16"/>
  <c r="E71" i="16"/>
  <c r="DE71" i="15"/>
  <c r="CE71" i="15"/>
  <c r="BE71" i="15"/>
  <c r="AE71" i="15"/>
  <c r="E71" i="15"/>
  <c r="AE71" i="14"/>
  <c r="BE71" i="14"/>
  <c r="CE71" i="14"/>
  <c r="DE71" i="14"/>
  <c r="DE71" i="13"/>
  <c r="CE71" i="13"/>
  <c r="BE71" i="13"/>
  <c r="AE71" i="13"/>
  <c r="E71" i="13"/>
  <c r="E76" i="14"/>
  <c r="E66" i="14"/>
  <c r="AE66" i="14"/>
  <c r="E71" i="14"/>
  <c r="AE76" i="14"/>
  <c r="CE76" i="14"/>
  <c r="DE76" i="14"/>
  <c r="DE76" i="13"/>
  <c r="AE66" i="13"/>
  <c r="E76" i="13"/>
  <c r="CE66" i="13"/>
  <c r="BE66" i="13"/>
  <c r="BE76" i="14"/>
  <c r="BE66" i="14"/>
  <c r="CE66" i="14"/>
  <c r="DE66" i="14"/>
  <c r="DE66" i="13"/>
  <c r="CE76" i="13"/>
  <c r="E66" i="13"/>
  <c r="BE76" i="13"/>
  <c r="AE76" i="13"/>
  <c r="E9" i="18"/>
  <c r="DE72" i="16"/>
  <c r="CE72" i="16"/>
  <c r="BE72" i="16"/>
  <c r="AE72" i="16"/>
  <c r="E72" i="16"/>
  <c r="DE72" i="15"/>
  <c r="CE72" i="15"/>
  <c r="BE72" i="15"/>
  <c r="AE72" i="15"/>
  <c r="E72" i="15"/>
  <c r="DE77" i="16"/>
  <c r="DE67" i="16"/>
  <c r="CE77" i="16"/>
  <c r="CE67" i="16"/>
  <c r="BE77" i="16"/>
  <c r="BE67" i="16"/>
  <c r="AE77" i="16"/>
  <c r="AE67" i="16"/>
  <c r="E77" i="16"/>
  <c r="E67" i="16"/>
  <c r="DE77" i="15"/>
  <c r="DE67" i="15"/>
  <c r="CE77" i="15"/>
  <c r="CE67" i="15"/>
  <c r="BE77" i="15"/>
  <c r="BE67" i="15"/>
  <c r="AE77" i="15"/>
  <c r="AE67" i="15"/>
  <c r="E77" i="15"/>
  <c r="E67" i="15"/>
  <c r="AE67" i="14"/>
  <c r="BE67" i="14"/>
  <c r="CE67" i="14"/>
  <c r="DE67" i="14"/>
  <c r="DE67" i="13"/>
  <c r="CE67" i="13"/>
  <c r="BE67" i="13"/>
  <c r="AE67" i="13"/>
  <c r="E67" i="13"/>
  <c r="E72" i="14"/>
  <c r="AE77" i="14"/>
  <c r="BE77" i="14"/>
  <c r="CE77" i="14"/>
  <c r="DE77" i="14"/>
  <c r="DE77" i="13"/>
  <c r="CE77" i="13"/>
  <c r="BE77" i="13"/>
  <c r="AE77" i="13"/>
  <c r="E77" i="13"/>
  <c r="E77" i="14"/>
  <c r="E67" i="14"/>
  <c r="BE72" i="13"/>
  <c r="BE72" i="14"/>
  <c r="CE72" i="14"/>
  <c r="DE72" i="14"/>
  <c r="DE72" i="13"/>
  <c r="E72" i="13"/>
  <c r="AE72" i="13"/>
  <c r="AE72" i="14"/>
  <c r="CE72" i="13"/>
  <c r="G9" i="18"/>
  <c r="DE74" i="16"/>
  <c r="DE64" i="16"/>
  <c r="CE74" i="16"/>
  <c r="CE64" i="16"/>
  <c r="BE74" i="16"/>
  <c r="BE64" i="16"/>
  <c r="AE74" i="16"/>
  <c r="AE64" i="16"/>
  <c r="E74" i="16"/>
  <c r="E64" i="16"/>
  <c r="DE74" i="15"/>
  <c r="DE64" i="15"/>
  <c r="CE74" i="15"/>
  <c r="CE64" i="15"/>
  <c r="BE74" i="15"/>
  <c r="BE64" i="15"/>
  <c r="AE74" i="15"/>
  <c r="AE64" i="15"/>
  <c r="E74" i="15"/>
  <c r="E64" i="15"/>
  <c r="DE69" i="16"/>
  <c r="CE69" i="16"/>
  <c r="BE69" i="16"/>
  <c r="AE69" i="16"/>
  <c r="E69" i="16"/>
  <c r="DE69" i="15"/>
  <c r="CE69" i="15"/>
  <c r="BE69" i="15"/>
  <c r="AE69" i="15"/>
  <c r="E69" i="15"/>
  <c r="E74" i="14"/>
  <c r="E64" i="14"/>
  <c r="AE74" i="14"/>
  <c r="BE74" i="14"/>
  <c r="AE69" i="14"/>
  <c r="BE69" i="14"/>
  <c r="CE69" i="14"/>
  <c r="DE69" i="14"/>
  <c r="DE69" i="13"/>
  <c r="CE69" i="13"/>
  <c r="BE69" i="13"/>
  <c r="AE69" i="13"/>
  <c r="E69" i="13"/>
  <c r="E69" i="14"/>
  <c r="AE64" i="14"/>
  <c r="BE64" i="13"/>
  <c r="AE74" i="13"/>
  <c r="CE64" i="13"/>
  <c r="CE74" i="14"/>
  <c r="DE74" i="14"/>
  <c r="DE74" i="13"/>
  <c r="AE64" i="13"/>
  <c r="E74" i="13"/>
  <c r="BE64" i="14"/>
  <c r="CE64" i="14"/>
  <c r="DE64" i="14"/>
  <c r="DE64" i="13"/>
  <c r="CE74" i="13"/>
  <c r="E64" i="13"/>
  <c r="BE74" i="13"/>
  <c r="Z48" i="2"/>
  <c r="S48" i="2"/>
  <c r="D9" i="18"/>
  <c r="E8" i="17" s="1"/>
  <c r="DE78" i="16"/>
  <c r="DH78" i="16" s="1"/>
  <c r="DE68" i="16"/>
  <c r="DH68" i="16" s="1"/>
  <c r="CE78" i="16"/>
  <c r="CH78" i="16" s="1"/>
  <c r="CE68" i="16"/>
  <c r="CH68" i="16" s="1"/>
  <c r="BE78" i="16"/>
  <c r="BH78" i="16" s="1"/>
  <c r="BE68" i="16"/>
  <c r="BH68" i="16" s="1"/>
  <c r="AE78" i="16"/>
  <c r="AH78" i="16" s="1"/>
  <c r="AE68" i="16"/>
  <c r="AH68" i="16" s="1"/>
  <c r="E78" i="16"/>
  <c r="H78" i="16" s="1"/>
  <c r="E68" i="16"/>
  <c r="H68" i="16" s="1"/>
  <c r="DE78" i="15"/>
  <c r="DH78" i="15" s="1"/>
  <c r="DE68" i="15"/>
  <c r="DH68" i="15" s="1"/>
  <c r="CE78" i="15"/>
  <c r="CH78" i="15" s="1"/>
  <c r="CE68" i="15"/>
  <c r="CH68" i="15" s="1"/>
  <c r="BE78" i="15"/>
  <c r="BH78" i="15" s="1"/>
  <c r="BE68" i="15"/>
  <c r="BH68" i="15" s="1"/>
  <c r="AE78" i="15"/>
  <c r="AH78" i="15" s="1"/>
  <c r="AE68" i="15"/>
  <c r="E78" i="15"/>
  <c r="H78" i="15" s="1"/>
  <c r="E68" i="15"/>
  <c r="H68" i="15" s="1"/>
  <c r="DE73" i="16"/>
  <c r="DH73" i="16" s="1"/>
  <c r="DE63" i="16"/>
  <c r="DH63" i="16" s="1"/>
  <c r="CE73" i="16"/>
  <c r="CH73" i="16" s="1"/>
  <c r="CE63" i="16"/>
  <c r="CH63" i="16" s="1"/>
  <c r="BE73" i="16"/>
  <c r="BH73" i="16" s="1"/>
  <c r="BE63" i="16"/>
  <c r="BH63" i="16" s="1"/>
  <c r="AE73" i="16"/>
  <c r="AH73" i="16" s="1"/>
  <c r="AE63" i="16"/>
  <c r="AH63" i="16" s="1"/>
  <c r="E73" i="16"/>
  <c r="H73" i="16" s="1"/>
  <c r="E63" i="16"/>
  <c r="H63" i="16" s="1"/>
  <c r="DE73" i="15"/>
  <c r="DH73" i="15" s="1"/>
  <c r="DE63" i="15"/>
  <c r="DH63" i="15" s="1"/>
  <c r="CE73" i="15"/>
  <c r="CH73" i="15" s="1"/>
  <c r="CE63" i="15"/>
  <c r="CH63" i="15" s="1"/>
  <c r="BE73" i="15"/>
  <c r="BH73" i="15" s="1"/>
  <c r="BE63" i="15"/>
  <c r="BH63" i="15" s="1"/>
  <c r="AE73" i="15"/>
  <c r="AH73" i="15" s="1"/>
  <c r="AE63" i="15"/>
  <c r="AH63" i="15" s="1"/>
  <c r="E73" i="15"/>
  <c r="H73" i="15" s="1"/>
  <c r="E63" i="15"/>
  <c r="H63" i="15" s="1"/>
  <c r="AE63" i="14"/>
  <c r="AH63" i="14" s="1"/>
  <c r="AP63" i="14" s="1"/>
  <c r="BE63" i="14"/>
  <c r="BH63" i="14" s="1"/>
  <c r="CE63" i="14"/>
  <c r="CH63" i="14" s="1"/>
  <c r="DE63" i="14"/>
  <c r="DH63" i="14" s="1"/>
  <c r="DP63" i="14" s="1"/>
  <c r="DE63" i="13"/>
  <c r="DH63" i="13" s="1"/>
  <c r="CE63" i="13"/>
  <c r="CH63" i="13" s="1"/>
  <c r="BE63" i="13"/>
  <c r="BH63" i="13" s="1"/>
  <c r="AE63" i="13"/>
  <c r="AH63" i="13" s="1"/>
  <c r="E63" i="13"/>
  <c r="H63" i="13" s="1"/>
  <c r="E78" i="14"/>
  <c r="H78" i="14" s="1"/>
  <c r="E68" i="14"/>
  <c r="H68" i="14" s="1"/>
  <c r="AE78" i="14"/>
  <c r="AH78" i="14" s="1"/>
  <c r="AP78" i="14" s="1"/>
  <c r="BE78" i="14"/>
  <c r="BH78" i="14" s="1"/>
  <c r="BP78" i="14" s="1"/>
  <c r="AE73" i="14"/>
  <c r="AH73" i="14" s="1"/>
  <c r="BE73" i="14"/>
  <c r="BH73" i="14" s="1"/>
  <c r="CE73" i="14"/>
  <c r="CH73" i="14" s="1"/>
  <c r="CP73" i="14" s="1"/>
  <c r="DE73" i="14"/>
  <c r="DH73" i="14" s="1"/>
  <c r="DP73" i="14" s="1"/>
  <c r="DE73" i="13"/>
  <c r="DH73" i="13" s="1"/>
  <c r="CE73" i="13"/>
  <c r="CH73" i="13" s="1"/>
  <c r="BE73" i="13"/>
  <c r="BH73" i="13" s="1"/>
  <c r="AE73" i="13"/>
  <c r="AH73" i="13" s="1"/>
  <c r="E73" i="13"/>
  <c r="H73" i="13" s="1"/>
  <c r="E73" i="14"/>
  <c r="H73" i="14" s="1"/>
  <c r="E63" i="14"/>
  <c r="H63" i="14" s="1"/>
  <c r="P63" i="14" s="1"/>
  <c r="BE68" i="14"/>
  <c r="BH68" i="14" s="1"/>
  <c r="BP68" i="14" s="1"/>
  <c r="CE68" i="14"/>
  <c r="CH68" i="14" s="1"/>
  <c r="DE68" i="14"/>
  <c r="DH68" i="14" s="1"/>
  <c r="DE68" i="13"/>
  <c r="DH68" i="13" s="1"/>
  <c r="CE78" i="13"/>
  <c r="CH78" i="13" s="1"/>
  <c r="E68" i="13"/>
  <c r="H68" i="13" s="1"/>
  <c r="BE68" i="13"/>
  <c r="BH68" i="13" s="1"/>
  <c r="AE78" i="13"/>
  <c r="AH78" i="13" s="1"/>
  <c r="DE78" i="13"/>
  <c r="DH78" i="13" s="1"/>
  <c r="AE68" i="13"/>
  <c r="AH68" i="13" s="1"/>
  <c r="E78" i="13"/>
  <c r="H78" i="13" s="1"/>
  <c r="CE68" i="13"/>
  <c r="CH68" i="13" s="1"/>
  <c r="BE78" i="13"/>
  <c r="BH78" i="13" s="1"/>
  <c r="AE68" i="14"/>
  <c r="AH68" i="14" s="1"/>
  <c r="CE78" i="14"/>
  <c r="CH78" i="14" s="1"/>
  <c r="DE78" i="14"/>
  <c r="DH78" i="14" s="1"/>
  <c r="DP78" i="14" s="1"/>
  <c r="H9" i="18"/>
  <c r="DE70" i="16"/>
  <c r="CE70" i="16"/>
  <c r="BE70" i="16"/>
  <c r="AE70" i="16"/>
  <c r="E70" i="16"/>
  <c r="DE70" i="15"/>
  <c r="CE70" i="15"/>
  <c r="BE70" i="15"/>
  <c r="AE70" i="15"/>
  <c r="E70" i="15"/>
  <c r="DE75" i="16"/>
  <c r="DE65" i="16"/>
  <c r="CE75" i="16"/>
  <c r="CE65" i="16"/>
  <c r="BE75" i="16"/>
  <c r="BE65" i="16"/>
  <c r="AE75" i="16"/>
  <c r="AE65" i="16"/>
  <c r="E75" i="16"/>
  <c r="E65" i="16"/>
  <c r="DE75" i="15"/>
  <c r="DE65" i="15"/>
  <c r="CE75" i="15"/>
  <c r="CE65" i="15"/>
  <c r="BE75" i="15"/>
  <c r="BE65" i="15"/>
  <c r="AE75" i="15"/>
  <c r="AE65" i="15"/>
  <c r="E75" i="15"/>
  <c r="E65" i="15"/>
  <c r="AE75" i="14"/>
  <c r="BE75" i="14"/>
  <c r="CE75" i="14"/>
  <c r="DE75" i="14"/>
  <c r="DE75" i="13"/>
  <c r="CE75" i="13"/>
  <c r="BE75" i="13"/>
  <c r="AE75" i="13"/>
  <c r="E75" i="13"/>
  <c r="E70" i="14"/>
  <c r="AE70" i="14"/>
  <c r="AE65" i="14"/>
  <c r="BE65" i="14"/>
  <c r="CE65" i="14"/>
  <c r="DE65" i="14"/>
  <c r="DE65" i="13"/>
  <c r="CE65" i="13"/>
  <c r="BE65" i="13"/>
  <c r="AE65" i="13"/>
  <c r="E65" i="13"/>
  <c r="E75" i="14"/>
  <c r="E65" i="14"/>
  <c r="CE70" i="13"/>
  <c r="BE70" i="14"/>
  <c r="CE70" i="14"/>
  <c r="DE70" i="14"/>
  <c r="BE70" i="13"/>
  <c r="AE70" i="13"/>
  <c r="DE70" i="13"/>
  <c r="E70" i="13"/>
  <c r="C87" i="3"/>
  <c r="C85" i="3"/>
  <c r="D10" i="5"/>
  <c r="CT122" i="16"/>
  <c r="CT125" i="13"/>
  <c r="CT96" i="16"/>
  <c r="DB69" i="16"/>
  <c r="B4" i="15"/>
  <c r="B4" i="14"/>
  <c r="D9" i="5"/>
  <c r="AP73" i="15" l="1"/>
  <c r="CP78" i="15"/>
  <c r="P63" i="15"/>
  <c r="DP63" i="15"/>
  <c r="BP68" i="15"/>
  <c r="DP68" i="15"/>
  <c r="CP78" i="14"/>
  <c r="DP68" i="14"/>
  <c r="P73" i="14"/>
  <c r="BP73" i="14"/>
  <c r="P68" i="14"/>
  <c r="CP63" i="14"/>
  <c r="P73" i="15"/>
  <c r="BP73" i="15"/>
  <c r="DP73" i="15"/>
  <c r="P78" i="15"/>
  <c r="BP78" i="15"/>
  <c r="DP78" i="15"/>
  <c r="AP68" i="15"/>
  <c r="M148" i="15"/>
  <c r="M142" i="15"/>
  <c r="DE152" i="15"/>
  <c r="DE150" i="15"/>
  <c r="AK146" i="15"/>
  <c r="AK147" i="15"/>
  <c r="BI146" i="15"/>
  <c r="BI140" i="15"/>
  <c r="AK148" i="15"/>
  <c r="M153" i="15"/>
  <c r="M151" i="15"/>
  <c r="AK138" i="15"/>
  <c r="DE148" i="15"/>
  <c r="CG141" i="15"/>
  <c r="BI153" i="15"/>
  <c r="AK143" i="15"/>
  <c r="DE151" i="15"/>
  <c r="M143" i="15"/>
  <c r="CG145" i="15"/>
  <c r="M144" i="15"/>
  <c r="DE153" i="15"/>
  <c r="CG149" i="15"/>
  <c r="DE143" i="15"/>
  <c r="DE140" i="15"/>
  <c r="AK149" i="15"/>
  <c r="AK144" i="15"/>
  <c r="BI148" i="15"/>
  <c r="CG147" i="15"/>
  <c r="AK145" i="15"/>
  <c r="DE142" i="15"/>
  <c r="M141" i="15"/>
  <c r="CG144" i="15"/>
  <c r="DE146" i="15"/>
  <c r="BI149" i="15"/>
  <c r="M145" i="15"/>
  <c r="AK139" i="15"/>
  <c r="CG152" i="15"/>
  <c r="BI138" i="15"/>
  <c r="BN138" i="15" s="1"/>
  <c r="DE138" i="15"/>
  <c r="BI144" i="15"/>
  <c r="AK141" i="15"/>
  <c r="DE141" i="15"/>
  <c r="DE147" i="15"/>
  <c r="BI139" i="15"/>
  <c r="M146" i="15"/>
  <c r="BI147" i="15"/>
  <c r="M138" i="15"/>
  <c r="DE139" i="15"/>
  <c r="CG150" i="15"/>
  <c r="BI152" i="15"/>
  <c r="CG151" i="15"/>
  <c r="AK142" i="15"/>
  <c r="CG153" i="15"/>
  <c r="CG148" i="15"/>
  <c r="CG146" i="15"/>
  <c r="M147" i="15"/>
  <c r="CG138" i="15"/>
  <c r="CG143" i="15"/>
  <c r="M139" i="15"/>
  <c r="DE149" i="15"/>
  <c r="AK151" i="15"/>
  <c r="CG140" i="15"/>
  <c r="AK140" i="15"/>
  <c r="AK153" i="15"/>
  <c r="CG142" i="15"/>
  <c r="CG139" i="15"/>
  <c r="BI145" i="15"/>
  <c r="M150" i="15"/>
  <c r="BI151" i="15"/>
  <c r="DE145" i="15"/>
  <c r="BI141" i="15"/>
  <c r="M140" i="15"/>
  <c r="AK150" i="15"/>
  <c r="M152" i="15"/>
  <c r="BI143" i="15"/>
  <c r="AK152" i="15"/>
  <c r="M149" i="15"/>
  <c r="BI150" i="15"/>
  <c r="DE144" i="15"/>
  <c r="BI142" i="15"/>
  <c r="CP73" i="15"/>
  <c r="AP78" i="15"/>
  <c r="BP63" i="15"/>
  <c r="P68" i="15"/>
  <c r="M142" i="14"/>
  <c r="BI140" i="14"/>
  <c r="DE152" i="14"/>
  <c r="BI152" i="14"/>
  <c r="CG144" i="14"/>
  <c r="BI144" i="14"/>
  <c r="BI148" i="14"/>
  <c r="M146" i="14"/>
  <c r="M143" i="14"/>
  <c r="AJ146" i="14"/>
  <c r="CG152" i="14"/>
  <c r="M150" i="14"/>
  <c r="BI153" i="14"/>
  <c r="CG147" i="14"/>
  <c r="BI141" i="14"/>
  <c r="M151" i="14"/>
  <c r="CG153" i="14"/>
  <c r="CG142" i="14"/>
  <c r="BI146" i="14"/>
  <c r="M138" i="14"/>
  <c r="DE149" i="14"/>
  <c r="M153" i="14"/>
  <c r="CG146" i="14"/>
  <c r="M141" i="14"/>
  <c r="M139" i="14"/>
  <c r="CG141" i="14"/>
  <c r="CG150" i="14"/>
  <c r="DE140" i="14"/>
  <c r="CG151" i="14"/>
  <c r="CG148" i="14"/>
  <c r="DE147" i="14"/>
  <c r="CG139" i="14"/>
  <c r="AJ147" i="14"/>
  <c r="DE143" i="14"/>
  <c r="DE153" i="14"/>
  <c r="CG143" i="14"/>
  <c r="M149" i="14"/>
  <c r="AJ144" i="14"/>
  <c r="DE139" i="14"/>
  <c r="CG138" i="14"/>
  <c r="DE145" i="14"/>
  <c r="AJ148" i="14"/>
  <c r="BI150" i="14"/>
  <c r="DE146" i="14"/>
  <c r="AJ141" i="14"/>
  <c r="DE142" i="14"/>
  <c r="AJ138" i="14"/>
  <c r="M145" i="14"/>
  <c r="M147" i="14"/>
  <c r="CG145" i="14"/>
  <c r="DE138" i="14"/>
  <c r="DJ138" i="14" s="1"/>
  <c r="CG149" i="14"/>
  <c r="BI147" i="14"/>
  <c r="AJ151" i="14"/>
  <c r="AJ140" i="14"/>
  <c r="M140" i="14"/>
  <c r="BI151" i="14"/>
  <c r="AJ139" i="14"/>
  <c r="BI138" i="14"/>
  <c r="M148" i="14"/>
  <c r="AJ143" i="14"/>
  <c r="BI143" i="14"/>
  <c r="AJ142" i="14"/>
  <c r="BI142" i="14"/>
  <c r="AJ150" i="14"/>
  <c r="M144" i="14"/>
  <c r="M152" i="14"/>
  <c r="CG140" i="14"/>
  <c r="DE148" i="14"/>
  <c r="AJ149" i="14"/>
  <c r="AJ153" i="14"/>
  <c r="AJ152" i="14"/>
  <c r="BI139" i="14"/>
  <c r="AJ145" i="14"/>
  <c r="DE141" i="14"/>
  <c r="DE144" i="14"/>
  <c r="DE151" i="14"/>
  <c r="BI145" i="14"/>
  <c r="BI149" i="14"/>
  <c r="DE150" i="14"/>
  <c r="AP68" i="14"/>
  <c r="CP68" i="14"/>
  <c r="AP73" i="14"/>
  <c r="P78" i="14"/>
  <c r="BP63" i="14"/>
  <c r="AP63" i="15"/>
  <c r="CP63" i="15"/>
  <c r="CP68" i="15"/>
  <c r="CT96" i="13"/>
  <c r="G106" i="10"/>
  <c r="G102" i="10"/>
  <c r="G98" i="10"/>
  <c r="G94" i="10"/>
  <c r="G80" i="10"/>
  <c r="G76" i="10"/>
  <c r="G72" i="10"/>
  <c r="G68" i="10"/>
  <c r="G54" i="10"/>
  <c r="G50" i="10"/>
  <c r="G46" i="10"/>
  <c r="G42" i="10"/>
  <c r="G14" i="10"/>
  <c r="G18" i="10"/>
  <c r="G22" i="10"/>
  <c r="G26" i="10"/>
  <c r="G103" i="10"/>
  <c r="G99" i="10"/>
  <c r="G95" i="10"/>
  <c r="G91" i="10"/>
  <c r="G77" i="10"/>
  <c r="G73" i="10"/>
  <c r="G69" i="10"/>
  <c r="G65" i="10"/>
  <c r="G51" i="10"/>
  <c r="G47" i="10"/>
  <c r="G43" i="10"/>
  <c r="G39" i="10"/>
  <c r="G17" i="10"/>
  <c r="G21" i="10"/>
  <c r="G25" i="10"/>
  <c r="G13" i="10"/>
  <c r="G101" i="10"/>
  <c r="G93" i="10"/>
  <c r="G75" i="10"/>
  <c r="G67" i="10"/>
  <c r="G49" i="10"/>
  <c r="G41" i="10"/>
  <c r="G19" i="10"/>
  <c r="G27" i="10"/>
  <c r="G100" i="10"/>
  <c r="G92" i="10"/>
  <c r="G74" i="10"/>
  <c r="G66" i="10"/>
  <c r="G48" i="10"/>
  <c r="G40" i="10"/>
  <c r="G20" i="10"/>
  <c r="G28" i="10"/>
  <c r="G105" i="10"/>
  <c r="G97" i="10"/>
  <c r="G79" i="10"/>
  <c r="G71" i="10"/>
  <c r="G53" i="10"/>
  <c r="G45" i="10"/>
  <c r="G15" i="10"/>
  <c r="G23" i="10"/>
  <c r="G104" i="10"/>
  <c r="G96" i="10"/>
  <c r="G78" i="10"/>
  <c r="G70" i="10"/>
  <c r="G52" i="10"/>
  <c r="G44" i="10"/>
  <c r="G16" i="10"/>
  <c r="G24" i="10"/>
  <c r="J50" i="2"/>
  <c r="E50" i="2"/>
  <c r="AE53" i="2"/>
  <c r="AF53" i="2" s="1"/>
  <c r="Z53" i="2"/>
  <c r="X53" i="2"/>
  <c r="Y53" i="2" s="1"/>
  <c r="S53" i="2"/>
  <c r="Q56" i="2"/>
  <c r="R56" i="2" s="1"/>
  <c r="L56" i="2"/>
  <c r="X56" i="2"/>
  <c r="Y56" i="2" s="1"/>
  <c r="S56" i="2"/>
  <c r="X50" i="2"/>
  <c r="S50" i="2"/>
  <c r="Q50" i="2"/>
  <c r="L50" i="2"/>
  <c r="Q53" i="2"/>
  <c r="R53" i="2" s="1"/>
  <c r="L53" i="2"/>
  <c r="AE50" i="2"/>
  <c r="Z50" i="2"/>
  <c r="J53" i="2"/>
  <c r="K53" i="2" s="1"/>
  <c r="E53" i="2"/>
  <c r="AE56" i="2"/>
  <c r="AF56" i="2" s="1"/>
  <c r="Z56" i="2"/>
  <c r="J56" i="2"/>
  <c r="K56" i="2" s="1"/>
  <c r="E56" i="2"/>
  <c r="E37" i="1"/>
  <c r="G37" i="1"/>
  <c r="R138" i="15"/>
  <c r="DJ138" i="15"/>
  <c r="AP138" i="15"/>
  <c r="CL138" i="15"/>
  <c r="BN138" i="14"/>
  <c r="CL138" i="14"/>
  <c r="R138" i="14"/>
  <c r="AO138" i="14"/>
  <c r="E11" i="17"/>
  <c r="E15" i="17"/>
  <c r="E21" i="17"/>
  <c r="E20" i="17"/>
  <c r="I37" i="1"/>
  <c r="E17" i="17"/>
  <c r="E16" i="17"/>
  <c r="E7" i="17"/>
  <c r="E19" i="17"/>
  <c r="F37" i="1"/>
  <c r="Y32" i="2"/>
  <c r="X40" i="2"/>
  <c r="R32" i="2"/>
  <c r="Q40" i="2"/>
  <c r="J58" i="2"/>
  <c r="K50" i="2"/>
  <c r="AF32" i="2"/>
  <c r="AE40" i="2"/>
  <c r="R50" i="2"/>
  <c r="R64" i="2" s="1"/>
  <c r="Q58" i="2"/>
  <c r="E90" i="5" s="1"/>
  <c r="K32" i="2"/>
  <c r="J40" i="2"/>
  <c r="Y50" i="2"/>
  <c r="X58" i="2"/>
  <c r="AF50" i="2"/>
  <c r="AE58" i="2"/>
  <c r="E22" i="17"/>
  <c r="E13" i="17"/>
  <c r="E18" i="17"/>
  <c r="E12" i="17"/>
  <c r="E14" i="17"/>
  <c r="E9" i="17"/>
  <c r="E10" i="17"/>
  <c r="D28" i="22"/>
  <c r="CT123" i="16"/>
  <c r="CT126" i="13"/>
  <c r="CT97" i="16"/>
  <c r="DB70" i="16"/>
  <c r="DL61" i="13"/>
  <c r="DK61" i="13"/>
  <c r="CL61" i="13"/>
  <c r="CK61" i="13"/>
  <c r="BL61" i="13"/>
  <c r="BK61" i="13"/>
  <c r="AL61" i="13"/>
  <c r="AK61" i="13"/>
  <c r="L61" i="13"/>
  <c r="K61" i="13"/>
  <c r="Y58" i="2" l="1"/>
  <c r="F90" i="5"/>
  <c r="K58" i="2"/>
  <c r="D90" i="5"/>
  <c r="AF58" i="2"/>
  <c r="G90" i="5"/>
  <c r="CT97" i="13"/>
  <c r="CT98" i="13" s="1"/>
  <c r="CT99" i="13" s="1"/>
  <c r="CT100" i="13" s="1"/>
  <c r="CT101" i="13" s="1"/>
  <c r="CT102" i="13" s="1"/>
  <c r="CT103" i="13" s="1"/>
  <c r="O22" i="10"/>
  <c r="O25" i="10"/>
  <c r="O28" i="10"/>
  <c r="O16" i="10"/>
  <c r="O19" i="10"/>
  <c r="O92" i="10"/>
  <c r="O94" i="10"/>
  <c r="O96" i="10"/>
  <c r="O98" i="10"/>
  <c r="O100" i="10"/>
  <c r="O102" i="10"/>
  <c r="O104" i="10"/>
  <c r="O106" i="10"/>
  <c r="O99" i="10"/>
  <c r="O105" i="10"/>
  <c r="O93" i="10"/>
  <c r="O101" i="10"/>
  <c r="O95" i="10"/>
  <c r="O103" i="10"/>
  <c r="O97" i="10"/>
  <c r="P19" i="10"/>
  <c r="P22" i="10"/>
  <c r="P16" i="10"/>
  <c r="P25" i="10"/>
  <c r="P28" i="10"/>
  <c r="N66" i="10"/>
  <c r="N70" i="10"/>
  <c r="N74" i="10"/>
  <c r="N78" i="10"/>
  <c r="N69" i="10"/>
  <c r="N73" i="10"/>
  <c r="N77" i="10"/>
  <c r="N71" i="10"/>
  <c r="N68" i="10"/>
  <c r="N72" i="10"/>
  <c r="N76" i="10"/>
  <c r="N80" i="10"/>
  <c r="N75" i="10"/>
  <c r="N79" i="10"/>
  <c r="N67" i="10"/>
  <c r="P93" i="10"/>
  <c r="P95" i="10"/>
  <c r="P97" i="10"/>
  <c r="P99" i="10"/>
  <c r="P101" i="10"/>
  <c r="P103" i="10"/>
  <c r="P105" i="10"/>
  <c r="P92" i="10"/>
  <c r="P94" i="10"/>
  <c r="P96" i="10"/>
  <c r="P98" i="10"/>
  <c r="P100" i="10"/>
  <c r="P102" i="10"/>
  <c r="P104" i="10"/>
  <c r="P106" i="10"/>
  <c r="N92" i="10"/>
  <c r="N94" i="10"/>
  <c r="U94" i="10" s="1"/>
  <c r="N96" i="10"/>
  <c r="N98" i="10"/>
  <c r="N100" i="10"/>
  <c r="U100" i="10" s="1"/>
  <c r="N102" i="10"/>
  <c r="U102" i="10" s="1"/>
  <c r="N104" i="10"/>
  <c r="N106" i="10"/>
  <c r="N93" i="10"/>
  <c r="N95" i="10"/>
  <c r="U95" i="10" s="1"/>
  <c r="N97" i="10"/>
  <c r="N99" i="10"/>
  <c r="N101" i="10"/>
  <c r="N103" i="10"/>
  <c r="U103" i="10" s="1"/>
  <c r="N105" i="10"/>
  <c r="U105" i="10" s="1"/>
  <c r="N40" i="10"/>
  <c r="N41" i="10"/>
  <c r="N42" i="10"/>
  <c r="U42" i="10" s="1"/>
  <c r="N43" i="10"/>
  <c r="N44" i="10"/>
  <c r="N45" i="10"/>
  <c r="N46" i="10"/>
  <c r="U46" i="10" s="1"/>
  <c r="N47" i="10"/>
  <c r="N48" i="10"/>
  <c r="N49" i="10"/>
  <c r="N50" i="10"/>
  <c r="U50" i="10" s="1"/>
  <c r="N51" i="10"/>
  <c r="N52" i="10"/>
  <c r="N53" i="10"/>
  <c r="N54" i="10"/>
  <c r="U54" i="10" s="1"/>
  <c r="P68" i="10"/>
  <c r="P72" i="10"/>
  <c r="P76" i="10"/>
  <c r="P80" i="10"/>
  <c r="P67" i="10"/>
  <c r="P71" i="10"/>
  <c r="P75" i="10"/>
  <c r="P79" i="10"/>
  <c r="P73" i="10"/>
  <c r="P77" i="10"/>
  <c r="P66" i="10"/>
  <c r="P70" i="10"/>
  <c r="P74" i="10"/>
  <c r="P78" i="10"/>
  <c r="P69" i="10"/>
  <c r="O67" i="10"/>
  <c r="O71" i="10"/>
  <c r="O75" i="10"/>
  <c r="O79" i="10"/>
  <c r="O66" i="10"/>
  <c r="O70" i="10"/>
  <c r="O74" i="10"/>
  <c r="O78" i="10"/>
  <c r="O80" i="10"/>
  <c r="O69" i="10"/>
  <c r="O73" i="10"/>
  <c r="O77" i="10"/>
  <c r="O72" i="10"/>
  <c r="O76" i="10"/>
  <c r="O68" i="10"/>
  <c r="N25" i="10"/>
  <c r="N16" i="10"/>
  <c r="N28" i="10"/>
  <c r="N19" i="10"/>
  <c r="N22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BN139" i="14"/>
  <c r="BN140" i="14" s="1"/>
  <c r="BN141" i="14" s="1"/>
  <c r="BN142" i="14" s="1"/>
  <c r="BN143" i="14" s="1"/>
  <c r="BN144" i="14" s="1"/>
  <c r="BN145" i="14" s="1"/>
  <c r="BN146" i="14" s="1"/>
  <c r="BN147" i="14" s="1"/>
  <c r="BN148" i="14" s="1"/>
  <c r="BN149" i="14" s="1"/>
  <c r="BN150" i="14" s="1"/>
  <c r="BN151" i="14" s="1"/>
  <c r="BN152" i="14" s="1"/>
  <c r="BN153" i="14" s="1"/>
  <c r="AJ160" i="14" s="1"/>
  <c r="DJ139" i="15"/>
  <c r="DJ140" i="15" s="1"/>
  <c r="DJ141" i="15" s="1"/>
  <c r="DJ142" i="15" s="1"/>
  <c r="DJ143" i="15" s="1"/>
  <c r="DJ144" i="15" s="1"/>
  <c r="DJ145" i="15" s="1"/>
  <c r="DJ146" i="15" s="1"/>
  <c r="DJ147" i="15" s="1"/>
  <c r="DJ148" i="15" s="1"/>
  <c r="DJ149" i="15" s="1"/>
  <c r="DJ150" i="15" s="1"/>
  <c r="DJ151" i="15" s="1"/>
  <c r="DJ152" i="15" s="1"/>
  <c r="DJ153" i="15" s="1"/>
  <c r="AL160" i="15" s="1"/>
  <c r="R139" i="14"/>
  <c r="R140" i="14" s="1"/>
  <c r="R141" i="14" s="1"/>
  <c r="R142" i="14" s="1"/>
  <c r="R143" i="14" s="1"/>
  <c r="R144" i="14" s="1"/>
  <c r="R145" i="14" s="1"/>
  <c r="R146" i="14" s="1"/>
  <c r="R147" i="14" s="1"/>
  <c r="R148" i="14" s="1"/>
  <c r="R149" i="14" s="1"/>
  <c r="R150" i="14" s="1"/>
  <c r="R151" i="14" s="1"/>
  <c r="R152" i="14" s="1"/>
  <c r="R153" i="14" s="1"/>
  <c r="AH160" i="14" s="1"/>
  <c r="CL139" i="14"/>
  <c r="CL140" i="14" s="1"/>
  <c r="CL141" i="14" s="1"/>
  <c r="CL142" i="14" s="1"/>
  <c r="CL143" i="14" s="1"/>
  <c r="CL144" i="14" s="1"/>
  <c r="CL145" i="14" s="1"/>
  <c r="CL146" i="14" s="1"/>
  <c r="CL147" i="14" s="1"/>
  <c r="CL148" i="14" s="1"/>
  <c r="CL149" i="14" s="1"/>
  <c r="CL150" i="14" s="1"/>
  <c r="CL151" i="14" s="1"/>
  <c r="CL152" i="14" s="1"/>
  <c r="CL153" i="14" s="1"/>
  <c r="AK160" i="14" s="1"/>
  <c r="BN139" i="15"/>
  <c r="BN140" i="15" s="1"/>
  <c r="BN141" i="15" s="1"/>
  <c r="BN142" i="15" s="1"/>
  <c r="BN143" i="15" s="1"/>
  <c r="BN144" i="15" s="1"/>
  <c r="BN145" i="15" s="1"/>
  <c r="BN146" i="15" s="1"/>
  <c r="BN147" i="15" s="1"/>
  <c r="BN148" i="15" s="1"/>
  <c r="BN149" i="15" s="1"/>
  <c r="BN150" i="15" s="1"/>
  <c r="BN151" i="15" s="1"/>
  <c r="BN152" i="15" s="1"/>
  <c r="BN153" i="15" s="1"/>
  <c r="AJ160" i="15" s="1"/>
  <c r="R139" i="15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AH160" i="15" s="1"/>
  <c r="AP139" i="15"/>
  <c r="AP140" i="15" s="1"/>
  <c r="AP141" i="15" s="1"/>
  <c r="AP142" i="15" s="1"/>
  <c r="AP143" i="15" s="1"/>
  <c r="AP144" i="15" s="1"/>
  <c r="AP145" i="15" s="1"/>
  <c r="AP146" i="15" s="1"/>
  <c r="AP147" i="15" s="1"/>
  <c r="AP148" i="15" s="1"/>
  <c r="AP149" i="15" s="1"/>
  <c r="AP150" i="15" s="1"/>
  <c r="AP151" i="15" s="1"/>
  <c r="AP152" i="15" s="1"/>
  <c r="AP153" i="15" s="1"/>
  <c r="AI160" i="15" s="1"/>
  <c r="CL139" i="15"/>
  <c r="CL140" i="15" s="1"/>
  <c r="CL141" i="15" s="1"/>
  <c r="CL142" i="15" s="1"/>
  <c r="CL143" i="15" s="1"/>
  <c r="CL144" i="15" s="1"/>
  <c r="CL145" i="15" s="1"/>
  <c r="CL146" i="15" s="1"/>
  <c r="CL147" i="15" s="1"/>
  <c r="CL148" i="15" s="1"/>
  <c r="CL149" i="15" s="1"/>
  <c r="CL150" i="15" s="1"/>
  <c r="CL151" i="15" s="1"/>
  <c r="CL152" i="15" s="1"/>
  <c r="CL153" i="15" s="1"/>
  <c r="AK160" i="15" s="1"/>
  <c r="AO139" i="14"/>
  <c r="AO140" i="14" s="1"/>
  <c r="AO141" i="14" s="1"/>
  <c r="AO142" i="14" s="1"/>
  <c r="AO143" i="14" s="1"/>
  <c r="AO144" i="14" s="1"/>
  <c r="AO145" i="14" s="1"/>
  <c r="AO146" i="14" s="1"/>
  <c r="AO147" i="14" s="1"/>
  <c r="AO148" i="14" s="1"/>
  <c r="AO149" i="14" s="1"/>
  <c r="AO150" i="14" s="1"/>
  <c r="AO151" i="14" s="1"/>
  <c r="AO152" i="14" s="1"/>
  <c r="AO153" i="14" s="1"/>
  <c r="AI160" i="14" s="1"/>
  <c r="DJ139" i="14"/>
  <c r="DJ140" i="14" s="1"/>
  <c r="DJ141" i="14" s="1"/>
  <c r="DJ142" i="14" s="1"/>
  <c r="DJ143" i="14" s="1"/>
  <c r="DJ144" i="14" s="1"/>
  <c r="DJ145" i="14" s="1"/>
  <c r="DJ146" i="14" s="1"/>
  <c r="DJ147" i="14" s="1"/>
  <c r="DJ148" i="14" s="1"/>
  <c r="DJ149" i="14" s="1"/>
  <c r="DJ150" i="14" s="1"/>
  <c r="DJ151" i="14" s="1"/>
  <c r="DJ152" i="14" s="1"/>
  <c r="DJ153" i="14" s="1"/>
  <c r="AL160" i="14" s="1"/>
  <c r="AF40" i="2"/>
  <c r="G81" i="5"/>
  <c r="E81" i="5"/>
  <c r="R40" i="2"/>
  <c r="D81" i="5"/>
  <c r="K40" i="2"/>
  <c r="R58" i="2"/>
  <c r="Q64" i="2"/>
  <c r="F81" i="5"/>
  <c r="Y40" i="2"/>
  <c r="CT124" i="16"/>
  <c r="CT127" i="13"/>
  <c r="CT98" i="16"/>
  <c r="DB71" i="16"/>
  <c r="U106" i="10" l="1"/>
  <c r="U98" i="10"/>
  <c r="CC42" i="15"/>
  <c r="AG42" i="15"/>
  <c r="DA42" i="13"/>
  <c r="AG42" i="13"/>
  <c r="AI42" i="13" s="1"/>
  <c r="DA42" i="15"/>
  <c r="BE42" i="15"/>
  <c r="I42" i="15"/>
  <c r="DA42" i="14"/>
  <c r="BE42" i="14"/>
  <c r="I42" i="14"/>
  <c r="CC42" i="14"/>
  <c r="AG42" i="14"/>
  <c r="CC42" i="13"/>
  <c r="I42" i="13"/>
  <c r="CC41" i="15"/>
  <c r="AG41" i="15"/>
  <c r="CC41" i="14"/>
  <c r="AG41" i="14"/>
  <c r="CC41" i="13"/>
  <c r="I41" i="13"/>
  <c r="DA41" i="15"/>
  <c r="BE41" i="15"/>
  <c r="I41" i="15"/>
  <c r="DA41" i="14"/>
  <c r="BE41" i="14"/>
  <c r="I41" i="14"/>
  <c r="DA41" i="13"/>
  <c r="AG41" i="13"/>
  <c r="AI41" i="13" s="1"/>
  <c r="DA47" i="15"/>
  <c r="BE47" i="15"/>
  <c r="I47" i="15"/>
  <c r="DA47" i="14"/>
  <c r="BE47" i="14"/>
  <c r="I47" i="14"/>
  <c r="DA47" i="13"/>
  <c r="AG47" i="13"/>
  <c r="AI47" i="13" s="1"/>
  <c r="CC47" i="15"/>
  <c r="AG47" i="15"/>
  <c r="CC47" i="14"/>
  <c r="AG47" i="14"/>
  <c r="CC47" i="13"/>
  <c r="I47" i="13"/>
  <c r="CC53" i="15"/>
  <c r="AG53" i="15"/>
  <c r="CC53" i="14"/>
  <c r="AG53" i="14"/>
  <c r="CC53" i="13"/>
  <c r="I53" i="13"/>
  <c r="DA53" i="13"/>
  <c r="AG53" i="13"/>
  <c r="DA53" i="14"/>
  <c r="BE53" i="14"/>
  <c r="I53" i="14"/>
  <c r="DB53" i="15"/>
  <c r="BE53" i="15"/>
  <c r="I53" i="15"/>
  <c r="CC45" i="15"/>
  <c r="AG45" i="15"/>
  <c r="CC45" i="14"/>
  <c r="AG45" i="14"/>
  <c r="CC45" i="13"/>
  <c r="I45" i="13"/>
  <c r="DA45" i="15"/>
  <c r="BE45" i="15"/>
  <c r="I45" i="15"/>
  <c r="DA45" i="13"/>
  <c r="AG45" i="13"/>
  <c r="AI45" i="13" s="1"/>
  <c r="DA45" i="14"/>
  <c r="BE45" i="14"/>
  <c r="I45" i="14"/>
  <c r="CC50" i="15"/>
  <c r="AG50" i="15"/>
  <c r="DA50" i="15"/>
  <c r="BE50" i="15"/>
  <c r="I50" i="15"/>
  <c r="CC50" i="14"/>
  <c r="AG50" i="14"/>
  <c r="CC50" i="13"/>
  <c r="I50" i="13"/>
  <c r="DA50" i="13"/>
  <c r="AG50" i="13"/>
  <c r="AI50" i="13" s="1"/>
  <c r="DA50" i="14"/>
  <c r="BE50" i="14"/>
  <c r="I50" i="14"/>
  <c r="CC49" i="15"/>
  <c r="AG49" i="15"/>
  <c r="CC49" i="14"/>
  <c r="AG49" i="14"/>
  <c r="CC49" i="13"/>
  <c r="I49" i="13"/>
  <c r="DA49" i="15"/>
  <c r="BE49" i="15"/>
  <c r="I49" i="15"/>
  <c r="DA49" i="13"/>
  <c r="AG49" i="13"/>
  <c r="AI49" i="13" s="1"/>
  <c r="DA49" i="14"/>
  <c r="BE49" i="14"/>
  <c r="I49" i="14"/>
  <c r="DA52" i="13"/>
  <c r="AG52" i="13"/>
  <c r="AI52" i="13" s="1"/>
  <c r="DA52" i="15"/>
  <c r="BE52" i="15"/>
  <c r="I52" i="15"/>
  <c r="CC52" i="15"/>
  <c r="AG52" i="15"/>
  <c r="DA52" i="14"/>
  <c r="BE52" i="14"/>
  <c r="I52" i="14"/>
  <c r="CC52" i="14"/>
  <c r="AG52" i="14"/>
  <c r="CC52" i="13"/>
  <c r="I52" i="13"/>
  <c r="CC128" i="15"/>
  <c r="AG128" i="15"/>
  <c r="CC128" i="14"/>
  <c r="AG128" i="14"/>
  <c r="DA128" i="13"/>
  <c r="AG128" i="13"/>
  <c r="BE128" i="13"/>
  <c r="DA128" i="15"/>
  <c r="BE128" i="15"/>
  <c r="I128" i="15"/>
  <c r="DA128" i="14"/>
  <c r="BE128" i="14"/>
  <c r="I128" i="14"/>
  <c r="CC128" i="13"/>
  <c r="I128" i="13"/>
  <c r="CC120" i="15"/>
  <c r="AG120" i="15"/>
  <c r="CC120" i="14"/>
  <c r="AG120" i="14"/>
  <c r="DA120" i="13"/>
  <c r="AG120" i="13"/>
  <c r="AI120" i="13" s="1"/>
  <c r="BE120" i="13"/>
  <c r="DA120" i="15"/>
  <c r="BE120" i="15"/>
  <c r="I120" i="15"/>
  <c r="DA120" i="14"/>
  <c r="BE120" i="14"/>
  <c r="I120" i="14"/>
  <c r="CC120" i="13"/>
  <c r="I120" i="13"/>
  <c r="CC116" i="15"/>
  <c r="AG116" i="15"/>
  <c r="CC116" i="14"/>
  <c r="AG116" i="14"/>
  <c r="DA116" i="13"/>
  <c r="AG116" i="13"/>
  <c r="AI116" i="13" s="1"/>
  <c r="BE116" i="13"/>
  <c r="DA116" i="15"/>
  <c r="BE116" i="15"/>
  <c r="I116" i="15"/>
  <c r="DA116" i="14"/>
  <c r="BE116" i="14"/>
  <c r="I116" i="14"/>
  <c r="CC116" i="13"/>
  <c r="I116" i="13"/>
  <c r="CC124" i="15"/>
  <c r="AG124" i="15"/>
  <c r="CC124" i="14"/>
  <c r="AG124" i="14"/>
  <c r="DA124" i="13"/>
  <c r="AG124" i="13"/>
  <c r="AI124" i="13" s="1"/>
  <c r="BE124" i="13"/>
  <c r="DA124" i="15"/>
  <c r="BE124" i="15"/>
  <c r="I124" i="15"/>
  <c r="DA124" i="14"/>
  <c r="BE124" i="14"/>
  <c r="I124" i="14"/>
  <c r="CC124" i="13"/>
  <c r="I124" i="13"/>
  <c r="DA128" i="16"/>
  <c r="CC128" i="16"/>
  <c r="BE128" i="16"/>
  <c r="AG128" i="16"/>
  <c r="I128" i="16"/>
  <c r="DA124" i="16"/>
  <c r="CC124" i="16"/>
  <c r="BE124" i="16"/>
  <c r="AG124" i="16"/>
  <c r="I124" i="16"/>
  <c r="DA120" i="16"/>
  <c r="CC120" i="16"/>
  <c r="BE120" i="16"/>
  <c r="AG120" i="16"/>
  <c r="I120" i="16"/>
  <c r="DA116" i="16"/>
  <c r="CC116" i="16"/>
  <c r="BE116" i="16"/>
  <c r="AG116" i="16"/>
  <c r="I116" i="16"/>
  <c r="CC50" i="16"/>
  <c r="BE50" i="16"/>
  <c r="AG50" i="16"/>
  <c r="DA50" i="16"/>
  <c r="I50" i="16"/>
  <c r="CC42" i="16"/>
  <c r="BE42" i="16"/>
  <c r="AG42" i="16"/>
  <c r="DA42" i="16"/>
  <c r="I42" i="16"/>
  <c r="CC49" i="16"/>
  <c r="BE49" i="16"/>
  <c r="AG49" i="16"/>
  <c r="DA49" i="16"/>
  <c r="I49" i="16"/>
  <c r="CC41" i="16"/>
  <c r="BE41" i="16"/>
  <c r="AG41" i="16"/>
  <c r="DA41" i="16"/>
  <c r="I41" i="16"/>
  <c r="U53" i="10"/>
  <c r="U49" i="10"/>
  <c r="U45" i="10"/>
  <c r="U41" i="10"/>
  <c r="U101" i="10"/>
  <c r="CC47" i="16"/>
  <c r="BE47" i="16"/>
  <c r="AG47" i="16"/>
  <c r="DA47" i="16"/>
  <c r="I47" i="16"/>
  <c r="U52" i="10"/>
  <c r="U48" i="10"/>
  <c r="U44" i="10"/>
  <c r="U40" i="10"/>
  <c r="U99" i="10"/>
  <c r="CC53" i="16"/>
  <c r="BE53" i="16"/>
  <c r="AG53" i="16"/>
  <c r="DA53" i="16"/>
  <c r="I53" i="16"/>
  <c r="CC45" i="16"/>
  <c r="BE45" i="16"/>
  <c r="AG45" i="16"/>
  <c r="DA45" i="16"/>
  <c r="I45" i="16"/>
  <c r="U51" i="10"/>
  <c r="U47" i="10"/>
  <c r="U43" i="10"/>
  <c r="CC52" i="16"/>
  <c r="BE52" i="16"/>
  <c r="AG52" i="16"/>
  <c r="DA52" i="16"/>
  <c r="I52" i="16"/>
  <c r="U97" i="10"/>
  <c r="U104" i="10"/>
  <c r="U96" i="10"/>
  <c r="CT125" i="16"/>
  <c r="CT128" i="13"/>
  <c r="CT99" i="16"/>
  <c r="DB72" i="16"/>
  <c r="DA51" i="15" l="1"/>
  <c r="BE51" i="15"/>
  <c r="I51" i="15"/>
  <c r="DA51" i="14"/>
  <c r="BE51" i="14"/>
  <c r="I51" i="14"/>
  <c r="CC51" i="14"/>
  <c r="AG51" i="14"/>
  <c r="CC51" i="13"/>
  <c r="I51" i="13"/>
  <c r="CC51" i="15"/>
  <c r="AG51" i="15"/>
  <c r="DA51" i="13"/>
  <c r="AG51" i="13"/>
  <c r="AI51" i="13" s="1"/>
  <c r="DA44" i="13"/>
  <c r="AG44" i="13"/>
  <c r="AI44" i="13" s="1"/>
  <c r="DA44" i="15"/>
  <c r="BE44" i="15"/>
  <c r="I44" i="15"/>
  <c r="CC44" i="15"/>
  <c r="AG44" i="15"/>
  <c r="CC44" i="14"/>
  <c r="AG44" i="14"/>
  <c r="CC44" i="13"/>
  <c r="I44" i="13"/>
  <c r="DA44" i="14"/>
  <c r="BE44" i="14"/>
  <c r="I44" i="14"/>
  <c r="CC46" i="15"/>
  <c r="AG46" i="15"/>
  <c r="DA46" i="14"/>
  <c r="BE46" i="14"/>
  <c r="I46" i="14"/>
  <c r="CC46" i="14"/>
  <c r="AG46" i="14"/>
  <c r="CC46" i="13"/>
  <c r="I46" i="13"/>
  <c r="DA46" i="15"/>
  <c r="BE46" i="15"/>
  <c r="I46" i="15"/>
  <c r="DA46" i="13"/>
  <c r="AG46" i="13"/>
  <c r="AI46" i="13" s="1"/>
  <c r="DA43" i="15"/>
  <c r="BE43" i="15"/>
  <c r="I43" i="15"/>
  <c r="DA43" i="14"/>
  <c r="BE43" i="14"/>
  <c r="I43" i="14"/>
  <c r="CC43" i="14"/>
  <c r="AG43" i="14"/>
  <c r="CC43" i="13"/>
  <c r="I43" i="13"/>
  <c r="DA43" i="13"/>
  <c r="AG43" i="13"/>
  <c r="AI43" i="13" s="1"/>
  <c r="CC43" i="15"/>
  <c r="AG43" i="15"/>
  <c r="DA48" i="13"/>
  <c r="AG48" i="13"/>
  <c r="AI48" i="13" s="1"/>
  <c r="DA48" i="15"/>
  <c r="BE48" i="15"/>
  <c r="I48" i="15"/>
  <c r="CC48" i="14"/>
  <c r="AG48" i="14"/>
  <c r="CC48" i="13"/>
  <c r="I48" i="13"/>
  <c r="DA48" i="14"/>
  <c r="BE48" i="14"/>
  <c r="I48" i="14"/>
  <c r="CC48" i="15"/>
  <c r="AG48" i="15"/>
  <c r="CC121" i="15"/>
  <c r="AG121" i="15"/>
  <c r="CC121" i="14"/>
  <c r="AG121" i="14"/>
  <c r="DA121" i="13"/>
  <c r="AG121" i="13"/>
  <c r="AI121" i="13" s="1"/>
  <c r="BE121" i="13"/>
  <c r="DA121" i="15"/>
  <c r="BE121" i="15"/>
  <c r="I121" i="15"/>
  <c r="DA121" i="14"/>
  <c r="BE121" i="14"/>
  <c r="I121" i="14"/>
  <c r="CC121" i="13"/>
  <c r="I121" i="13"/>
  <c r="BE122" i="13"/>
  <c r="DA122" i="15"/>
  <c r="BE122" i="15"/>
  <c r="I122" i="15"/>
  <c r="DA122" i="14"/>
  <c r="BE122" i="14"/>
  <c r="I122" i="14"/>
  <c r="CC122" i="13"/>
  <c r="I122" i="13"/>
  <c r="CC122" i="15"/>
  <c r="AG122" i="15"/>
  <c r="CC122" i="14"/>
  <c r="AG122" i="14"/>
  <c r="DA122" i="13"/>
  <c r="AG122" i="13"/>
  <c r="AI122" i="13" s="1"/>
  <c r="BE115" i="13"/>
  <c r="DA115" i="15"/>
  <c r="BE115" i="15"/>
  <c r="I115" i="15"/>
  <c r="DA115" i="14"/>
  <c r="BE115" i="14"/>
  <c r="I115" i="14"/>
  <c r="CC115" i="13"/>
  <c r="I115" i="13"/>
  <c r="CC115" i="15"/>
  <c r="AG115" i="15"/>
  <c r="CC115" i="14"/>
  <c r="AG115" i="14"/>
  <c r="DA115" i="13"/>
  <c r="AG115" i="13"/>
  <c r="AI115" i="13" s="1"/>
  <c r="CC125" i="15"/>
  <c r="AG125" i="15"/>
  <c r="CC125" i="14"/>
  <c r="AG125" i="14"/>
  <c r="DA125" i="13"/>
  <c r="AG125" i="13"/>
  <c r="AI125" i="13" s="1"/>
  <c r="BE125" i="13"/>
  <c r="DA125" i="15"/>
  <c r="BE125" i="15"/>
  <c r="I125" i="15"/>
  <c r="DA125" i="14"/>
  <c r="BE125" i="14"/>
  <c r="I125" i="14"/>
  <c r="CC125" i="13"/>
  <c r="I125" i="13"/>
  <c r="BE126" i="13"/>
  <c r="DA126" i="15"/>
  <c r="BE126" i="15"/>
  <c r="I126" i="15"/>
  <c r="DA126" i="14"/>
  <c r="BE126" i="14"/>
  <c r="I126" i="14"/>
  <c r="CC126" i="13"/>
  <c r="I126" i="13"/>
  <c r="CC126" i="15"/>
  <c r="AG126" i="15"/>
  <c r="CC126" i="14"/>
  <c r="AG126" i="14"/>
  <c r="DA126" i="13"/>
  <c r="AG126" i="13"/>
  <c r="AI126" i="13" s="1"/>
  <c r="BE119" i="13"/>
  <c r="DA119" i="15"/>
  <c r="BE119" i="15"/>
  <c r="I119" i="15"/>
  <c r="DA119" i="14"/>
  <c r="BE119" i="14"/>
  <c r="I119" i="14"/>
  <c r="CC119" i="13"/>
  <c r="I119" i="13"/>
  <c r="CC119" i="15"/>
  <c r="AG119" i="15"/>
  <c r="CC119" i="14"/>
  <c r="AG119" i="14"/>
  <c r="DA119" i="13"/>
  <c r="AG119" i="13"/>
  <c r="AI119" i="13" s="1"/>
  <c r="BE114" i="13"/>
  <c r="DA114" i="15"/>
  <c r="BE114" i="15"/>
  <c r="I114" i="15"/>
  <c r="DA114" i="14"/>
  <c r="BE114" i="14"/>
  <c r="I114" i="14"/>
  <c r="CC114" i="13"/>
  <c r="I114" i="13"/>
  <c r="CC114" i="15"/>
  <c r="AG114" i="15"/>
  <c r="CC114" i="14"/>
  <c r="AG114" i="14"/>
  <c r="DA114" i="13"/>
  <c r="AG114" i="13"/>
  <c r="AI114" i="13" s="1"/>
  <c r="BE123" i="13"/>
  <c r="DA123" i="15"/>
  <c r="BE123" i="15"/>
  <c r="I123" i="15"/>
  <c r="DA123" i="14"/>
  <c r="BE123" i="14"/>
  <c r="I123" i="14"/>
  <c r="CC123" i="13"/>
  <c r="I123" i="13"/>
  <c r="CC123" i="15"/>
  <c r="AG123" i="15"/>
  <c r="CC123" i="14"/>
  <c r="AG123" i="14"/>
  <c r="DA123" i="13"/>
  <c r="AG123" i="13"/>
  <c r="AI123" i="13" s="1"/>
  <c r="CC117" i="15"/>
  <c r="AG117" i="15"/>
  <c r="CC117" i="14"/>
  <c r="AG117" i="14"/>
  <c r="DA117" i="13"/>
  <c r="AG117" i="13"/>
  <c r="AI117" i="13" s="1"/>
  <c r="BE117" i="13"/>
  <c r="DA117" i="15"/>
  <c r="BE117" i="15"/>
  <c r="I117" i="15"/>
  <c r="DA117" i="14"/>
  <c r="BE117" i="14"/>
  <c r="I117" i="14"/>
  <c r="CC117" i="13"/>
  <c r="I117" i="13"/>
  <c r="BE118" i="13"/>
  <c r="DA118" i="15"/>
  <c r="BE118" i="15"/>
  <c r="I118" i="15"/>
  <c r="DA118" i="14"/>
  <c r="BE118" i="14"/>
  <c r="I118" i="14"/>
  <c r="CC118" i="13"/>
  <c r="I118" i="13"/>
  <c r="CC118" i="15"/>
  <c r="AG118" i="15"/>
  <c r="CC118" i="14"/>
  <c r="AG118" i="14"/>
  <c r="DA118" i="13"/>
  <c r="AG118" i="13"/>
  <c r="AI118" i="13" s="1"/>
  <c r="BE127" i="13"/>
  <c r="DA127" i="15"/>
  <c r="BE127" i="15"/>
  <c r="I127" i="15"/>
  <c r="DA127" i="14"/>
  <c r="BE127" i="14"/>
  <c r="I127" i="14"/>
  <c r="CC127" i="13"/>
  <c r="I127" i="13"/>
  <c r="CC127" i="15"/>
  <c r="AG127" i="15"/>
  <c r="CC127" i="14"/>
  <c r="AG127" i="14"/>
  <c r="DA127" i="13"/>
  <c r="AG127" i="13"/>
  <c r="AI127" i="13" s="1"/>
  <c r="DA118" i="16"/>
  <c r="CC118" i="16"/>
  <c r="BE118" i="16"/>
  <c r="AG118" i="16"/>
  <c r="I118" i="16"/>
  <c r="DA123" i="16"/>
  <c r="CC123" i="16"/>
  <c r="BE123" i="16"/>
  <c r="AG123" i="16"/>
  <c r="I123" i="16"/>
  <c r="CC43" i="16"/>
  <c r="BE43" i="16"/>
  <c r="AG43" i="16"/>
  <c r="DA43" i="16"/>
  <c r="I43" i="16"/>
  <c r="DA117" i="16"/>
  <c r="CC117" i="16"/>
  <c r="BE117" i="16"/>
  <c r="AG117" i="16"/>
  <c r="I117" i="16"/>
  <c r="DA122" i="16"/>
  <c r="CC122" i="16"/>
  <c r="BE122" i="16"/>
  <c r="AG122" i="16"/>
  <c r="I122" i="16"/>
  <c r="CC48" i="16"/>
  <c r="BE48" i="16"/>
  <c r="AG48" i="16"/>
  <c r="DA48" i="16"/>
  <c r="I48" i="16"/>
  <c r="DA127" i="16"/>
  <c r="CC127" i="16"/>
  <c r="BE127" i="16"/>
  <c r="AG127" i="16"/>
  <c r="I127" i="16"/>
  <c r="CC51" i="16"/>
  <c r="BE51" i="16"/>
  <c r="AG51" i="16"/>
  <c r="DA51" i="16"/>
  <c r="I51" i="16"/>
  <c r="DA121" i="16"/>
  <c r="CC121" i="16"/>
  <c r="BE121" i="16"/>
  <c r="AG121" i="16"/>
  <c r="I121" i="16"/>
  <c r="CC46" i="16"/>
  <c r="BE46" i="16"/>
  <c r="AG46" i="16"/>
  <c r="DA46" i="16"/>
  <c r="I46" i="16"/>
  <c r="DA126" i="16"/>
  <c r="CC126" i="16"/>
  <c r="BE126" i="16"/>
  <c r="AG126" i="16"/>
  <c r="I126" i="16"/>
  <c r="DA115" i="16"/>
  <c r="CC115" i="16"/>
  <c r="BE115" i="16"/>
  <c r="AG115" i="16"/>
  <c r="I115" i="16"/>
  <c r="CC44" i="16"/>
  <c r="BE44" i="16"/>
  <c r="AG44" i="16"/>
  <c r="DA44" i="16"/>
  <c r="I44" i="16"/>
  <c r="DA125" i="16"/>
  <c r="CC125" i="16"/>
  <c r="BE125" i="16"/>
  <c r="AG125" i="16"/>
  <c r="I125" i="16"/>
  <c r="DA114" i="16"/>
  <c r="CC114" i="16"/>
  <c r="BE114" i="16"/>
  <c r="AG114" i="16"/>
  <c r="I114" i="16"/>
  <c r="DA119" i="16"/>
  <c r="CC119" i="16"/>
  <c r="BE119" i="16"/>
  <c r="AG119" i="16"/>
  <c r="I119" i="16"/>
  <c r="CT126" i="16"/>
  <c r="CT100" i="16"/>
  <c r="DB73" i="16"/>
  <c r="CT127" i="16" l="1"/>
  <c r="CT101" i="16"/>
  <c r="DB74" i="16"/>
  <c r="CT128" i="16" l="1"/>
  <c r="CT102" i="16"/>
  <c r="DB75" i="16"/>
  <c r="CT103" i="16" l="1"/>
  <c r="DB76" i="16"/>
  <c r="DB77" i="16" l="1"/>
  <c r="DB78" i="16" l="1"/>
  <c r="I7" i="23" l="1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H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15" i="3"/>
  <c r="F9" i="23" l="1"/>
  <c r="F18" i="23"/>
  <c r="E8" i="23"/>
  <c r="E16" i="23"/>
  <c r="E17" i="23"/>
  <c r="D7" i="23"/>
  <c r="D8" i="23"/>
  <c r="D9" i="23"/>
  <c r="D11" i="23"/>
  <c r="D12" i="23"/>
  <c r="D14" i="23"/>
  <c r="D15" i="23"/>
  <c r="D17" i="23"/>
  <c r="D18" i="23"/>
  <c r="D20" i="23"/>
  <c r="D21" i="23"/>
  <c r="D21" i="22"/>
  <c r="D18" i="22"/>
  <c r="D15" i="22"/>
  <c r="D12" i="22"/>
  <c r="D9" i="22"/>
  <c r="E12" i="23"/>
  <c r="F11" i="23"/>
  <c r="D19" i="23" l="1"/>
  <c r="D16" i="23"/>
  <c r="K16" i="23" s="1"/>
  <c r="D10" i="23"/>
  <c r="D22" i="23"/>
  <c r="D13" i="23"/>
  <c r="K8" i="23"/>
  <c r="F17" i="23"/>
  <c r="E18" i="23"/>
  <c r="K18" i="23" s="1"/>
  <c r="L18" i="23" s="1"/>
  <c r="F10" i="23"/>
  <c r="E10" i="23"/>
  <c r="E9" i="23"/>
  <c r="K9" i="23" s="1"/>
  <c r="L9" i="23" s="1"/>
  <c r="F16" i="23"/>
  <c r="F8" i="23"/>
  <c r="K17" i="23"/>
  <c r="E7" i="23"/>
  <c r="K7" i="23" s="1"/>
  <c r="E15" i="23"/>
  <c r="K15" i="23" s="1"/>
  <c r="F7" i="23"/>
  <c r="F15" i="23"/>
  <c r="E22" i="23"/>
  <c r="E14" i="23"/>
  <c r="K14" i="23" s="1"/>
  <c r="F22" i="23"/>
  <c r="F14" i="23"/>
  <c r="E21" i="23"/>
  <c r="K21" i="23" s="1"/>
  <c r="E13" i="23"/>
  <c r="F21" i="23"/>
  <c r="F13" i="23"/>
  <c r="K12" i="23"/>
  <c r="E20" i="23"/>
  <c r="K20" i="23" s="1"/>
  <c r="F20" i="23"/>
  <c r="F12" i="23"/>
  <c r="E19" i="23"/>
  <c r="E11" i="23"/>
  <c r="K11" i="23" s="1"/>
  <c r="L11" i="23" s="1"/>
  <c r="F19" i="23"/>
  <c r="K19" i="23" l="1"/>
  <c r="L19" i="23" s="1"/>
  <c r="K13" i="23"/>
  <c r="L13" i="23" s="1"/>
  <c r="K22" i="23"/>
  <c r="L22" i="23" s="1"/>
  <c r="K10" i="23"/>
  <c r="L10" i="23" s="1"/>
  <c r="L17" i="23"/>
  <c r="L21" i="23"/>
  <c r="L16" i="23"/>
  <c r="L15" i="23"/>
  <c r="L20" i="23"/>
  <c r="L8" i="23"/>
  <c r="L14" i="23"/>
  <c r="L7" i="23"/>
  <c r="L12" i="23"/>
  <c r="P140" i="3"/>
  <c r="Z74" i="3" l="1"/>
  <c r="AB74" i="3" s="1"/>
  <c r="AB81" i="3" s="1"/>
  <c r="U74" i="3"/>
  <c r="W74" i="3" s="1"/>
  <c r="P74" i="3"/>
  <c r="R74" i="3" s="1"/>
  <c r="K74" i="3"/>
  <c r="M74" i="3" s="1"/>
  <c r="F74" i="3"/>
  <c r="H74" i="3" s="1"/>
  <c r="F40" i="1"/>
  <c r="G40" i="1"/>
  <c r="E40" i="1"/>
  <c r="F63" i="1"/>
  <c r="G63" i="1"/>
  <c r="H63" i="1"/>
  <c r="I63" i="1"/>
  <c r="E63" i="1"/>
  <c r="C4" i="7"/>
  <c r="F17" i="1"/>
  <c r="G17" i="1"/>
  <c r="E17" i="1"/>
  <c r="F16" i="1"/>
  <c r="G16" i="1"/>
  <c r="H16" i="1"/>
  <c r="I16" i="1"/>
  <c r="E16" i="1"/>
  <c r="G14" i="1"/>
  <c r="E14" i="1"/>
  <c r="H13" i="1"/>
  <c r="I13" i="1"/>
  <c r="E13" i="1"/>
  <c r="F70" i="1"/>
  <c r="G70" i="1"/>
  <c r="H70" i="1"/>
  <c r="I70" i="1"/>
  <c r="E70" i="1"/>
  <c r="F69" i="1"/>
  <c r="G69" i="1"/>
  <c r="H69" i="1"/>
  <c r="I69" i="1"/>
  <c r="E69" i="1"/>
  <c r="F18" i="1"/>
  <c r="G18" i="1"/>
  <c r="H18" i="1"/>
  <c r="I18" i="1"/>
  <c r="E18" i="1"/>
  <c r="C6" i="9"/>
  <c r="X33" i="7" l="1"/>
  <c r="X27" i="7"/>
  <c r="S21" i="7"/>
  <c r="I21" i="7"/>
  <c r="S26" i="7"/>
  <c r="N21" i="7"/>
  <c r="X21" i="7"/>
  <c r="I118" i="7"/>
  <c r="I122" i="7" s="1"/>
  <c r="N57" i="7"/>
  <c r="N58" i="7" s="1"/>
  <c r="X50" i="7"/>
  <c r="X54" i="7" s="1"/>
  <c r="S120" i="7"/>
  <c r="S122" i="7" s="1"/>
  <c r="I52" i="7"/>
  <c r="I54" i="7" s="1"/>
  <c r="X121" i="7"/>
  <c r="X122" i="7" s="1"/>
  <c r="X57" i="7"/>
  <c r="X58" i="7" s="1"/>
  <c r="I57" i="7"/>
  <c r="I58" i="7" s="1"/>
  <c r="N119" i="7"/>
  <c r="N122" i="7" s="1"/>
  <c r="S57" i="7"/>
  <c r="N52" i="7"/>
  <c r="N54" i="7" s="1"/>
  <c r="N108" i="7"/>
  <c r="N115" i="7" s="1"/>
  <c r="I108" i="7"/>
  <c r="I115" i="7" s="1"/>
  <c r="S104" i="7"/>
  <c r="S105" i="7" s="1"/>
  <c r="X104" i="7"/>
  <c r="X105" i="7" s="1"/>
  <c r="S65" i="7"/>
  <c r="S72" i="7" s="1"/>
  <c r="X65" i="7"/>
  <c r="X72" i="7" s="1"/>
  <c r="I92" i="7"/>
  <c r="X92" i="7"/>
  <c r="N92" i="7"/>
  <c r="S92" i="7"/>
  <c r="X76" i="7"/>
  <c r="N76" i="7"/>
  <c r="N85" i="7" s="1"/>
  <c r="S76" i="7"/>
  <c r="S85" i="7" s="1"/>
  <c r="I76" i="7"/>
  <c r="I85" i="7" s="1"/>
  <c r="I101" i="7"/>
  <c r="N65" i="7"/>
  <c r="N72" i="7" s="1"/>
  <c r="S61" i="7"/>
  <c r="S62" i="7" s="1"/>
  <c r="S52" i="7"/>
  <c r="I65" i="7"/>
  <c r="I72" i="7" s="1"/>
  <c r="X61" i="7"/>
  <c r="X62" i="7" s="1"/>
  <c r="C6" i="10"/>
  <c r="B4" i="16"/>
  <c r="F14" i="1"/>
  <c r="M153" i="16" l="1"/>
  <c r="M147" i="16"/>
  <c r="M152" i="16"/>
  <c r="M148" i="16"/>
  <c r="M138" i="16"/>
  <c r="M141" i="16"/>
  <c r="M140" i="16"/>
  <c r="M144" i="16"/>
  <c r="M145" i="16"/>
  <c r="M142" i="16"/>
  <c r="M149" i="16"/>
  <c r="M146" i="16"/>
  <c r="M139" i="16"/>
  <c r="M143" i="16"/>
  <c r="M150" i="16"/>
  <c r="M151" i="16"/>
  <c r="P78" i="16"/>
  <c r="P73" i="16"/>
  <c r="P63" i="16"/>
  <c r="P68" i="16"/>
  <c r="AB24" i="10"/>
  <c r="AB15" i="10"/>
  <c r="AB20" i="10"/>
  <c r="AB17" i="10"/>
  <c r="AB21" i="10"/>
  <c r="AB23" i="10"/>
  <c r="AB18" i="10"/>
  <c r="AB14" i="10"/>
  <c r="AB27" i="10"/>
  <c r="AB26" i="10"/>
  <c r="AA71" i="10"/>
  <c r="AA42" i="10"/>
  <c r="AA79" i="10"/>
  <c r="AA75" i="10"/>
  <c r="AA95" i="10"/>
  <c r="AA98" i="10"/>
  <c r="AA13" i="10"/>
  <c r="AA96" i="10"/>
  <c r="AA92" i="10"/>
  <c r="AA47" i="10"/>
  <c r="AA50" i="10"/>
  <c r="AA91" i="10"/>
  <c r="AA53" i="10"/>
  <c r="AA49" i="10"/>
  <c r="AA77" i="10"/>
  <c r="AA80" i="10"/>
  <c r="AA66" i="10"/>
  <c r="AA48" i="10"/>
  <c r="AA14" i="10"/>
  <c r="AA40" i="10"/>
  <c r="AA18" i="10"/>
  <c r="AA51" i="10"/>
  <c r="AA27" i="10"/>
  <c r="AA16" i="10"/>
  <c r="AA20" i="10"/>
  <c r="AA25" i="10"/>
  <c r="AA22" i="10"/>
  <c r="AA24" i="10"/>
  <c r="AA65" i="10"/>
  <c r="AA45" i="10"/>
  <c r="AA41" i="10"/>
  <c r="AA73" i="10"/>
  <c r="AA76" i="10"/>
  <c r="AA23" i="10"/>
  <c r="AA94" i="10"/>
  <c r="AA105" i="10"/>
  <c r="AA101" i="10"/>
  <c r="AA103" i="10"/>
  <c r="AA106" i="10"/>
  <c r="AA52" i="10"/>
  <c r="AA17" i="10"/>
  <c r="AA39" i="10"/>
  <c r="AA78" i="10"/>
  <c r="AA74" i="10"/>
  <c r="AA43" i="10"/>
  <c r="AA46" i="10"/>
  <c r="AA70" i="10"/>
  <c r="AA68" i="10"/>
  <c r="AA97" i="10"/>
  <c r="AA93" i="10"/>
  <c r="AA99" i="10"/>
  <c r="AA102" i="10"/>
  <c r="AA67" i="10"/>
  <c r="AA104" i="10"/>
  <c r="AA54" i="10"/>
  <c r="AA26" i="10"/>
  <c r="AA15" i="10"/>
  <c r="AA19" i="10"/>
  <c r="AA69" i="10"/>
  <c r="AA72" i="10"/>
  <c r="AA28" i="10"/>
  <c r="AA44" i="10"/>
  <c r="AA21" i="10"/>
  <c r="AA100" i="10"/>
  <c r="R138" i="16"/>
  <c r="S54" i="7"/>
  <c r="S58" i="7" s="1"/>
  <c r="X101" i="7"/>
  <c r="N101" i="7"/>
  <c r="S101" i="7"/>
  <c r="X85" i="7"/>
  <c r="DD72" i="16"/>
  <c r="DH72" i="16" s="1"/>
  <c r="CD72" i="16"/>
  <c r="CH72" i="16" s="1"/>
  <c r="BD72" i="16"/>
  <c r="BH72" i="16" s="1"/>
  <c r="BP72" i="16" s="1"/>
  <c r="AD72" i="16"/>
  <c r="AH72" i="16" s="1"/>
  <c r="AP72" i="16" s="1"/>
  <c r="D72" i="16"/>
  <c r="H72" i="16" s="1"/>
  <c r="P72" i="16" s="1"/>
  <c r="DD72" i="15"/>
  <c r="DH72" i="15" s="1"/>
  <c r="DP72" i="15" s="1"/>
  <c r="CD72" i="15"/>
  <c r="CH72" i="15" s="1"/>
  <c r="CP72" i="15" s="1"/>
  <c r="BD72" i="15"/>
  <c r="BH72" i="15" s="1"/>
  <c r="BP72" i="15" s="1"/>
  <c r="AD72" i="15"/>
  <c r="AH72" i="15" s="1"/>
  <c r="AP72" i="15" s="1"/>
  <c r="D72" i="15"/>
  <c r="H72" i="15" s="1"/>
  <c r="P72" i="15" s="1"/>
  <c r="DD77" i="14"/>
  <c r="DH77" i="14" s="1"/>
  <c r="DP77" i="14" s="1"/>
  <c r="CD77" i="14"/>
  <c r="CH77" i="14" s="1"/>
  <c r="CP77" i="14" s="1"/>
  <c r="DD72" i="14"/>
  <c r="DH72" i="14" s="1"/>
  <c r="DP72" i="14" s="1"/>
  <c r="CD72" i="14"/>
  <c r="CH72" i="14" s="1"/>
  <c r="CP72" i="14" s="1"/>
  <c r="BD77" i="14"/>
  <c r="BH77" i="14" s="1"/>
  <c r="BP77" i="14" s="1"/>
  <c r="AD77" i="16"/>
  <c r="AH77" i="16" s="1"/>
  <c r="AP77" i="16" s="1"/>
  <c r="AD67" i="16"/>
  <c r="AH67" i="16" s="1"/>
  <c r="BD77" i="15"/>
  <c r="BH77" i="15" s="1"/>
  <c r="BP77" i="15" s="1"/>
  <c r="BD67" i="15"/>
  <c r="BH67" i="15" s="1"/>
  <c r="BP67" i="15" s="1"/>
  <c r="BD72" i="14"/>
  <c r="BH72" i="14" s="1"/>
  <c r="BP72" i="14" s="1"/>
  <c r="AD67" i="14"/>
  <c r="AH67" i="14" s="1"/>
  <c r="AP67" i="14" s="1"/>
  <c r="D77" i="14"/>
  <c r="H77" i="14" s="1"/>
  <c r="P77" i="14" s="1"/>
  <c r="D67" i="14"/>
  <c r="H67" i="14" s="1"/>
  <c r="P67" i="14" s="1"/>
  <c r="DD67" i="13"/>
  <c r="DH67" i="13" s="1"/>
  <c r="DP67" i="13" s="1"/>
  <c r="CD67" i="13"/>
  <c r="CH67" i="13" s="1"/>
  <c r="BD67" i="13"/>
  <c r="BH67" i="13" s="1"/>
  <c r="AD67" i="13"/>
  <c r="AH67" i="13" s="1"/>
  <c r="D67" i="13"/>
  <c r="H67" i="13" s="1"/>
  <c r="P67" i="13" s="1"/>
  <c r="DD77" i="16"/>
  <c r="DH77" i="16" s="1"/>
  <c r="DD67" i="16"/>
  <c r="DH67" i="16" s="1"/>
  <c r="D77" i="16"/>
  <c r="H77" i="16" s="1"/>
  <c r="P77" i="16" s="1"/>
  <c r="D67" i="16"/>
  <c r="H67" i="16" s="1"/>
  <c r="P67" i="16" s="1"/>
  <c r="AD77" i="15"/>
  <c r="AH77" i="15" s="1"/>
  <c r="AP77" i="15" s="1"/>
  <c r="AD67" i="15"/>
  <c r="AH67" i="15" s="1"/>
  <c r="AP67" i="15" s="1"/>
  <c r="BD67" i="14"/>
  <c r="BH67" i="14" s="1"/>
  <c r="BP67" i="14" s="1"/>
  <c r="CD77" i="16"/>
  <c r="CH77" i="16" s="1"/>
  <c r="CD67" i="16"/>
  <c r="CH67" i="16" s="1"/>
  <c r="DD77" i="15"/>
  <c r="DH77" i="15" s="1"/>
  <c r="DP77" i="15" s="1"/>
  <c r="DD67" i="15"/>
  <c r="DH67" i="15" s="1"/>
  <c r="DP67" i="15" s="1"/>
  <c r="D77" i="15"/>
  <c r="H77" i="15" s="1"/>
  <c r="P77" i="15" s="1"/>
  <c r="D67" i="15"/>
  <c r="H67" i="15" s="1"/>
  <c r="P67" i="15" s="1"/>
  <c r="DD67" i="14"/>
  <c r="DH67" i="14" s="1"/>
  <c r="DP67" i="14" s="1"/>
  <c r="CD67" i="14"/>
  <c r="CH67" i="14" s="1"/>
  <c r="CP67" i="14" s="1"/>
  <c r="AD77" i="14"/>
  <c r="AH77" i="14" s="1"/>
  <c r="AP77" i="14" s="1"/>
  <c r="D72" i="14"/>
  <c r="H72" i="14" s="1"/>
  <c r="P72" i="14" s="1"/>
  <c r="DD77" i="13"/>
  <c r="DH77" i="13" s="1"/>
  <c r="CD77" i="13"/>
  <c r="CH77" i="13" s="1"/>
  <c r="BD77" i="13"/>
  <c r="BH77" i="13" s="1"/>
  <c r="BP77" i="13" s="1"/>
  <c r="AD77" i="13"/>
  <c r="AH77" i="13" s="1"/>
  <c r="D77" i="13"/>
  <c r="H77" i="13" s="1"/>
  <c r="BD77" i="16"/>
  <c r="BH77" i="16" s="1"/>
  <c r="BP77" i="16" s="1"/>
  <c r="BD67" i="16"/>
  <c r="BH67" i="16" s="1"/>
  <c r="BP67" i="16" s="1"/>
  <c r="CD77" i="15"/>
  <c r="CH77" i="15" s="1"/>
  <c r="CP77" i="15" s="1"/>
  <c r="CD67" i="15"/>
  <c r="CH67" i="15" s="1"/>
  <c r="CP67" i="15" s="1"/>
  <c r="AD72" i="14"/>
  <c r="AH72" i="14" s="1"/>
  <c r="AP72" i="14" s="1"/>
  <c r="DD72" i="13"/>
  <c r="DH72" i="13" s="1"/>
  <c r="DP72" i="13" s="1"/>
  <c r="D72" i="13"/>
  <c r="H72" i="13" s="1"/>
  <c r="BD72" i="13"/>
  <c r="BH72" i="13" s="1"/>
  <c r="AD72" i="13"/>
  <c r="AH72" i="13" s="1"/>
  <c r="CD72" i="13"/>
  <c r="CH72" i="13" s="1"/>
  <c r="CP72" i="13" s="1"/>
  <c r="DD66" i="14"/>
  <c r="DH66" i="14" s="1"/>
  <c r="DP66" i="14" s="1"/>
  <c r="CD66" i="14"/>
  <c r="CH66" i="14" s="1"/>
  <c r="CP66" i="14" s="1"/>
  <c r="DD76" i="16"/>
  <c r="DH76" i="16" s="1"/>
  <c r="DD66" i="16"/>
  <c r="DH66" i="16" s="1"/>
  <c r="CD76" i="16"/>
  <c r="CH76" i="16" s="1"/>
  <c r="CD66" i="16"/>
  <c r="CH66" i="16" s="1"/>
  <c r="BD76" i="16"/>
  <c r="BH76" i="16" s="1"/>
  <c r="BP76" i="16" s="1"/>
  <c r="BD66" i="16"/>
  <c r="BH66" i="16" s="1"/>
  <c r="BP66" i="16" s="1"/>
  <c r="AD76" i="16"/>
  <c r="AH76" i="16" s="1"/>
  <c r="AD66" i="16"/>
  <c r="AH66" i="16" s="1"/>
  <c r="D76" i="16"/>
  <c r="H76" i="16" s="1"/>
  <c r="P76" i="16" s="1"/>
  <c r="D66" i="16"/>
  <c r="H66" i="16" s="1"/>
  <c r="P66" i="16" s="1"/>
  <c r="DD76" i="15"/>
  <c r="DH76" i="15" s="1"/>
  <c r="DP76" i="15" s="1"/>
  <c r="DD66" i="15"/>
  <c r="DH66" i="15" s="1"/>
  <c r="DP66" i="15" s="1"/>
  <c r="CD76" i="15"/>
  <c r="CH76" i="15" s="1"/>
  <c r="CP76" i="15" s="1"/>
  <c r="CD66" i="15"/>
  <c r="CH66" i="15" s="1"/>
  <c r="CP66" i="15" s="1"/>
  <c r="BD76" i="15"/>
  <c r="BH76" i="15" s="1"/>
  <c r="BP76" i="15" s="1"/>
  <c r="BD66" i="15"/>
  <c r="BH66" i="15" s="1"/>
  <c r="BP66" i="15" s="1"/>
  <c r="AD76" i="15"/>
  <c r="AH76" i="15" s="1"/>
  <c r="AP76" i="15" s="1"/>
  <c r="AD66" i="15"/>
  <c r="AH66" i="15" s="1"/>
  <c r="AP66" i="15" s="1"/>
  <c r="D76" i="15"/>
  <c r="H76" i="15" s="1"/>
  <c r="P76" i="15" s="1"/>
  <c r="D66" i="15"/>
  <c r="H66" i="15" s="1"/>
  <c r="P66" i="15" s="1"/>
  <c r="DD76" i="14"/>
  <c r="DH76" i="14" s="1"/>
  <c r="DP76" i="14" s="1"/>
  <c r="CD76" i="14"/>
  <c r="CH76" i="14" s="1"/>
  <c r="CP76" i="14" s="1"/>
  <c r="AD71" i="16"/>
  <c r="AH71" i="16" s="1"/>
  <c r="BD71" i="15"/>
  <c r="BH71" i="15" s="1"/>
  <c r="BP71" i="15" s="1"/>
  <c r="BD76" i="14"/>
  <c r="BH76" i="14" s="1"/>
  <c r="BP76" i="14" s="1"/>
  <c r="AD71" i="14"/>
  <c r="AH71" i="14" s="1"/>
  <c r="AP71" i="14" s="1"/>
  <c r="D71" i="14"/>
  <c r="H71" i="14" s="1"/>
  <c r="P71" i="14" s="1"/>
  <c r="DD71" i="13"/>
  <c r="DH71" i="13" s="1"/>
  <c r="CD71" i="13"/>
  <c r="CH71" i="13" s="1"/>
  <c r="BD71" i="13"/>
  <c r="BH71" i="13" s="1"/>
  <c r="BP71" i="13" s="1"/>
  <c r="AD71" i="13"/>
  <c r="AH71" i="13" s="1"/>
  <c r="D71" i="13"/>
  <c r="H71" i="13" s="1"/>
  <c r="DD71" i="16"/>
  <c r="DH71" i="16" s="1"/>
  <c r="D71" i="16"/>
  <c r="H71" i="16" s="1"/>
  <c r="P71" i="16" s="1"/>
  <c r="AD71" i="15"/>
  <c r="AH71" i="15" s="1"/>
  <c r="AP71" i="15" s="1"/>
  <c r="BD71" i="14"/>
  <c r="BH71" i="14" s="1"/>
  <c r="BP71" i="14" s="1"/>
  <c r="AD66" i="14"/>
  <c r="AH66" i="14" s="1"/>
  <c r="AP66" i="14" s="1"/>
  <c r="CD71" i="16"/>
  <c r="CH71" i="16" s="1"/>
  <c r="DD71" i="15"/>
  <c r="DH71" i="15" s="1"/>
  <c r="DP71" i="15" s="1"/>
  <c r="D71" i="15"/>
  <c r="H71" i="15" s="1"/>
  <c r="P71" i="15" s="1"/>
  <c r="DD71" i="14"/>
  <c r="DH71" i="14" s="1"/>
  <c r="DP71" i="14" s="1"/>
  <c r="CD71" i="14"/>
  <c r="CH71" i="14" s="1"/>
  <c r="CP71" i="14" s="1"/>
  <c r="BD66" i="14"/>
  <c r="BH66" i="14" s="1"/>
  <c r="BP66" i="14" s="1"/>
  <c r="D76" i="14"/>
  <c r="H76" i="14" s="1"/>
  <c r="P76" i="14" s="1"/>
  <c r="D66" i="14"/>
  <c r="H66" i="14" s="1"/>
  <c r="P66" i="14" s="1"/>
  <c r="BD71" i="16"/>
  <c r="BH71" i="16" s="1"/>
  <c r="BP71" i="16" s="1"/>
  <c r="CD71" i="15"/>
  <c r="CH71" i="15" s="1"/>
  <c r="CP71" i="15" s="1"/>
  <c r="AD76" i="14"/>
  <c r="AH76" i="14" s="1"/>
  <c r="AP76" i="14" s="1"/>
  <c r="DD76" i="13"/>
  <c r="DH76" i="13" s="1"/>
  <c r="DD66" i="13"/>
  <c r="DH66" i="13" s="1"/>
  <c r="DP66" i="13" s="1"/>
  <c r="D76" i="13"/>
  <c r="H76" i="13" s="1"/>
  <c r="D66" i="13"/>
  <c r="H66" i="13" s="1"/>
  <c r="CD76" i="13"/>
  <c r="CH76" i="13" s="1"/>
  <c r="CD66" i="13"/>
  <c r="CH66" i="13" s="1"/>
  <c r="CP66" i="13" s="1"/>
  <c r="BD76" i="13"/>
  <c r="BH76" i="13" s="1"/>
  <c r="BD66" i="13"/>
  <c r="BH66" i="13" s="1"/>
  <c r="AD76" i="13"/>
  <c r="AH76" i="13" s="1"/>
  <c r="AD66" i="13"/>
  <c r="AH66" i="13" s="1"/>
  <c r="AP66" i="13" s="1"/>
  <c r="F5" i="18"/>
  <c r="G13" i="1"/>
  <c r="E5" i="18"/>
  <c r="F13" i="1"/>
  <c r="D4" i="16"/>
  <c r="C4" i="16"/>
  <c r="B4" i="13"/>
  <c r="D28" i="23"/>
  <c r="D28" i="17"/>
  <c r="CP76" i="13" l="1"/>
  <c r="CP71" i="13"/>
  <c r="AP72" i="13"/>
  <c r="CP77" i="13"/>
  <c r="AP67" i="13"/>
  <c r="AK146" i="16"/>
  <c r="AK143" i="16"/>
  <c r="AK149" i="16"/>
  <c r="AK151" i="16"/>
  <c r="AK144" i="16"/>
  <c r="AK139" i="16"/>
  <c r="AK145" i="16"/>
  <c r="AK140" i="16"/>
  <c r="AK141" i="16"/>
  <c r="AK142" i="16"/>
  <c r="AK152" i="16"/>
  <c r="AK150" i="16"/>
  <c r="AK138" i="16"/>
  <c r="AP138" i="16" s="1"/>
  <c r="AK148" i="16"/>
  <c r="AK147" i="16"/>
  <c r="AK153" i="16"/>
  <c r="AP63" i="16"/>
  <c r="AP73" i="16"/>
  <c r="AP68" i="16"/>
  <c r="AP78" i="16"/>
  <c r="BP66" i="13"/>
  <c r="P66" i="13"/>
  <c r="P71" i="13"/>
  <c r="DP71" i="13"/>
  <c r="AP66" i="16"/>
  <c r="BP72" i="13"/>
  <c r="P77" i="13"/>
  <c r="DP77" i="13"/>
  <c r="BP67" i="13"/>
  <c r="BL98" i="13"/>
  <c r="N38" i="13"/>
  <c r="AN98" i="13"/>
  <c r="BL102" i="13"/>
  <c r="AN99" i="13"/>
  <c r="BL101" i="13"/>
  <c r="AN101" i="13"/>
  <c r="AN102" i="13"/>
  <c r="BL99" i="13"/>
  <c r="DE146" i="13"/>
  <c r="CG140" i="13"/>
  <c r="AK146" i="13"/>
  <c r="BI142" i="13"/>
  <c r="AK138" i="13"/>
  <c r="BI150" i="13"/>
  <c r="BI146" i="13"/>
  <c r="M153" i="13"/>
  <c r="M138" i="13"/>
  <c r="DE138" i="13"/>
  <c r="CG138" i="13"/>
  <c r="M145" i="13"/>
  <c r="BI138" i="13"/>
  <c r="AK142" i="13"/>
  <c r="M142" i="13"/>
  <c r="AK141" i="13"/>
  <c r="M152" i="13"/>
  <c r="M150" i="13"/>
  <c r="AK151" i="13"/>
  <c r="CG144" i="13"/>
  <c r="DE151" i="13"/>
  <c r="CG150" i="13"/>
  <c r="M149" i="13"/>
  <c r="DE149" i="13"/>
  <c r="BI151" i="13"/>
  <c r="CG143" i="13"/>
  <c r="AK150" i="13"/>
  <c r="DE143" i="13"/>
  <c r="AK149" i="13"/>
  <c r="DE142" i="13"/>
  <c r="CG146" i="13"/>
  <c r="M141" i="13"/>
  <c r="CG141" i="13"/>
  <c r="BI143" i="13"/>
  <c r="BI140" i="13"/>
  <c r="DE141" i="13"/>
  <c r="M146" i="13"/>
  <c r="AK152" i="13"/>
  <c r="DE152" i="13"/>
  <c r="CG148" i="13"/>
  <c r="DE139" i="13"/>
  <c r="DE150" i="13"/>
  <c r="DE144" i="13"/>
  <c r="AK153" i="13"/>
  <c r="CG139" i="13"/>
  <c r="BI148" i="13"/>
  <c r="AK144" i="13"/>
  <c r="AK143" i="13"/>
  <c r="CG142" i="13"/>
  <c r="BI147" i="13"/>
  <c r="BI153" i="13"/>
  <c r="CG153" i="13"/>
  <c r="M147" i="13"/>
  <c r="AK148" i="13"/>
  <c r="M144" i="13"/>
  <c r="DE147" i="13"/>
  <c r="M139" i="13"/>
  <c r="BI139" i="13"/>
  <c r="CG147" i="13"/>
  <c r="M140" i="13"/>
  <c r="AK140" i="13"/>
  <c r="BI145" i="13"/>
  <c r="DE148" i="13"/>
  <c r="CG152" i="13"/>
  <c r="BI141" i="13"/>
  <c r="AK145" i="13"/>
  <c r="DE145" i="13"/>
  <c r="DE140" i="13"/>
  <c r="BI149" i="13"/>
  <c r="AK139" i="13"/>
  <c r="M148" i="13"/>
  <c r="CG145" i="13"/>
  <c r="BI144" i="13"/>
  <c r="M143" i="13"/>
  <c r="BI152" i="13"/>
  <c r="AK147" i="13"/>
  <c r="DE153" i="13"/>
  <c r="M151" i="13"/>
  <c r="CG149" i="13"/>
  <c r="CG151" i="13"/>
  <c r="AN96" i="13"/>
  <c r="BL96" i="13"/>
  <c r="BL95" i="13"/>
  <c r="BL92" i="13"/>
  <c r="AN90" i="13"/>
  <c r="DH95" i="13"/>
  <c r="BL93" i="13"/>
  <c r="AN93" i="13"/>
  <c r="BL90" i="13"/>
  <c r="DH90" i="13"/>
  <c r="BL89" i="13"/>
  <c r="DH92" i="13"/>
  <c r="DH93" i="13"/>
  <c r="AN92" i="13"/>
  <c r="DH96" i="13"/>
  <c r="DH89" i="13"/>
  <c r="AN89" i="13"/>
  <c r="AN95" i="13"/>
  <c r="BP78" i="13"/>
  <c r="P63" i="13"/>
  <c r="U63" i="13" s="1"/>
  <c r="DP68" i="13"/>
  <c r="CP78" i="13"/>
  <c r="AP63" i="13"/>
  <c r="BP63" i="13"/>
  <c r="BP73" i="13"/>
  <c r="P73" i="13"/>
  <c r="CP63" i="13"/>
  <c r="AP73" i="13"/>
  <c r="P78" i="13"/>
  <c r="CP73" i="13"/>
  <c r="DP78" i="13"/>
  <c r="CP68" i="13"/>
  <c r="AP68" i="13"/>
  <c r="DP73" i="13"/>
  <c r="DP63" i="13"/>
  <c r="BP68" i="13"/>
  <c r="AP78" i="13"/>
  <c r="P68" i="13"/>
  <c r="AN120" i="13"/>
  <c r="AN116" i="13"/>
  <c r="AN124" i="13"/>
  <c r="AN126" i="13"/>
  <c r="AN114" i="13"/>
  <c r="AN122" i="13"/>
  <c r="AN123" i="13"/>
  <c r="AN119" i="13"/>
  <c r="AN125" i="13"/>
  <c r="AN115" i="13"/>
  <c r="AN121" i="13"/>
  <c r="AN127" i="13"/>
  <c r="AN117" i="13"/>
  <c r="AN118" i="13"/>
  <c r="AP76" i="13"/>
  <c r="DP76" i="13"/>
  <c r="BI139" i="16"/>
  <c r="BI138" i="16"/>
  <c r="BI153" i="16"/>
  <c r="BI149" i="16"/>
  <c r="BI144" i="16"/>
  <c r="BI145" i="16"/>
  <c r="BI142" i="16"/>
  <c r="BI148" i="16"/>
  <c r="BI140" i="16"/>
  <c r="BI150" i="16"/>
  <c r="BI143" i="16"/>
  <c r="BI146" i="16"/>
  <c r="BI141" i="16"/>
  <c r="BI151" i="16"/>
  <c r="BI147" i="16"/>
  <c r="BI152" i="16"/>
  <c r="BP78" i="16"/>
  <c r="BP68" i="16"/>
  <c r="BP73" i="16"/>
  <c r="BP63" i="16"/>
  <c r="BP76" i="13"/>
  <c r="P76" i="13"/>
  <c r="AP71" i="13"/>
  <c r="AP71" i="16"/>
  <c r="AP76" i="16"/>
  <c r="P72" i="13"/>
  <c r="AP77" i="13"/>
  <c r="CP67" i="13"/>
  <c r="AP67" i="16"/>
  <c r="BN138" i="16"/>
  <c r="R139" i="16"/>
  <c r="R140" i="16" s="1"/>
  <c r="R141" i="16" s="1"/>
  <c r="R142" i="16" s="1"/>
  <c r="R143" i="16" s="1"/>
  <c r="R144" i="16" s="1"/>
  <c r="R145" i="16" s="1"/>
  <c r="R146" i="16" s="1"/>
  <c r="R147" i="16" s="1"/>
  <c r="R148" i="16" s="1"/>
  <c r="R149" i="16" s="1"/>
  <c r="R150" i="16" s="1"/>
  <c r="R151" i="16" s="1"/>
  <c r="R152" i="16" s="1"/>
  <c r="R153" i="16" s="1"/>
  <c r="AG160" i="16" s="1"/>
  <c r="DJ138" i="13"/>
  <c r="AP138" i="13"/>
  <c r="CL138" i="13"/>
  <c r="R138" i="13"/>
  <c r="BN138" i="13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7" i="17"/>
  <c r="BN139" i="13" l="1"/>
  <c r="BN140" i="13" s="1"/>
  <c r="BN141" i="13" s="1"/>
  <c r="BN142" i="13" s="1"/>
  <c r="BN143" i="13" s="1"/>
  <c r="BN144" i="13" s="1"/>
  <c r="BN145" i="13" s="1"/>
  <c r="BN146" i="13" s="1"/>
  <c r="BN147" i="13" s="1"/>
  <c r="BN148" i="13" s="1"/>
  <c r="BN149" i="13" s="1"/>
  <c r="BN150" i="13" s="1"/>
  <c r="BN151" i="13" s="1"/>
  <c r="BN152" i="13" s="1"/>
  <c r="BN153" i="13" s="1"/>
  <c r="AJ160" i="13" s="1"/>
  <c r="BN139" i="16"/>
  <c r="CL139" i="13"/>
  <c r="CL140" i="13" s="1"/>
  <c r="CL141" i="13" s="1"/>
  <c r="CL142" i="13" s="1"/>
  <c r="CL143" i="13" s="1"/>
  <c r="CL144" i="13" s="1"/>
  <c r="CL145" i="13" s="1"/>
  <c r="CL146" i="13" s="1"/>
  <c r="CL147" i="13" s="1"/>
  <c r="CL148" i="13" s="1"/>
  <c r="CL149" i="13" s="1"/>
  <c r="CL150" i="13" s="1"/>
  <c r="CL151" i="13" s="1"/>
  <c r="CL152" i="13" s="1"/>
  <c r="CL153" i="13" s="1"/>
  <c r="AK160" i="13" s="1"/>
  <c r="BN140" i="16"/>
  <c r="BN141" i="16" s="1"/>
  <c r="BN142" i="16" s="1"/>
  <c r="BN143" i="16" s="1"/>
  <c r="BN144" i="16" s="1"/>
  <c r="BN145" i="16" s="1"/>
  <c r="BN146" i="16" s="1"/>
  <c r="BN147" i="16" s="1"/>
  <c r="BN148" i="16" s="1"/>
  <c r="BN149" i="16" s="1"/>
  <c r="BN150" i="16" s="1"/>
  <c r="BN151" i="16" s="1"/>
  <c r="BN152" i="16" s="1"/>
  <c r="BN153" i="16" s="1"/>
  <c r="AI160" i="16" s="1"/>
  <c r="AP139" i="16"/>
  <c r="AP140" i="16" s="1"/>
  <c r="AP141" i="16" s="1"/>
  <c r="AP142" i="16" s="1"/>
  <c r="AP143" i="16" s="1"/>
  <c r="AP144" i="16" s="1"/>
  <c r="AP145" i="16" s="1"/>
  <c r="AP146" i="16" s="1"/>
  <c r="AP147" i="16" s="1"/>
  <c r="AP148" i="16" s="1"/>
  <c r="AP149" i="16" s="1"/>
  <c r="AP150" i="16" s="1"/>
  <c r="AP151" i="16" s="1"/>
  <c r="AP152" i="16" s="1"/>
  <c r="AP153" i="16" s="1"/>
  <c r="AH160" i="16" s="1"/>
  <c r="R139" i="13"/>
  <c r="R140" i="13" s="1"/>
  <c r="R141" i="13" s="1"/>
  <c r="R142" i="13" s="1"/>
  <c r="R143" i="13" s="1"/>
  <c r="R144" i="13" s="1"/>
  <c r="R145" i="13" s="1"/>
  <c r="R146" i="13" s="1"/>
  <c r="R147" i="13" s="1"/>
  <c r="R148" i="13" s="1"/>
  <c r="R149" i="13" s="1"/>
  <c r="R150" i="13" s="1"/>
  <c r="R151" i="13" s="1"/>
  <c r="R152" i="13" s="1"/>
  <c r="R153" i="13" s="1"/>
  <c r="AH160" i="13" s="1"/>
  <c r="AP139" i="13"/>
  <c r="AP140" i="13" s="1"/>
  <c r="AP141" i="13" s="1"/>
  <c r="AP142" i="13" s="1"/>
  <c r="AP143" i="13" s="1"/>
  <c r="AP144" i="13" s="1"/>
  <c r="AP145" i="13" s="1"/>
  <c r="AP146" i="13" s="1"/>
  <c r="AP147" i="13" s="1"/>
  <c r="AP148" i="13" s="1"/>
  <c r="AP149" i="13" s="1"/>
  <c r="AP150" i="13" s="1"/>
  <c r="AP151" i="13" s="1"/>
  <c r="AP152" i="13" s="1"/>
  <c r="AP153" i="13" s="1"/>
  <c r="AI160" i="13" s="1"/>
  <c r="DJ139" i="13"/>
  <c r="DJ140" i="13" s="1"/>
  <c r="DJ141" i="13" s="1"/>
  <c r="DJ142" i="13" s="1"/>
  <c r="DJ143" i="13" s="1"/>
  <c r="DJ144" i="13" s="1"/>
  <c r="DJ145" i="13" s="1"/>
  <c r="DJ146" i="13" s="1"/>
  <c r="DJ147" i="13" s="1"/>
  <c r="DJ148" i="13" s="1"/>
  <c r="DJ149" i="13" s="1"/>
  <c r="DJ150" i="13" s="1"/>
  <c r="DJ151" i="13" s="1"/>
  <c r="DJ152" i="13" s="1"/>
  <c r="DJ153" i="13" s="1"/>
  <c r="AL160" i="13" s="1"/>
  <c r="DH74" i="16"/>
  <c r="CH74" i="16"/>
  <c r="AH74" i="16"/>
  <c r="AP74" i="16" s="1"/>
  <c r="AH74" i="15"/>
  <c r="AP74" i="15" s="1"/>
  <c r="H74" i="16"/>
  <c r="P74" i="16" s="1"/>
  <c r="H74" i="15"/>
  <c r="P74" i="15" s="1"/>
  <c r="H74" i="14"/>
  <c r="P74" i="14" s="1"/>
  <c r="CH74" i="15"/>
  <c r="CP74" i="15" s="1"/>
  <c r="AH74" i="13"/>
  <c r="AP74" i="13" s="1"/>
  <c r="H74" i="13"/>
  <c r="P74" i="13" s="1"/>
  <c r="DH74" i="15"/>
  <c r="DP74" i="15" s="1"/>
  <c r="BH74" i="15"/>
  <c r="BP74" i="15" s="1"/>
  <c r="CH74" i="14"/>
  <c r="CP74" i="14" s="1"/>
  <c r="DH74" i="14"/>
  <c r="DP74" i="14" s="1"/>
  <c r="AH74" i="14"/>
  <c r="AP74" i="14" s="1"/>
  <c r="BH74" i="13"/>
  <c r="BP74" i="13" s="1"/>
  <c r="DH70" i="16"/>
  <c r="CH70" i="16"/>
  <c r="BH70" i="16"/>
  <c r="BP70" i="16" s="1"/>
  <c r="AH70" i="16"/>
  <c r="AP70" i="16" s="1"/>
  <c r="AH70" i="15"/>
  <c r="AP70" i="15" s="1"/>
  <c r="H70" i="14"/>
  <c r="P70" i="14" s="1"/>
  <c r="DH70" i="14"/>
  <c r="DP70" i="14" s="1"/>
  <c r="DH70" i="13"/>
  <c r="DP70" i="13" s="1"/>
  <c r="H70" i="13"/>
  <c r="P70" i="13" s="1"/>
  <c r="F10" i="8"/>
  <c r="I7" i="8"/>
  <c r="H7" i="8"/>
  <c r="G7" i="8"/>
  <c r="F7" i="8"/>
  <c r="E7" i="8"/>
  <c r="Z65" i="2"/>
  <c r="Z44" i="2"/>
  <c r="S65" i="2"/>
  <c r="S59" i="2"/>
  <c r="Q80" i="10" s="1"/>
  <c r="U80" i="10" s="1"/>
  <c r="S44" i="2"/>
  <c r="L65" i="2"/>
  <c r="E65" i="2"/>
  <c r="E59" i="2"/>
  <c r="E23" i="2"/>
  <c r="E41" i="1"/>
  <c r="G9" i="8"/>
  <c r="F9" i="8"/>
  <c r="E11" i="8"/>
  <c r="I10" i="8"/>
  <c r="H10" i="8"/>
  <c r="G8" i="8"/>
  <c r="F8" i="8"/>
  <c r="G41" i="1"/>
  <c r="G10" i="8"/>
  <c r="F41" i="1"/>
  <c r="CC27" i="16" l="1"/>
  <c r="CC27" i="15"/>
  <c r="I27" i="15"/>
  <c r="BE27" i="14"/>
  <c r="BE27" i="13"/>
  <c r="AG27" i="16"/>
  <c r="DA27" i="15"/>
  <c r="DA27" i="13"/>
  <c r="BE27" i="15"/>
  <c r="I27" i="14"/>
  <c r="BE27" i="16"/>
  <c r="AG27" i="15"/>
  <c r="DA27" i="14"/>
  <c r="AG27" i="13"/>
  <c r="CC27" i="14"/>
  <c r="DA27" i="16"/>
  <c r="I27" i="13"/>
  <c r="AG27" i="14"/>
  <c r="I27" i="16"/>
  <c r="CC27" i="13"/>
  <c r="Q16" i="10"/>
  <c r="U16" i="10" s="1"/>
  <c r="Q19" i="10"/>
  <c r="U19" i="10" s="1"/>
  <c r="Q22" i="10"/>
  <c r="U22" i="10" s="1"/>
  <c r="Q25" i="10"/>
  <c r="U25" i="10" s="1"/>
  <c r="Q28" i="10"/>
  <c r="U28" i="10" s="1"/>
  <c r="Q69" i="10"/>
  <c r="Q73" i="10"/>
  <c r="Q77" i="10"/>
  <c r="Q65" i="10"/>
  <c r="Q68" i="10"/>
  <c r="Q72" i="10"/>
  <c r="Q76" i="10"/>
  <c r="Q67" i="10"/>
  <c r="Q71" i="10"/>
  <c r="Q75" i="10"/>
  <c r="Q79" i="10"/>
  <c r="Q70" i="10"/>
  <c r="Q74" i="10"/>
  <c r="Q78" i="10"/>
  <c r="Q66" i="10"/>
  <c r="J92" i="10"/>
  <c r="U92" i="10" s="1"/>
  <c r="J93" i="10"/>
  <c r="U93" i="10" s="1"/>
  <c r="J66" i="10"/>
  <c r="J67" i="10"/>
  <c r="U67" i="10" s="1"/>
  <c r="BH70" i="14"/>
  <c r="BP70" i="14" s="1"/>
  <c r="H75" i="13"/>
  <c r="P75" i="13" s="1"/>
  <c r="AH75" i="15"/>
  <c r="AP75" i="15" s="1"/>
  <c r="DH75" i="14"/>
  <c r="DP75" i="14" s="1"/>
  <c r="H70" i="15"/>
  <c r="P70" i="15" s="1"/>
  <c r="AH70" i="13"/>
  <c r="AP70" i="13" s="1"/>
  <c r="CH70" i="15"/>
  <c r="CP70" i="15" s="1"/>
  <c r="BH70" i="15"/>
  <c r="BP70" i="15" s="1"/>
  <c r="CH74" i="13"/>
  <c r="CP74" i="13" s="1"/>
  <c r="H69" i="15"/>
  <c r="P69" i="15" s="1"/>
  <c r="CH69" i="15"/>
  <c r="CP69" i="15" s="1"/>
  <c r="DH74" i="13"/>
  <c r="DP74" i="13" s="1"/>
  <c r="BH74" i="16"/>
  <c r="BP74" i="16" s="1"/>
  <c r="BH74" i="14"/>
  <c r="BP74" i="14" s="1"/>
  <c r="BH70" i="13"/>
  <c r="BP70" i="13" s="1"/>
  <c r="AH70" i="14"/>
  <c r="AP70" i="14" s="1"/>
  <c r="H70" i="16"/>
  <c r="P70" i="16" s="1"/>
  <c r="CH70" i="14"/>
  <c r="CP70" i="14" s="1"/>
  <c r="CH70" i="13"/>
  <c r="CP70" i="13" s="1"/>
  <c r="DH70" i="15"/>
  <c r="DP70" i="15" s="1"/>
  <c r="CH69" i="16"/>
  <c r="AH69" i="15"/>
  <c r="AP69" i="15" s="1"/>
  <c r="H69" i="13"/>
  <c r="P69" i="13" s="1"/>
  <c r="AH69" i="16"/>
  <c r="AP69" i="16" s="1"/>
  <c r="H65" i="13"/>
  <c r="P65" i="13" s="1"/>
  <c r="AH65" i="13"/>
  <c r="AP65" i="13" s="1"/>
  <c r="AH65" i="15"/>
  <c r="AP65" i="15" s="1"/>
  <c r="DH65" i="14"/>
  <c r="DP65" i="14" s="1"/>
  <c r="AH65" i="16"/>
  <c r="AP65" i="16" s="1"/>
  <c r="H65" i="14"/>
  <c r="P65" i="14" s="1"/>
  <c r="BH65" i="13"/>
  <c r="BP65" i="13" s="1"/>
  <c r="CH65" i="15"/>
  <c r="CP65" i="15" s="1"/>
  <c r="CH65" i="14"/>
  <c r="CP65" i="14" s="1"/>
  <c r="BH65" i="16"/>
  <c r="BP65" i="16" s="1"/>
  <c r="H65" i="15"/>
  <c r="P65" i="15" s="1"/>
  <c r="CH65" i="13"/>
  <c r="CP65" i="13" s="1"/>
  <c r="AH65" i="14"/>
  <c r="AP65" i="14" s="1"/>
  <c r="BH65" i="15"/>
  <c r="BP65" i="15" s="1"/>
  <c r="CH65" i="16"/>
  <c r="H65" i="16"/>
  <c r="P65" i="16" s="1"/>
  <c r="DH65" i="13"/>
  <c r="DP65" i="13" s="1"/>
  <c r="BH65" i="14"/>
  <c r="BP65" i="14" s="1"/>
  <c r="DH65" i="15"/>
  <c r="DP65" i="15" s="1"/>
  <c r="DH65" i="16"/>
  <c r="CH64" i="16"/>
  <c r="AH75" i="16"/>
  <c r="AP75" i="16" s="1"/>
  <c r="H75" i="14"/>
  <c r="P75" i="14" s="1"/>
  <c r="CH75" i="15"/>
  <c r="CP75" i="15" s="1"/>
  <c r="CH75" i="14"/>
  <c r="CP75" i="14" s="1"/>
  <c r="DH75" i="13"/>
  <c r="DP75" i="13" s="1"/>
  <c r="BH75" i="16"/>
  <c r="BP75" i="16" s="1"/>
  <c r="H75" i="15"/>
  <c r="P75" i="15" s="1"/>
  <c r="AH75" i="14"/>
  <c r="AP75" i="14" s="1"/>
  <c r="AH75" i="13"/>
  <c r="AP75" i="13" s="1"/>
  <c r="BH75" i="15"/>
  <c r="BP75" i="15" s="1"/>
  <c r="CH75" i="16"/>
  <c r="CH75" i="13"/>
  <c r="CP75" i="13" s="1"/>
  <c r="H75" i="16"/>
  <c r="P75" i="16" s="1"/>
  <c r="BH75" i="14"/>
  <c r="BP75" i="14" s="1"/>
  <c r="BH75" i="13"/>
  <c r="BP75" i="13" s="1"/>
  <c r="DH75" i="15"/>
  <c r="DP75" i="15" s="1"/>
  <c r="DH75" i="16"/>
  <c r="CH69" i="14"/>
  <c r="CP69" i="14" s="1"/>
  <c r="DH69" i="13"/>
  <c r="DP69" i="13" s="1"/>
  <c r="H69" i="14"/>
  <c r="P69" i="14" s="1"/>
  <c r="BH69" i="15"/>
  <c r="BP69" i="15" s="1"/>
  <c r="AH69" i="14"/>
  <c r="AP69" i="14" s="1"/>
  <c r="AH69" i="13"/>
  <c r="AP69" i="13" s="1"/>
  <c r="BH69" i="16"/>
  <c r="BP69" i="16" s="1"/>
  <c r="BH69" i="14"/>
  <c r="BP69" i="14" s="1"/>
  <c r="BH69" i="13"/>
  <c r="BP69" i="13" s="1"/>
  <c r="H69" i="16"/>
  <c r="P69" i="16" s="1"/>
  <c r="DH69" i="15"/>
  <c r="DP69" i="15" s="1"/>
  <c r="DH69" i="14"/>
  <c r="DP69" i="14" s="1"/>
  <c r="CH69" i="13"/>
  <c r="CP69" i="13" s="1"/>
  <c r="DH69" i="16"/>
  <c r="H64" i="15"/>
  <c r="P64" i="15" s="1"/>
  <c r="CH64" i="15"/>
  <c r="CP64" i="15" s="1"/>
  <c r="DH64" i="13"/>
  <c r="DP64" i="13" s="1"/>
  <c r="H64" i="16"/>
  <c r="P64" i="16" s="1"/>
  <c r="DH64" i="16"/>
  <c r="AH64" i="13"/>
  <c r="AP64" i="13" s="1"/>
  <c r="H64" i="13"/>
  <c r="P64" i="13" s="1"/>
  <c r="AH64" i="14"/>
  <c r="AP64" i="14" s="1"/>
  <c r="AH64" i="15"/>
  <c r="AP64" i="15" s="1"/>
  <c r="BH64" i="16"/>
  <c r="BP64" i="16" s="1"/>
  <c r="CH64" i="13"/>
  <c r="CP64" i="13" s="1"/>
  <c r="DH64" i="14"/>
  <c r="DP64" i="14" s="1"/>
  <c r="CH64" i="14"/>
  <c r="CP64" i="14" s="1"/>
  <c r="DH64" i="15"/>
  <c r="DP64" i="15" s="1"/>
  <c r="BH64" i="13"/>
  <c r="BP64" i="13" s="1"/>
  <c r="H64" i="14"/>
  <c r="P64" i="14" s="1"/>
  <c r="BH64" i="14"/>
  <c r="BP64" i="14" s="1"/>
  <c r="BH64" i="15"/>
  <c r="BP64" i="15" s="1"/>
  <c r="AH64" i="16"/>
  <c r="AP64" i="16" s="1"/>
  <c r="E10" i="8"/>
  <c r="I8" i="8"/>
  <c r="E9" i="8"/>
  <c r="F11" i="8"/>
  <c r="G11" i="8"/>
  <c r="E8" i="8"/>
  <c r="H8" i="8"/>
  <c r="DA40" i="13" l="1"/>
  <c r="AG40" i="13"/>
  <c r="AI40" i="13" s="1"/>
  <c r="DA40" i="15"/>
  <c r="BE40" i="15"/>
  <c r="I40" i="15"/>
  <c r="DA40" i="14"/>
  <c r="CC40" i="15"/>
  <c r="AG40" i="15"/>
  <c r="CC40" i="14"/>
  <c r="AG40" i="14"/>
  <c r="CC40" i="13"/>
  <c r="I40" i="13"/>
  <c r="BE40" i="14"/>
  <c r="I40" i="14"/>
  <c r="DA39" i="15"/>
  <c r="BE39" i="15"/>
  <c r="I39" i="15"/>
  <c r="DA39" i="14"/>
  <c r="BE39" i="14"/>
  <c r="I39" i="14"/>
  <c r="CC39" i="15"/>
  <c r="AG39" i="15"/>
  <c r="CC39" i="14"/>
  <c r="AG39" i="14"/>
  <c r="CC39" i="13"/>
  <c r="I39" i="13"/>
  <c r="DA39" i="13"/>
  <c r="AG39" i="13"/>
  <c r="AI39" i="13" s="1"/>
  <c r="CC14" i="16"/>
  <c r="BE14" i="16"/>
  <c r="AG14" i="16"/>
  <c r="I14" i="16"/>
  <c r="AG14" i="15"/>
  <c r="DA14" i="15"/>
  <c r="BE14" i="15"/>
  <c r="I14" i="15"/>
  <c r="DA14" i="16"/>
  <c r="CC14" i="15"/>
  <c r="AG97" i="13"/>
  <c r="AI97" i="13" s="1"/>
  <c r="AN97" i="13" s="1"/>
  <c r="DA97" i="13"/>
  <c r="CC97" i="13"/>
  <c r="DA97" i="15"/>
  <c r="BE97" i="15"/>
  <c r="I97" i="15"/>
  <c r="DA97" i="14"/>
  <c r="BE97" i="14"/>
  <c r="I97" i="14"/>
  <c r="BE97" i="13"/>
  <c r="BG97" i="13" s="1"/>
  <c r="BL97" i="13" s="1"/>
  <c r="CC97" i="15"/>
  <c r="AG97" i="15"/>
  <c r="CC97" i="14"/>
  <c r="AG97" i="14"/>
  <c r="I97" i="13"/>
  <c r="AG100" i="13"/>
  <c r="AI100" i="13" s="1"/>
  <c r="AN100" i="13" s="1"/>
  <c r="DA100" i="15"/>
  <c r="BE100" i="15"/>
  <c r="I100" i="15"/>
  <c r="DA100" i="14"/>
  <c r="BE100" i="14"/>
  <c r="I100" i="14"/>
  <c r="BE100" i="13"/>
  <c r="BG100" i="13" s="1"/>
  <c r="BL100" i="13" s="1"/>
  <c r="CC100" i="14"/>
  <c r="CC100" i="15"/>
  <c r="AG100" i="15"/>
  <c r="AG100" i="14"/>
  <c r="I100" i="13"/>
  <c r="DA100" i="13"/>
  <c r="CC100" i="13"/>
  <c r="AG94" i="13"/>
  <c r="AI94" i="13" s="1"/>
  <c r="AN94" i="13" s="1"/>
  <c r="CC94" i="15"/>
  <c r="AG94" i="15"/>
  <c r="CC94" i="14"/>
  <c r="AG94" i="14"/>
  <c r="I94" i="13"/>
  <c r="DA94" i="15"/>
  <c r="BE94" i="15"/>
  <c r="DA94" i="14"/>
  <c r="BE94" i="14"/>
  <c r="DA94" i="13"/>
  <c r="DC94" i="13" s="1"/>
  <c r="DH94" i="13" s="1"/>
  <c r="CC94" i="13"/>
  <c r="I94" i="15"/>
  <c r="I94" i="14"/>
  <c r="BE94" i="13"/>
  <c r="BG94" i="13" s="1"/>
  <c r="BL94" i="13" s="1"/>
  <c r="AG103" i="13"/>
  <c r="CC103" i="15"/>
  <c r="AG103" i="15"/>
  <c r="CC103" i="14"/>
  <c r="AG103" i="14"/>
  <c r="I103" i="13"/>
  <c r="DA103" i="15"/>
  <c r="BE103" i="15"/>
  <c r="I103" i="15"/>
  <c r="DA103" i="14"/>
  <c r="BE103" i="14"/>
  <c r="CC103" i="13"/>
  <c r="DA103" i="13"/>
  <c r="I103" i="14"/>
  <c r="BE103" i="13"/>
  <c r="AG91" i="13"/>
  <c r="AI91" i="13" s="1"/>
  <c r="AN91" i="13" s="1"/>
  <c r="CC91" i="15"/>
  <c r="AG91" i="15"/>
  <c r="CC91" i="14"/>
  <c r="AG91" i="14"/>
  <c r="I91" i="13"/>
  <c r="DA91" i="13"/>
  <c r="DC91" i="13" s="1"/>
  <c r="DH91" i="13" s="1"/>
  <c r="CC91" i="13"/>
  <c r="DA91" i="15"/>
  <c r="BE91" i="15"/>
  <c r="I91" i="15"/>
  <c r="DA91" i="14"/>
  <c r="BE91" i="14"/>
  <c r="I91" i="14"/>
  <c r="BE91" i="13"/>
  <c r="BG91" i="13" s="1"/>
  <c r="BL91" i="13" s="1"/>
  <c r="U66" i="10"/>
  <c r="CC13" i="14" s="1"/>
  <c r="CC14" i="14"/>
  <c r="BE14" i="13"/>
  <c r="BG14" i="13" s="1"/>
  <c r="BL14" i="13" s="1"/>
  <c r="DA14" i="14"/>
  <c r="I14" i="14"/>
  <c r="CC14" i="13"/>
  <c r="DA14" i="13"/>
  <c r="AG14" i="13"/>
  <c r="BE14" i="14"/>
  <c r="AG14" i="14"/>
  <c r="I14" i="13"/>
  <c r="K14" i="13" s="1"/>
  <c r="U79" i="10"/>
  <c r="U76" i="10"/>
  <c r="U77" i="10"/>
  <c r="DA13" i="14"/>
  <c r="I13" i="14"/>
  <c r="AG13" i="13"/>
  <c r="AG13" i="14"/>
  <c r="U78" i="10"/>
  <c r="U75" i="10"/>
  <c r="U72" i="10"/>
  <c r="U73" i="10"/>
  <c r="U74" i="10"/>
  <c r="U71" i="10"/>
  <c r="U68" i="10"/>
  <c r="U69" i="10"/>
  <c r="U70" i="10"/>
  <c r="U65" i="10"/>
  <c r="DA100" i="16"/>
  <c r="CC100" i="16"/>
  <c r="BE100" i="16"/>
  <c r="AG100" i="16"/>
  <c r="I100" i="16"/>
  <c r="DA97" i="16"/>
  <c r="CC97" i="16"/>
  <c r="BE97" i="16"/>
  <c r="AG97" i="16"/>
  <c r="I97" i="16"/>
  <c r="CC40" i="16"/>
  <c r="BE40" i="16"/>
  <c r="AG40" i="16"/>
  <c r="DA40" i="16"/>
  <c r="I40" i="16"/>
  <c r="DA94" i="16"/>
  <c r="CC94" i="16"/>
  <c r="BE94" i="16"/>
  <c r="AG94" i="16"/>
  <c r="I94" i="16"/>
  <c r="CC39" i="16"/>
  <c r="BE39" i="16"/>
  <c r="AG39" i="16"/>
  <c r="DA39" i="16"/>
  <c r="I39" i="16"/>
  <c r="DA103" i="16"/>
  <c r="CC103" i="16"/>
  <c r="BE103" i="16"/>
  <c r="AG103" i="16"/>
  <c r="I103" i="16"/>
  <c r="DA91" i="16"/>
  <c r="CC91" i="16"/>
  <c r="BE91" i="16"/>
  <c r="AG91" i="16"/>
  <c r="I91" i="16"/>
  <c r="AY95" i="14"/>
  <c r="BW95" i="14"/>
  <c r="CU95" i="14"/>
  <c r="C95" i="14"/>
  <c r="AA95" i="14"/>
  <c r="BW95" i="16"/>
  <c r="C95" i="15"/>
  <c r="AA95" i="13"/>
  <c r="CU95" i="16"/>
  <c r="C95" i="16"/>
  <c r="AA95" i="15"/>
  <c r="AY95" i="13"/>
  <c r="C95" i="13"/>
  <c r="AA95" i="16"/>
  <c r="AY95" i="15"/>
  <c r="BW95" i="13"/>
  <c r="AY95" i="16"/>
  <c r="BW95" i="15"/>
  <c r="CU95" i="13"/>
  <c r="CU98" i="14"/>
  <c r="C98" i="14"/>
  <c r="AA98" i="14"/>
  <c r="AY98" i="14"/>
  <c r="BW98" i="14"/>
  <c r="AA98" i="16"/>
  <c r="AY98" i="15"/>
  <c r="BW98" i="13"/>
  <c r="AY98" i="16"/>
  <c r="BW98" i="15"/>
  <c r="CU98" i="13"/>
  <c r="BW98" i="16"/>
  <c r="C98" i="15"/>
  <c r="AA98" i="13"/>
  <c r="CU98" i="16"/>
  <c r="C98" i="16"/>
  <c r="AA98" i="15"/>
  <c r="AY98" i="13"/>
  <c r="C98" i="13"/>
  <c r="AY101" i="14"/>
  <c r="BW101" i="14"/>
  <c r="CU101" i="14"/>
  <c r="C101" i="14"/>
  <c r="AA101" i="14"/>
  <c r="BW101" i="16"/>
  <c r="C101" i="15"/>
  <c r="AA101" i="13"/>
  <c r="CU101" i="16"/>
  <c r="C101" i="16"/>
  <c r="AA101" i="15"/>
  <c r="AY101" i="13"/>
  <c r="C101" i="13"/>
  <c r="AA101" i="16"/>
  <c r="AY101" i="15"/>
  <c r="BW101" i="13"/>
  <c r="AY101" i="16"/>
  <c r="BW101" i="15"/>
  <c r="CU101" i="13"/>
  <c r="CU92" i="14"/>
  <c r="C92" i="14"/>
  <c r="AA92" i="14"/>
  <c r="AY92" i="14"/>
  <c r="BW92" i="14"/>
  <c r="AA92" i="16"/>
  <c r="AY92" i="15"/>
  <c r="BW92" i="13"/>
  <c r="AY92" i="16"/>
  <c r="BW92" i="15"/>
  <c r="CU92" i="13"/>
  <c r="BW92" i="16"/>
  <c r="C92" i="15"/>
  <c r="AA92" i="13"/>
  <c r="CU92" i="16"/>
  <c r="C92" i="16"/>
  <c r="AA92" i="15"/>
  <c r="AY92" i="13"/>
  <c r="C92" i="13"/>
  <c r="CU88" i="14"/>
  <c r="C88" i="14"/>
  <c r="AA88" i="14"/>
  <c r="AY88" i="14"/>
  <c r="AA88" i="13"/>
  <c r="BW88" i="14"/>
  <c r="AY88" i="16"/>
  <c r="BW88" i="15"/>
  <c r="CU88" i="13"/>
  <c r="BW88" i="16"/>
  <c r="C88" i="15"/>
  <c r="CU88" i="16"/>
  <c r="C88" i="16"/>
  <c r="AA88" i="15"/>
  <c r="AY88" i="13"/>
  <c r="AA88" i="16"/>
  <c r="AY88" i="15"/>
  <c r="BW88" i="13"/>
  <c r="C88" i="13"/>
  <c r="AA90" i="14"/>
  <c r="AY90" i="14"/>
  <c r="BW90" i="14"/>
  <c r="CU90" i="14"/>
  <c r="C90" i="14"/>
  <c r="CU90" i="16"/>
  <c r="C90" i="16"/>
  <c r="AA90" i="15"/>
  <c r="AY90" i="13"/>
  <c r="AA90" i="16"/>
  <c r="AY90" i="15"/>
  <c r="BW90" i="13"/>
  <c r="AY90" i="16"/>
  <c r="BW90" i="15"/>
  <c r="CU90" i="13"/>
  <c r="C90" i="13"/>
  <c r="BW90" i="16"/>
  <c r="C90" i="15"/>
  <c r="AA90" i="13"/>
  <c r="BW93" i="14"/>
  <c r="CU93" i="14"/>
  <c r="C93" i="14"/>
  <c r="AA93" i="14"/>
  <c r="AY93" i="14"/>
  <c r="AY93" i="16"/>
  <c r="BW93" i="15"/>
  <c r="CU93" i="13"/>
  <c r="C93" i="13"/>
  <c r="BW93" i="16"/>
  <c r="C93" i="15"/>
  <c r="AA93" i="13"/>
  <c r="CU93" i="16"/>
  <c r="C93" i="16"/>
  <c r="AA93" i="15"/>
  <c r="AY93" i="13"/>
  <c r="AA93" i="16"/>
  <c r="AY93" i="15"/>
  <c r="BW93" i="13"/>
  <c r="BW99" i="14"/>
  <c r="CU99" i="14"/>
  <c r="C99" i="14"/>
  <c r="AA99" i="14"/>
  <c r="AY99" i="14"/>
  <c r="AY99" i="16"/>
  <c r="BW99" i="15"/>
  <c r="CU99" i="13"/>
  <c r="C99" i="13"/>
  <c r="BW99" i="16"/>
  <c r="C99" i="15"/>
  <c r="AA99" i="13"/>
  <c r="CU99" i="16"/>
  <c r="C99" i="16"/>
  <c r="AA99" i="15"/>
  <c r="AY99" i="13"/>
  <c r="AA99" i="16"/>
  <c r="AY99" i="15"/>
  <c r="BW99" i="13"/>
  <c r="AA102" i="14"/>
  <c r="AY102" i="14"/>
  <c r="BW102" i="14"/>
  <c r="CU102" i="14"/>
  <c r="C102" i="14"/>
  <c r="CU102" i="16"/>
  <c r="C102" i="16"/>
  <c r="AA102" i="15"/>
  <c r="AY102" i="13"/>
  <c r="AA102" i="16"/>
  <c r="AY102" i="15"/>
  <c r="BW102" i="13"/>
  <c r="AY102" i="16"/>
  <c r="BW102" i="15"/>
  <c r="CU102" i="13"/>
  <c r="C102" i="13"/>
  <c r="BW102" i="16"/>
  <c r="C102" i="15"/>
  <c r="AA102" i="13"/>
  <c r="AA96" i="14"/>
  <c r="AY96" i="14"/>
  <c r="BW96" i="14"/>
  <c r="CU96" i="14"/>
  <c r="C96" i="14"/>
  <c r="CU96" i="16"/>
  <c r="C96" i="16"/>
  <c r="AA96" i="15"/>
  <c r="AY96" i="13"/>
  <c r="AA96" i="16"/>
  <c r="AY96" i="15"/>
  <c r="BW96" i="13"/>
  <c r="AY96" i="16"/>
  <c r="BW96" i="15"/>
  <c r="CU96" i="13"/>
  <c r="C96" i="13"/>
  <c r="BW96" i="16"/>
  <c r="C96" i="15"/>
  <c r="AA96" i="13"/>
  <c r="AY89" i="14"/>
  <c r="BW89" i="14"/>
  <c r="CU89" i="14"/>
  <c r="C89" i="14"/>
  <c r="AA89" i="14"/>
  <c r="BW89" i="16"/>
  <c r="C89" i="15"/>
  <c r="AA89" i="13"/>
  <c r="CU89" i="16"/>
  <c r="C89" i="16"/>
  <c r="AA89" i="15"/>
  <c r="AY89" i="13"/>
  <c r="C89" i="13"/>
  <c r="AA89" i="16"/>
  <c r="AY89" i="15"/>
  <c r="BW89" i="13"/>
  <c r="AY89" i="16"/>
  <c r="BW89" i="15"/>
  <c r="CU89" i="13"/>
  <c r="U63" i="15"/>
  <c r="AU63" i="15"/>
  <c r="U63" i="14"/>
  <c r="U63" i="16"/>
  <c r="BU63" i="15"/>
  <c r="DU63" i="14"/>
  <c r="AU63" i="16"/>
  <c r="AU63" i="14"/>
  <c r="BU63" i="16"/>
  <c r="DU63" i="15"/>
  <c r="BU63" i="14"/>
  <c r="CU63" i="14"/>
  <c r="CU63" i="15"/>
  <c r="BU63" i="13"/>
  <c r="DU63" i="13"/>
  <c r="AU63" i="13"/>
  <c r="CU63" i="13"/>
  <c r="I13" i="8"/>
  <c r="H13" i="8"/>
  <c r="G13" i="8"/>
  <c r="F13" i="8"/>
  <c r="E13" i="8"/>
  <c r="I13" i="13" l="1"/>
  <c r="K13" i="13" s="1"/>
  <c r="P13" i="13" s="1"/>
  <c r="DA13" i="13"/>
  <c r="BE13" i="13"/>
  <c r="BG13" i="13" s="1"/>
  <c r="BL13" i="13" s="1"/>
  <c r="BE13" i="14"/>
  <c r="CC13" i="13"/>
  <c r="DA15" i="16"/>
  <c r="CC15" i="16"/>
  <c r="BE15" i="16"/>
  <c r="AG15" i="16"/>
  <c r="I15" i="16"/>
  <c r="CC15" i="15"/>
  <c r="AG15" i="15"/>
  <c r="DA15" i="15"/>
  <c r="BE15" i="15"/>
  <c r="I15" i="15"/>
  <c r="DA19" i="16"/>
  <c r="CC19" i="16"/>
  <c r="BE19" i="16"/>
  <c r="AG19" i="16"/>
  <c r="I19" i="16"/>
  <c r="CC19" i="15"/>
  <c r="AG19" i="15"/>
  <c r="DA19" i="15"/>
  <c r="BE19" i="15"/>
  <c r="I19" i="15"/>
  <c r="I12" i="15"/>
  <c r="DA12" i="16"/>
  <c r="CC12" i="16"/>
  <c r="BE12" i="16"/>
  <c r="AG12" i="16"/>
  <c r="I12" i="16"/>
  <c r="CC12" i="15"/>
  <c r="AG12" i="15"/>
  <c r="DA12" i="15"/>
  <c r="BE12" i="15"/>
  <c r="I18" i="15"/>
  <c r="DA18" i="16"/>
  <c r="CC18" i="15"/>
  <c r="DA18" i="15"/>
  <c r="BE18" i="15"/>
  <c r="CC18" i="16"/>
  <c r="BE18" i="16"/>
  <c r="AG18" i="16"/>
  <c r="I18" i="16"/>
  <c r="AG18" i="15"/>
  <c r="DA22" i="15"/>
  <c r="DA22" i="16"/>
  <c r="CC22" i="16"/>
  <c r="BE22" i="16"/>
  <c r="AG22" i="16"/>
  <c r="I22" i="16"/>
  <c r="AG22" i="15"/>
  <c r="BE22" i="15"/>
  <c r="I22" i="15"/>
  <c r="CC22" i="15"/>
  <c r="BE24" i="15"/>
  <c r="I24" i="15"/>
  <c r="DA24" i="16"/>
  <c r="CC24" i="16"/>
  <c r="BE24" i="16"/>
  <c r="AG24" i="16"/>
  <c r="I24" i="16"/>
  <c r="CC24" i="15"/>
  <c r="AG24" i="15"/>
  <c r="DA24" i="15"/>
  <c r="DA17" i="15"/>
  <c r="BE17" i="15"/>
  <c r="I17" i="15"/>
  <c r="DA17" i="16"/>
  <c r="CC17" i="16"/>
  <c r="BE17" i="16"/>
  <c r="I17" i="16"/>
  <c r="AG17" i="16"/>
  <c r="CC17" i="15"/>
  <c r="AG17" i="15"/>
  <c r="DA21" i="15"/>
  <c r="BE21" i="15"/>
  <c r="I21" i="15"/>
  <c r="BE21" i="16"/>
  <c r="CC21" i="15"/>
  <c r="AG21" i="15"/>
  <c r="DA21" i="16"/>
  <c r="CC21" i="16"/>
  <c r="AG21" i="16"/>
  <c r="I21" i="16"/>
  <c r="DA25" i="15"/>
  <c r="BE25" i="15"/>
  <c r="I25" i="15"/>
  <c r="DA25" i="16"/>
  <c r="CC25" i="16"/>
  <c r="AG25" i="16"/>
  <c r="I25" i="16"/>
  <c r="BE25" i="16"/>
  <c r="CC25" i="15"/>
  <c r="AG25" i="15"/>
  <c r="DA23" i="16"/>
  <c r="CC23" i="16"/>
  <c r="BE23" i="16"/>
  <c r="AG23" i="16"/>
  <c r="I23" i="16"/>
  <c r="CC23" i="15"/>
  <c r="AG23" i="15"/>
  <c r="DA23" i="15"/>
  <c r="BE23" i="15"/>
  <c r="I23" i="15"/>
  <c r="DA13" i="15"/>
  <c r="BE13" i="15"/>
  <c r="I13" i="15"/>
  <c r="AG13" i="16"/>
  <c r="CC13" i="15"/>
  <c r="AG13" i="15"/>
  <c r="DA13" i="16"/>
  <c r="CC13" i="16"/>
  <c r="BE13" i="16"/>
  <c r="I13" i="16"/>
  <c r="DA16" i="15"/>
  <c r="BE16" i="15"/>
  <c r="DA16" i="16"/>
  <c r="CC16" i="16"/>
  <c r="BE16" i="16"/>
  <c r="AG16" i="16"/>
  <c r="I16" i="16"/>
  <c r="CC16" i="15"/>
  <c r="AG16" i="15"/>
  <c r="I16" i="15"/>
  <c r="DA20" i="15"/>
  <c r="DA20" i="16"/>
  <c r="CC20" i="16"/>
  <c r="BE20" i="16"/>
  <c r="AG20" i="16"/>
  <c r="I20" i="16"/>
  <c r="CC20" i="15"/>
  <c r="AG20" i="15"/>
  <c r="BE20" i="15"/>
  <c r="I20" i="15"/>
  <c r="I26" i="15"/>
  <c r="CC26" i="15"/>
  <c r="DA26" i="15"/>
  <c r="BE26" i="15"/>
  <c r="DA26" i="16"/>
  <c r="CC26" i="16"/>
  <c r="BE26" i="16"/>
  <c r="AG26" i="16"/>
  <c r="I26" i="16"/>
  <c r="AG26" i="15"/>
  <c r="CC17" i="14"/>
  <c r="BE17" i="13"/>
  <c r="BG17" i="13" s="1"/>
  <c r="BL17" i="13" s="1"/>
  <c r="DA17" i="14"/>
  <c r="I17" i="14"/>
  <c r="CC17" i="13"/>
  <c r="DA17" i="13"/>
  <c r="AG17" i="13"/>
  <c r="I17" i="13"/>
  <c r="K17" i="13" s="1"/>
  <c r="BE17" i="14"/>
  <c r="AG17" i="14"/>
  <c r="CC21" i="14"/>
  <c r="BE21" i="13"/>
  <c r="BG21" i="13" s="1"/>
  <c r="BL21" i="13" s="1"/>
  <c r="DA21" i="14"/>
  <c r="I21" i="14"/>
  <c r="CC21" i="13"/>
  <c r="DA21" i="13"/>
  <c r="AG21" i="13"/>
  <c r="BE21" i="14"/>
  <c r="AG21" i="14"/>
  <c r="I21" i="13"/>
  <c r="CC25" i="14"/>
  <c r="BE25" i="13"/>
  <c r="BG25" i="13" s="1"/>
  <c r="BL25" i="13" s="1"/>
  <c r="DA25" i="14"/>
  <c r="I25" i="14"/>
  <c r="DA25" i="13"/>
  <c r="CC25" i="13"/>
  <c r="AG25" i="13"/>
  <c r="AG25" i="14"/>
  <c r="I25" i="13"/>
  <c r="BE25" i="14"/>
  <c r="CC23" i="14"/>
  <c r="BE23" i="13"/>
  <c r="BG23" i="13" s="1"/>
  <c r="BL23" i="13" s="1"/>
  <c r="DA23" i="14"/>
  <c r="I23" i="14"/>
  <c r="CC23" i="13"/>
  <c r="DA23" i="13"/>
  <c r="AG23" i="13"/>
  <c r="AG23" i="14"/>
  <c r="I23" i="13"/>
  <c r="BE23" i="14"/>
  <c r="CC18" i="14"/>
  <c r="BE18" i="13"/>
  <c r="BG18" i="13" s="1"/>
  <c r="BL18" i="13" s="1"/>
  <c r="DA18" i="14"/>
  <c r="I18" i="14"/>
  <c r="CC18" i="13"/>
  <c r="DA18" i="13"/>
  <c r="AG18" i="13"/>
  <c r="I18" i="13"/>
  <c r="K18" i="13" s="1"/>
  <c r="BE18" i="14"/>
  <c r="AG18" i="14"/>
  <c r="CC22" i="14"/>
  <c r="BE22" i="13"/>
  <c r="BG22" i="13" s="1"/>
  <c r="BL22" i="13" s="1"/>
  <c r="DA22" i="14"/>
  <c r="I22" i="14"/>
  <c r="CC22" i="13"/>
  <c r="DA22" i="13"/>
  <c r="AG22" i="13"/>
  <c r="AG22" i="14"/>
  <c r="I22" i="13"/>
  <c r="BE22" i="14"/>
  <c r="CC24" i="14"/>
  <c r="BE24" i="13"/>
  <c r="BG24" i="13" s="1"/>
  <c r="BL24" i="13" s="1"/>
  <c r="DA24" i="14"/>
  <c r="I24" i="14"/>
  <c r="DA24" i="13"/>
  <c r="CC24" i="13"/>
  <c r="AG24" i="13"/>
  <c r="BE24" i="14"/>
  <c r="AG24" i="14"/>
  <c r="I24" i="13"/>
  <c r="CC15" i="14"/>
  <c r="BE15" i="13"/>
  <c r="BG15" i="13" s="1"/>
  <c r="BL15" i="13" s="1"/>
  <c r="DA15" i="14"/>
  <c r="I15" i="14"/>
  <c r="CC15" i="13"/>
  <c r="DA15" i="13"/>
  <c r="AG15" i="13"/>
  <c r="BE15" i="14"/>
  <c r="AG15" i="14"/>
  <c r="I15" i="13"/>
  <c r="K15" i="13" s="1"/>
  <c r="CC19" i="14"/>
  <c r="BE19" i="13"/>
  <c r="BG19" i="13" s="1"/>
  <c r="BL19" i="13" s="1"/>
  <c r="DA19" i="14"/>
  <c r="I19" i="14"/>
  <c r="CC19" i="13"/>
  <c r="DA19" i="13"/>
  <c r="AG19" i="13"/>
  <c r="AG19" i="14"/>
  <c r="BE19" i="14"/>
  <c r="I19" i="13"/>
  <c r="K19" i="13" s="1"/>
  <c r="CC12" i="14"/>
  <c r="BE12" i="13"/>
  <c r="DA12" i="14"/>
  <c r="I12" i="14"/>
  <c r="CC12" i="13"/>
  <c r="DA12" i="13"/>
  <c r="AG12" i="13"/>
  <c r="AG12" i="14"/>
  <c r="BE12" i="14"/>
  <c r="I12" i="13"/>
  <c r="CC16" i="14"/>
  <c r="BE16" i="13"/>
  <c r="BG16" i="13" s="1"/>
  <c r="BL16" i="13" s="1"/>
  <c r="DA16" i="14"/>
  <c r="I16" i="14"/>
  <c r="CC16" i="13"/>
  <c r="DA16" i="13"/>
  <c r="AG16" i="13"/>
  <c r="AG16" i="14"/>
  <c r="I16" i="13"/>
  <c r="K16" i="13" s="1"/>
  <c r="BE16" i="14"/>
  <c r="CC20" i="14"/>
  <c r="BE20" i="13"/>
  <c r="BG20" i="13" s="1"/>
  <c r="BL20" i="13" s="1"/>
  <c r="DA20" i="14"/>
  <c r="I20" i="14"/>
  <c r="CC20" i="13"/>
  <c r="DA20" i="13"/>
  <c r="AG20" i="13"/>
  <c r="BE20" i="14"/>
  <c r="AG20" i="14"/>
  <c r="I20" i="13"/>
  <c r="K20" i="13" s="1"/>
  <c r="CC26" i="14"/>
  <c r="BE26" i="13"/>
  <c r="BG26" i="13" s="1"/>
  <c r="BL26" i="13" s="1"/>
  <c r="DA26" i="14"/>
  <c r="I26" i="14"/>
  <c r="DA26" i="13"/>
  <c r="CC26" i="13"/>
  <c r="AG26" i="13"/>
  <c r="AG26" i="14"/>
  <c r="BE26" i="14"/>
  <c r="I26" i="13"/>
  <c r="E144" i="9"/>
  <c r="M144" i="9" s="1"/>
  <c r="E148" i="9"/>
  <c r="M148" i="9" s="1"/>
  <c r="E152" i="9"/>
  <c r="M152" i="9" s="1"/>
  <c r="E156" i="9"/>
  <c r="M156" i="9" s="1"/>
  <c r="E150" i="9"/>
  <c r="M150" i="9" s="1"/>
  <c r="E158" i="9"/>
  <c r="M158" i="9" s="1"/>
  <c r="E147" i="9"/>
  <c r="M147" i="9" s="1"/>
  <c r="E155" i="9"/>
  <c r="M155" i="9" s="1"/>
  <c r="E145" i="9"/>
  <c r="M145" i="9" s="1"/>
  <c r="E149" i="9"/>
  <c r="M149" i="9" s="1"/>
  <c r="E153" i="9"/>
  <c r="M153" i="9" s="1"/>
  <c r="E157" i="9"/>
  <c r="M157" i="9" s="1"/>
  <c r="E146" i="9"/>
  <c r="M146" i="9" s="1"/>
  <c r="E154" i="9"/>
  <c r="M154" i="9" s="1"/>
  <c r="E151" i="9"/>
  <c r="M151" i="9" s="1"/>
  <c r="E143" i="9"/>
  <c r="M143" i="9" s="1"/>
  <c r="U64" i="15"/>
  <c r="DU64" i="14"/>
  <c r="BU64" i="16"/>
  <c r="CU64" i="15"/>
  <c r="AU64" i="16"/>
  <c r="U64" i="16"/>
  <c r="DU64" i="15"/>
  <c r="BU64" i="14"/>
  <c r="BU65" i="14" s="1"/>
  <c r="BU66" i="14" s="1"/>
  <c r="BU67" i="14" s="1"/>
  <c r="BU68" i="14" s="1"/>
  <c r="U64" i="14"/>
  <c r="AU64" i="14"/>
  <c r="AU64" i="15"/>
  <c r="CU64" i="14"/>
  <c r="BU64" i="15"/>
  <c r="DU64" i="13"/>
  <c r="CU64" i="13"/>
  <c r="AU64" i="13"/>
  <c r="AU65" i="13" s="1"/>
  <c r="AU66" i="13" s="1"/>
  <c r="AU67" i="13" s="1"/>
  <c r="AU68" i="13" s="1"/>
  <c r="U64" i="13"/>
  <c r="BU64" i="13"/>
  <c r="U65" i="16" l="1"/>
  <c r="U66" i="16" s="1"/>
  <c r="U67" i="16" s="1"/>
  <c r="U68" i="16" s="1"/>
  <c r="DI63" i="16"/>
  <c r="CI63" i="16"/>
  <c r="BI63" i="16"/>
  <c r="BQ63" i="16" s="1"/>
  <c r="AI63" i="16"/>
  <c r="AQ63" i="16" s="1"/>
  <c r="DI63" i="15"/>
  <c r="DQ63" i="15" s="1"/>
  <c r="CI63" i="15"/>
  <c r="CQ63" i="15" s="1"/>
  <c r="BI63" i="15"/>
  <c r="BQ63" i="15" s="1"/>
  <c r="AI63" i="15"/>
  <c r="AQ63" i="15" s="1"/>
  <c r="CI63" i="14"/>
  <c r="CQ63" i="14" s="1"/>
  <c r="BI63" i="14"/>
  <c r="BQ63" i="14" s="1"/>
  <c r="DI63" i="13"/>
  <c r="DQ63" i="13" s="1"/>
  <c r="I63" i="16"/>
  <c r="Q63" i="16" s="1"/>
  <c r="DI63" i="14"/>
  <c r="DQ63" i="14" s="1"/>
  <c r="AI63" i="14"/>
  <c r="AQ63" i="14" s="1"/>
  <c r="CI63" i="13"/>
  <c r="CQ63" i="13" s="1"/>
  <c r="AI63" i="13"/>
  <c r="AQ63" i="13" s="1"/>
  <c r="I63" i="15"/>
  <c r="Q63" i="15" s="1"/>
  <c r="I63" i="13"/>
  <c r="BI63" i="13"/>
  <c r="BQ63" i="13" s="1"/>
  <c r="I63" i="14"/>
  <c r="Q63" i="14" s="1"/>
  <c r="DI76" i="16"/>
  <c r="CI76" i="16"/>
  <c r="BI76" i="16"/>
  <c r="AI76" i="16"/>
  <c r="I76" i="13"/>
  <c r="BI76" i="15"/>
  <c r="BI76" i="13"/>
  <c r="DI76" i="15"/>
  <c r="CI76" i="15"/>
  <c r="AI76" i="15"/>
  <c r="CI76" i="14"/>
  <c r="DI76" i="14"/>
  <c r="BI76" i="14"/>
  <c r="AI76" i="14"/>
  <c r="DI76" i="13"/>
  <c r="CI76" i="13"/>
  <c r="AI76" i="13"/>
  <c r="I76" i="16"/>
  <c r="I76" i="15"/>
  <c r="I76" i="14"/>
  <c r="DI71" i="16"/>
  <c r="CI71" i="16"/>
  <c r="BI71" i="16"/>
  <c r="AI71" i="16"/>
  <c r="BI71" i="14"/>
  <c r="DI71" i="15"/>
  <c r="CI71" i="15"/>
  <c r="BI71" i="15"/>
  <c r="AI71" i="15"/>
  <c r="CI71" i="14"/>
  <c r="DI71" i="14"/>
  <c r="AI71" i="14"/>
  <c r="DI71" i="13"/>
  <c r="CI71" i="13"/>
  <c r="BI71" i="13"/>
  <c r="AI71" i="13"/>
  <c r="I71" i="16"/>
  <c r="I71" i="15"/>
  <c r="I71" i="14"/>
  <c r="I71" i="13"/>
  <c r="DI72" i="16"/>
  <c r="CI72" i="16"/>
  <c r="BI72" i="16"/>
  <c r="AI72" i="16"/>
  <c r="I72" i="13"/>
  <c r="DI72" i="14"/>
  <c r="BI72" i="14"/>
  <c r="AI72" i="14"/>
  <c r="DI72" i="13"/>
  <c r="CI72" i="13"/>
  <c r="BI72" i="13"/>
  <c r="AI72" i="13"/>
  <c r="I72" i="16"/>
  <c r="I72" i="15"/>
  <c r="I72" i="14"/>
  <c r="DI72" i="15"/>
  <c r="BI72" i="15"/>
  <c r="AI72" i="15"/>
  <c r="CI72" i="14"/>
  <c r="CI72" i="15"/>
  <c r="DI74" i="16"/>
  <c r="CI74" i="16"/>
  <c r="BI74" i="16"/>
  <c r="AI74" i="16"/>
  <c r="DI74" i="15"/>
  <c r="CI74" i="15"/>
  <c r="BI74" i="15"/>
  <c r="AI74" i="15"/>
  <c r="CI74" i="14"/>
  <c r="DI74" i="14"/>
  <c r="BI74" i="14"/>
  <c r="AI74" i="14"/>
  <c r="DI74" i="13"/>
  <c r="CI74" i="13"/>
  <c r="BI74" i="13"/>
  <c r="AI74" i="13"/>
  <c r="I74" i="16"/>
  <c r="I74" i="15"/>
  <c r="I74" i="14"/>
  <c r="I74" i="13"/>
  <c r="DI69" i="16"/>
  <c r="CI69" i="16"/>
  <c r="BI69" i="16"/>
  <c r="AI69" i="16"/>
  <c r="DI69" i="15"/>
  <c r="CI69" i="15"/>
  <c r="BI69" i="15"/>
  <c r="AI69" i="15"/>
  <c r="CI69" i="14"/>
  <c r="BI69" i="14"/>
  <c r="DI69" i="13"/>
  <c r="BI69" i="13"/>
  <c r="I69" i="16"/>
  <c r="I69" i="14"/>
  <c r="I69" i="15"/>
  <c r="I69" i="13"/>
  <c r="DI69" i="14"/>
  <c r="AI69" i="14"/>
  <c r="CI69" i="13"/>
  <c r="AI69" i="13"/>
  <c r="DI78" i="16"/>
  <c r="CI78" i="16"/>
  <c r="BI78" i="16"/>
  <c r="AI78" i="16"/>
  <c r="DI78" i="15"/>
  <c r="CI78" i="15"/>
  <c r="BI78" i="15"/>
  <c r="AI78" i="15"/>
  <c r="CI78" i="14"/>
  <c r="DI78" i="14"/>
  <c r="BI78" i="14"/>
  <c r="AI78" i="14"/>
  <c r="DI78" i="13"/>
  <c r="CI78" i="13"/>
  <c r="BI78" i="13"/>
  <c r="AI78" i="13"/>
  <c r="I78" i="16"/>
  <c r="I78" i="15"/>
  <c r="I78" i="14"/>
  <c r="I78" i="13"/>
  <c r="DI68" i="16"/>
  <c r="CI68" i="16"/>
  <c r="BI68" i="16"/>
  <c r="AI68" i="16"/>
  <c r="I68" i="13"/>
  <c r="DI68" i="15"/>
  <c r="CI68" i="15"/>
  <c r="BI68" i="15"/>
  <c r="AI68" i="15"/>
  <c r="CI68" i="14"/>
  <c r="DI68" i="14"/>
  <c r="AI68" i="13"/>
  <c r="BI68" i="14"/>
  <c r="DI68" i="13"/>
  <c r="BI68" i="13"/>
  <c r="I68" i="16"/>
  <c r="I68" i="14"/>
  <c r="AI68" i="14"/>
  <c r="CI68" i="13"/>
  <c r="I68" i="15"/>
  <c r="DI77" i="16"/>
  <c r="CI77" i="16"/>
  <c r="BI77" i="16"/>
  <c r="AI77" i="16"/>
  <c r="DI77" i="15"/>
  <c r="CI77" i="15"/>
  <c r="BI77" i="15"/>
  <c r="AI77" i="15"/>
  <c r="CI77" i="14"/>
  <c r="DI77" i="14"/>
  <c r="BI77" i="14"/>
  <c r="AI77" i="14"/>
  <c r="DI77" i="13"/>
  <c r="CI77" i="13"/>
  <c r="BI77" i="13"/>
  <c r="AI77" i="13"/>
  <c r="I77" i="16"/>
  <c r="I77" i="15"/>
  <c r="I77" i="14"/>
  <c r="I77" i="13"/>
  <c r="DI75" i="16"/>
  <c r="CI75" i="16"/>
  <c r="BI75" i="16"/>
  <c r="AI75" i="16"/>
  <c r="I75" i="13"/>
  <c r="DI75" i="15"/>
  <c r="CI75" i="15"/>
  <c r="BI75" i="15"/>
  <c r="AI75" i="15"/>
  <c r="CI75" i="14"/>
  <c r="DI75" i="14"/>
  <c r="AI75" i="14"/>
  <c r="CI75" i="13"/>
  <c r="AI75" i="13"/>
  <c r="I75" i="15"/>
  <c r="BI75" i="13"/>
  <c r="I75" i="16"/>
  <c r="BI75" i="14"/>
  <c r="DI75" i="13"/>
  <c r="I75" i="14"/>
  <c r="DI73" i="16"/>
  <c r="CI73" i="16"/>
  <c r="BI73" i="16"/>
  <c r="AI73" i="16"/>
  <c r="DI73" i="15"/>
  <c r="CI73" i="15"/>
  <c r="BI73" i="15"/>
  <c r="AI73" i="15"/>
  <c r="CI73" i="14"/>
  <c r="BI73" i="13"/>
  <c r="I73" i="14"/>
  <c r="DI73" i="14"/>
  <c r="AI73" i="14"/>
  <c r="CI73" i="13"/>
  <c r="AI73" i="13"/>
  <c r="I73" i="15"/>
  <c r="I73" i="13"/>
  <c r="BI73" i="14"/>
  <c r="DI73" i="13"/>
  <c r="I73" i="16"/>
  <c r="DI67" i="16"/>
  <c r="CI67" i="16"/>
  <c r="BI67" i="16"/>
  <c r="AI67" i="16"/>
  <c r="DI67" i="14"/>
  <c r="BI67" i="14"/>
  <c r="AI67" i="14"/>
  <c r="DI67" i="13"/>
  <c r="CI67" i="13"/>
  <c r="BI67" i="13"/>
  <c r="AI67" i="13"/>
  <c r="I67" i="16"/>
  <c r="I67" i="15"/>
  <c r="I67" i="14"/>
  <c r="DI67" i="15"/>
  <c r="CI67" i="15"/>
  <c r="I67" i="13"/>
  <c r="BI67" i="15"/>
  <c r="AI67" i="15"/>
  <c r="CI67" i="14"/>
  <c r="DI66" i="16"/>
  <c r="CI66" i="16"/>
  <c r="BI66" i="16"/>
  <c r="AI66" i="16"/>
  <c r="DI66" i="15"/>
  <c r="CI66" i="15"/>
  <c r="BI66" i="15"/>
  <c r="AI66" i="15"/>
  <c r="CI66" i="14"/>
  <c r="DI66" i="14"/>
  <c r="BI66" i="14"/>
  <c r="AI66" i="14"/>
  <c r="DI66" i="13"/>
  <c r="CI66" i="13"/>
  <c r="BI66" i="13"/>
  <c r="AI66" i="13"/>
  <c r="I66" i="16"/>
  <c r="I66" i="15"/>
  <c r="I66" i="14"/>
  <c r="I66" i="13"/>
  <c r="DI65" i="16"/>
  <c r="CI65" i="16"/>
  <c r="BI65" i="16"/>
  <c r="AI65" i="16"/>
  <c r="DI65" i="15"/>
  <c r="CI65" i="15"/>
  <c r="BI65" i="15"/>
  <c r="AI65" i="15"/>
  <c r="CI65" i="14"/>
  <c r="I65" i="15"/>
  <c r="I65" i="13"/>
  <c r="DI65" i="14"/>
  <c r="BI65" i="14"/>
  <c r="AI65" i="14"/>
  <c r="DI65" i="13"/>
  <c r="CI65" i="13"/>
  <c r="BI65" i="13"/>
  <c r="AI65" i="13"/>
  <c r="I65" i="16"/>
  <c r="I65" i="14"/>
  <c r="DI70" i="16"/>
  <c r="CI70" i="16"/>
  <c r="BI70" i="16"/>
  <c r="AI70" i="16"/>
  <c r="DI70" i="15"/>
  <c r="CI70" i="15"/>
  <c r="BI70" i="15"/>
  <c r="AI70" i="15"/>
  <c r="CI70" i="14"/>
  <c r="DI70" i="14"/>
  <c r="BI70" i="14"/>
  <c r="AI70" i="14"/>
  <c r="DI70" i="13"/>
  <c r="CI70" i="13"/>
  <c r="BI70" i="13"/>
  <c r="AI70" i="13"/>
  <c r="I70" i="16"/>
  <c r="I70" i="15"/>
  <c r="I70" i="14"/>
  <c r="I70" i="13"/>
  <c r="DI64" i="16"/>
  <c r="CI64" i="16"/>
  <c r="BI64" i="16"/>
  <c r="AI64" i="16"/>
  <c r="I64" i="13"/>
  <c r="DI64" i="14"/>
  <c r="AI64" i="14"/>
  <c r="CI64" i="13"/>
  <c r="AI64" i="13"/>
  <c r="I64" i="15"/>
  <c r="BI64" i="14"/>
  <c r="DI64" i="13"/>
  <c r="I64" i="14"/>
  <c r="CI64" i="15"/>
  <c r="AI64" i="15"/>
  <c r="DI64" i="15"/>
  <c r="BI64" i="13"/>
  <c r="I64" i="16"/>
  <c r="BI64" i="15"/>
  <c r="CI64" i="14"/>
  <c r="U69" i="16"/>
  <c r="U70" i="16" s="1"/>
  <c r="U71" i="16" s="1"/>
  <c r="U72" i="16" s="1"/>
  <c r="U73" i="16" s="1"/>
  <c r="U74" i="16" s="1"/>
  <c r="U75" i="16" s="1"/>
  <c r="U76" i="16" s="1"/>
  <c r="U77" i="16" s="1"/>
  <c r="U78" i="16" s="1"/>
  <c r="R160" i="16" s="1"/>
  <c r="AU65" i="14"/>
  <c r="AU66" i="14" s="1"/>
  <c r="AU67" i="14" s="1"/>
  <c r="AU68" i="14" s="1"/>
  <c r="AU69" i="14" s="1"/>
  <c r="AU70" i="14" s="1"/>
  <c r="AU71" i="14" s="1"/>
  <c r="AU72" i="14" s="1"/>
  <c r="AU73" i="14" s="1"/>
  <c r="AU74" i="14" s="1"/>
  <c r="AU75" i="14" s="1"/>
  <c r="AU76" i="14" s="1"/>
  <c r="AU77" i="14" s="1"/>
  <c r="AU78" i="14" s="1"/>
  <c r="T160" i="14" s="1"/>
  <c r="AU65" i="15"/>
  <c r="AU66" i="15" s="1"/>
  <c r="AU67" i="15" s="1"/>
  <c r="AU68" i="15" s="1"/>
  <c r="AU69" i="15" s="1"/>
  <c r="AU70" i="15" s="1"/>
  <c r="AU71" i="15" s="1"/>
  <c r="AU72" i="15" s="1"/>
  <c r="AU73" i="15" s="1"/>
  <c r="AU74" i="15" s="1"/>
  <c r="AU75" i="15" s="1"/>
  <c r="AU76" i="15" s="1"/>
  <c r="AU77" i="15" s="1"/>
  <c r="AU78" i="15" s="1"/>
  <c r="T160" i="15" s="1"/>
  <c r="DU65" i="15"/>
  <c r="DU66" i="15" s="1"/>
  <c r="DU67" i="15" s="1"/>
  <c r="DU68" i="15" s="1"/>
  <c r="DU69" i="15" s="1"/>
  <c r="DU70" i="15" s="1"/>
  <c r="DU71" i="15" s="1"/>
  <c r="DU72" i="15" s="1"/>
  <c r="DU73" i="15" s="1"/>
  <c r="DU74" i="15" s="1"/>
  <c r="DU75" i="15" s="1"/>
  <c r="DU76" i="15" s="1"/>
  <c r="DU77" i="15" s="1"/>
  <c r="DU78" i="15" s="1"/>
  <c r="W160" i="15" s="1"/>
  <c r="BU65" i="15"/>
  <c r="BU66" i="15" s="1"/>
  <c r="BU67" i="15" s="1"/>
  <c r="BU68" i="15" s="1"/>
  <c r="BU69" i="15" s="1"/>
  <c r="BU70" i="15" s="1"/>
  <c r="BU71" i="15" s="1"/>
  <c r="BU72" i="15" s="1"/>
  <c r="BU73" i="15" s="1"/>
  <c r="BU74" i="15" s="1"/>
  <c r="BU75" i="15" s="1"/>
  <c r="BU76" i="15" s="1"/>
  <c r="BU77" i="15" s="1"/>
  <c r="BU78" i="15" s="1"/>
  <c r="U160" i="15" s="1"/>
  <c r="DU65" i="14"/>
  <c r="DU66" i="14" s="1"/>
  <c r="DU67" i="14" s="1"/>
  <c r="DU68" i="14" s="1"/>
  <c r="DU69" i="14" s="1"/>
  <c r="DU70" i="14" s="1"/>
  <c r="DU71" i="14" s="1"/>
  <c r="DU72" i="14" s="1"/>
  <c r="DU73" i="14" s="1"/>
  <c r="DU74" i="14" s="1"/>
  <c r="DU75" i="14" s="1"/>
  <c r="DU76" i="14" s="1"/>
  <c r="DU77" i="14" s="1"/>
  <c r="DU78" i="14" s="1"/>
  <c r="W160" i="14" s="1"/>
  <c r="CU65" i="14"/>
  <c r="CU66" i="14" s="1"/>
  <c r="CU67" i="14" s="1"/>
  <c r="CU68" i="14" s="1"/>
  <c r="CU69" i="14" s="1"/>
  <c r="CU70" i="14" s="1"/>
  <c r="CU71" i="14" s="1"/>
  <c r="CU72" i="14" s="1"/>
  <c r="CU73" i="14" s="1"/>
  <c r="CU74" i="14" s="1"/>
  <c r="CU75" i="14" s="1"/>
  <c r="CU76" i="14" s="1"/>
  <c r="CU77" i="14" s="1"/>
  <c r="CU78" i="14" s="1"/>
  <c r="V160" i="14" s="1"/>
  <c r="BU65" i="16"/>
  <c r="BU66" i="16" s="1"/>
  <c r="BU67" i="16" s="1"/>
  <c r="BU68" i="16" s="1"/>
  <c r="BU69" i="16" s="1"/>
  <c r="BU70" i="16" s="1"/>
  <c r="BU71" i="16" s="1"/>
  <c r="BU72" i="16" s="1"/>
  <c r="BU73" i="16" s="1"/>
  <c r="BU74" i="16" s="1"/>
  <c r="BU75" i="16" s="1"/>
  <c r="BU76" i="16" s="1"/>
  <c r="BU77" i="16" s="1"/>
  <c r="BU78" i="16" s="1"/>
  <c r="T160" i="16" s="1"/>
  <c r="BU65" i="13"/>
  <c r="BU66" i="13" s="1"/>
  <c r="BU67" i="13" s="1"/>
  <c r="BU68" i="13" s="1"/>
  <c r="BU69" i="13" s="1"/>
  <c r="BU70" i="13" s="1"/>
  <c r="BU71" i="13" s="1"/>
  <c r="BU72" i="13" s="1"/>
  <c r="BU73" i="13" s="1"/>
  <c r="BU74" i="13" s="1"/>
  <c r="BU75" i="13" s="1"/>
  <c r="BU76" i="13" s="1"/>
  <c r="BU77" i="13" s="1"/>
  <c r="BU78" i="13" s="1"/>
  <c r="U160" i="13" s="1"/>
  <c r="AU65" i="16"/>
  <c r="AU66" i="16" s="1"/>
  <c r="AU67" i="16" s="1"/>
  <c r="AU68" i="16" s="1"/>
  <c r="AU69" i="16" s="1"/>
  <c r="AU70" i="16" s="1"/>
  <c r="AU71" i="16" s="1"/>
  <c r="AU72" i="16" s="1"/>
  <c r="AU73" i="16" s="1"/>
  <c r="AU74" i="16" s="1"/>
  <c r="AU75" i="16" s="1"/>
  <c r="AU76" i="16" s="1"/>
  <c r="AU77" i="16" s="1"/>
  <c r="AU78" i="16" s="1"/>
  <c r="S160" i="16" s="1"/>
  <c r="CU65" i="15"/>
  <c r="CU66" i="15" s="1"/>
  <c r="CU67" i="15" s="1"/>
  <c r="CU68" i="15" s="1"/>
  <c r="CU69" i="15" s="1"/>
  <c r="CU70" i="15" s="1"/>
  <c r="CU71" i="15" s="1"/>
  <c r="CU72" i="15" s="1"/>
  <c r="CU73" i="15" s="1"/>
  <c r="CU74" i="15" s="1"/>
  <c r="CU75" i="15" s="1"/>
  <c r="CU76" i="15" s="1"/>
  <c r="CU77" i="15" s="1"/>
  <c r="CU78" i="15" s="1"/>
  <c r="V160" i="15" s="1"/>
  <c r="U65" i="14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S160" i="14" s="1"/>
  <c r="U65" i="15"/>
  <c r="U66" i="15" s="1"/>
  <c r="U67" i="15" s="1"/>
  <c r="U68" i="15" s="1"/>
  <c r="U69" i="15" s="1"/>
  <c r="U70" i="15" s="1"/>
  <c r="U71" i="15" s="1"/>
  <c r="U72" i="15" s="1"/>
  <c r="U73" i="15" s="1"/>
  <c r="U74" i="15" s="1"/>
  <c r="U75" i="15" s="1"/>
  <c r="U76" i="15" s="1"/>
  <c r="U77" i="15" s="1"/>
  <c r="U78" i="15" s="1"/>
  <c r="S160" i="15" s="1"/>
  <c r="BU69" i="14"/>
  <c r="BU70" i="14" s="1"/>
  <c r="BU71" i="14" s="1"/>
  <c r="BU72" i="14" s="1"/>
  <c r="BU73" i="14" s="1"/>
  <c r="BU74" i="14" s="1"/>
  <c r="BU75" i="14" s="1"/>
  <c r="BU76" i="14" s="1"/>
  <c r="BU77" i="14" s="1"/>
  <c r="BU78" i="14" s="1"/>
  <c r="U160" i="14" s="1"/>
  <c r="CU65" i="13"/>
  <c r="CU66" i="13" s="1"/>
  <c r="CU67" i="13" s="1"/>
  <c r="CU68" i="13" s="1"/>
  <c r="CU69" i="13" s="1"/>
  <c r="CU70" i="13" s="1"/>
  <c r="CU71" i="13" s="1"/>
  <c r="CU72" i="13" s="1"/>
  <c r="CU73" i="13" s="1"/>
  <c r="CU74" i="13" s="1"/>
  <c r="CU75" i="13" s="1"/>
  <c r="CU76" i="13" s="1"/>
  <c r="CU77" i="13" s="1"/>
  <c r="CU78" i="13" s="1"/>
  <c r="V160" i="13" s="1"/>
  <c r="AU69" i="13"/>
  <c r="AU70" i="13" s="1"/>
  <c r="AU71" i="13" s="1"/>
  <c r="AU72" i="13" s="1"/>
  <c r="AU73" i="13" s="1"/>
  <c r="AU74" i="13" s="1"/>
  <c r="AU75" i="13" s="1"/>
  <c r="AU76" i="13" s="1"/>
  <c r="AU77" i="13" s="1"/>
  <c r="AU78" i="13" s="1"/>
  <c r="T160" i="13" s="1"/>
  <c r="U65" i="13"/>
  <c r="U66" i="13" s="1"/>
  <c r="U67" i="13" s="1"/>
  <c r="U68" i="13" s="1"/>
  <c r="U69" i="13" s="1"/>
  <c r="U70" i="13" s="1"/>
  <c r="U71" i="13" s="1"/>
  <c r="U72" i="13" s="1"/>
  <c r="U73" i="13" s="1"/>
  <c r="U74" i="13" s="1"/>
  <c r="U75" i="13" s="1"/>
  <c r="U76" i="13" s="1"/>
  <c r="U77" i="13" s="1"/>
  <c r="U78" i="13" s="1"/>
  <c r="S160" i="13" s="1"/>
  <c r="DU65" i="13"/>
  <c r="DU66" i="13" s="1"/>
  <c r="DU67" i="13" s="1"/>
  <c r="DU68" i="13" s="1"/>
  <c r="DU69" i="13" s="1"/>
  <c r="DU70" i="13" s="1"/>
  <c r="DU71" i="13" s="1"/>
  <c r="DU72" i="13" s="1"/>
  <c r="DU73" i="13" s="1"/>
  <c r="DU74" i="13" s="1"/>
  <c r="DU75" i="13" s="1"/>
  <c r="DU76" i="13" s="1"/>
  <c r="DU77" i="13" s="1"/>
  <c r="DU78" i="13" s="1"/>
  <c r="W160" i="13" s="1"/>
  <c r="CT39" i="16"/>
  <c r="CT40" i="16" s="1"/>
  <c r="CT41" i="16" s="1"/>
  <c r="CT42" i="16" s="1"/>
  <c r="CT43" i="16" s="1"/>
  <c r="CT44" i="16" s="1"/>
  <c r="CT45" i="16" s="1"/>
  <c r="CT46" i="16" s="1"/>
  <c r="CT47" i="16" s="1"/>
  <c r="CT48" i="16" s="1"/>
  <c r="CT49" i="16" s="1"/>
  <c r="CT50" i="16" s="1"/>
  <c r="CT51" i="16" s="1"/>
  <c r="CT52" i="16" s="1"/>
  <c r="CT53" i="16" s="1"/>
  <c r="F4" i="16"/>
  <c r="CT13" i="16"/>
  <c r="CT14" i="16" s="1"/>
  <c r="CT15" i="16" s="1"/>
  <c r="CT16" i="16" s="1"/>
  <c r="CT17" i="16" s="1"/>
  <c r="CT18" i="16" s="1"/>
  <c r="CT19" i="16" s="1"/>
  <c r="CT20" i="16" s="1"/>
  <c r="CT21" i="16" s="1"/>
  <c r="CT22" i="16" s="1"/>
  <c r="CT23" i="16" s="1"/>
  <c r="CT24" i="16" s="1"/>
  <c r="CT25" i="16" s="1"/>
  <c r="CT26" i="16" s="1"/>
  <c r="CT27" i="16" s="1"/>
  <c r="E4" i="16"/>
  <c r="B39" i="13"/>
  <c r="BJ64" i="13" l="1"/>
  <c r="BQ64" i="13"/>
  <c r="J64" i="14"/>
  <c r="Q64" i="14"/>
  <c r="AJ64" i="13"/>
  <c r="AQ64" i="13"/>
  <c r="J64" i="13"/>
  <c r="Q64" i="13"/>
  <c r="DJ64" i="16"/>
  <c r="DQ64" i="16"/>
  <c r="J70" i="16"/>
  <c r="Q70" i="16"/>
  <c r="DJ70" i="13"/>
  <c r="DQ70" i="13"/>
  <c r="CJ70" i="14"/>
  <c r="CQ70" i="14"/>
  <c r="DJ70" i="15"/>
  <c r="DQ70" i="15"/>
  <c r="DJ70" i="16"/>
  <c r="DQ70" i="16"/>
  <c r="BJ65" i="13"/>
  <c r="BQ65" i="13"/>
  <c r="BJ65" i="14"/>
  <c r="BQ65" i="14"/>
  <c r="CJ65" i="14"/>
  <c r="CQ65" i="14"/>
  <c r="DJ65" i="15"/>
  <c r="DQ65" i="15"/>
  <c r="DJ65" i="16"/>
  <c r="DQ65" i="16"/>
  <c r="J66" i="16"/>
  <c r="Q66" i="16"/>
  <c r="DJ66" i="13"/>
  <c r="DQ66" i="13"/>
  <c r="CJ66" i="14"/>
  <c r="CQ66" i="14"/>
  <c r="DJ66" i="15"/>
  <c r="DQ66" i="15"/>
  <c r="DJ66" i="16"/>
  <c r="DQ66" i="16"/>
  <c r="J67" i="13"/>
  <c r="Q67" i="13"/>
  <c r="J67" i="15"/>
  <c r="Q67" i="15"/>
  <c r="CJ67" i="13"/>
  <c r="CQ67" i="13"/>
  <c r="DJ67" i="14"/>
  <c r="DQ67" i="14"/>
  <c r="DJ67" i="16"/>
  <c r="DQ67" i="16"/>
  <c r="J73" i="13"/>
  <c r="Q73" i="13"/>
  <c r="AJ73" i="14"/>
  <c r="AQ73" i="14"/>
  <c r="CJ73" i="14"/>
  <c r="CQ73" i="14"/>
  <c r="DJ73" i="15"/>
  <c r="DQ73" i="15"/>
  <c r="DJ73" i="16"/>
  <c r="DQ73" i="16"/>
  <c r="J75" i="16"/>
  <c r="Q75" i="16"/>
  <c r="CJ75" i="13"/>
  <c r="CQ75" i="13"/>
  <c r="AJ75" i="15"/>
  <c r="AQ75" i="15"/>
  <c r="J75" i="13"/>
  <c r="Q75" i="13"/>
  <c r="DJ75" i="16"/>
  <c r="DQ75" i="16"/>
  <c r="J77" i="16"/>
  <c r="Q77" i="16"/>
  <c r="DJ77" i="13"/>
  <c r="DQ77" i="13"/>
  <c r="CJ77" i="14"/>
  <c r="CQ77" i="14"/>
  <c r="DJ77" i="15"/>
  <c r="DQ77" i="15"/>
  <c r="DJ77" i="16"/>
  <c r="DQ77" i="16"/>
  <c r="J68" i="14"/>
  <c r="Q68" i="14"/>
  <c r="BJ68" i="14"/>
  <c r="BQ68" i="14"/>
  <c r="AJ68" i="15"/>
  <c r="AQ68" i="15"/>
  <c r="J68" i="13"/>
  <c r="Q68" i="13"/>
  <c r="DJ68" i="16"/>
  <c r="DQ68" i="16"/>
  <c r="J78" i="16"/>
  <c r="Q78" i="16"/>
  <c r="DJ78" i="13"/>
  <c r="DQ78" i="13"/>
  <c r="CJ78" i="14"/>
  <c r="CQ78" i="14"/>
  <c r="DJ78" i="15"/>
  <c r="DQ78" i="15"/>
  <c r="DJ78" i="16"/>
  <c r="DQ78" i="16"/>
  <c r="DJ69" i="14"/>
  <c r="DQ69" i="14"/>
  <c r="J69" i="16"/>
  <c r="Q69" i="16"/>
  <c r="CJ69" i="14"/>
  <c r="CQ69" i="14"/>
  <c r="DJ69" i="15"/>
  <c r="DQ69" i="15"/>
  <c r="DJ69" i="16"/>
  <c r="DQ69" i="16"/>
  <c r="J74" i="16"/>
  <c r="Q74" i="16"/>
  <c r="DJ74" i="13"/>
  <c r="DQ74" i="13"/>
  <c r="CJ74" i="14"/>
  <c r="CQ74" i="14"/>
  <c r="DJ74" i="15"/>
  <c r="DQ74" i="15"/>
  <c r="DJ74" i="16"/>
  <c r="DQ74" i="16"/>
  <c r="BJ72" i="15"/>
  <c r="BQ72" i="15"/>
  <c r="J72" i="16"/>
  <c r="Q72" i="16"/>
  <c r="DJ72" i="13"/>
  <c r="DQ72" i="13"/>
  <c r="J72" i="13"/>
  <c r="Q72" i="13"/>
  <c r="DJ72" i="16"/>
  <c r="DQ72" i="16"/>
  <c r="J71" i="16"/>
  <c r="Q71" i="16"/>
  <c r="DJ71" i="13"/>
  <c r="DQ71" i="13"/>
  <c r="AJ71" i="15"/>
  <c r="AQ71" i="15"/>
  <c r="BJ71" i="14"/>
  <c r="BQ71" i="14"/>
  <c r="DJ71" i="16"/>
  <c r="DQ71" i="16"/>
  <c r="AJ76" i="13"/>
  <c r="AQ76" i="13"/>
  <c r="BJ76" i="14"/>
  <c r="BQ76" i="14"/>
  <c r="CJ76" i="15"/>
  <c r="CQ76" i="15"/>
  <c r="J76" i="13"/>
  <c r="Q76" i="13"/>
  <c r="DJ76" i="16"/>
  <c r="DQ76" i="16"/>
  <c r="DQ63" i="16"/>
  <c r="DJ63" i="16"/>
  <c r="DE150" i="16"/>
  <c r="DE151" i="16"/>
  <c r="DE148" i="16"/>
  <c r="DE153" i="16"/>
  <c r="DE143" i="16"/>
  <c r="DE149" i="16"/>
  <c r="DE147" i="16"/>
  <c r="DE140" i="16"/>
  <c r="DE145" i="16"/>
  <c r="DE146" i="16"/>
  <c r="DE152" i="16"/>
  <c r="DE142" i="16"/>
  <c r="DE144" i="16"/>
  <c r="DE139" i="16"/>
  <c r="DE141" i="16"/>
  <c r="DE138" i="16"/>
  <c r="DP68" i="16"/>
  <c r="DP78" i="16"/>
  <c r="DP73" i="16"/>
  <c r="DP63" i="16"/>
  <c r="DP72" i="16"/>
  <c r="DP66" i="16"/>
  <c r="DP77" i="16"/>
  <c r="DP71" i="16"/>
  <c r="DP67" i="16"/>
  <c r="DP76" i="16"/>
  <c r="DP74" i="16"/>
  <c r="DP70" i="16"/>
  <c r="DP69" i="16"/>
  <c r="DP65" i="16"/>
  <c r="DP64" i="16"/>
  <c r="DP75" i="16"/>
  <c r="CJ64" i="14"/>
  <c r="CQ64" i="14"/>
  <c r="DJ64" i="15"/>
  <c r="DQ64" i="15"/>
  <c r="DJ64" i="13"/>
  <c r="DQ64" i="13"/>
  <c r="CJ64" i="13"/>
  <c r="CQ64" i="13"/>
  <c r="AJ64" i="16"/>
  <c r="AQ64" i="16"/>
  <c r="J70" i="13"/>
  <c r="Q70" i="13"/>
  <c r="AJ70" i="13"/>
  <c r="AQ70" i="13"/>
  <c r="AJ70" i="14"/>
  <c r="AQ70" i="14"/>
  <c r="AJ70" i="15"/>
  <c r="AQ70" i="15"/>
  <c r="AJ70" i="16"/>
  <c r="AQ70" i="16"/>
  <c r="J65" i="14"/>
  <c r="Q65" i="14"/>
  <c r="CJ65" i="13"/>
  <c r="CQ65" i="13"/>
  <c r="DJ65" i="14"/>
  <c r="DQ65" i="14"/>
  <c r="AJ65" i="15"/>
  <c r="AQ65" i="15"/>
  <c r="AJ65" i="16"/>
  <c r="AQ65" i="16"/>
  <c r="J66" i="13"/>
  <c r="Q66" i="13"/>
  <c r="AJ66" i="13"/>
  <c r="AQ66" i="13"/>
  <c r="AJ66" i="14"/>
  <c r="AQ66" i="14"/>
  <c r="AJ66" i="15"/>
  <c r="AQ66" i="15"/>
  <c r="AJ66" i="16"/>
  <c r="AQ66" i="16"/>
  <c r="CJ67" i="14"/>
  <c r="CQ67" i="14"/>
  <c r="CJ67" i="15"/>
  <c r="CQ67" i="15"/>
  <c r="J67" i="16"/>
  <c r="Q67" i="16"/>
  <c r="DJ67" i="13"/>
  <c r="DQ67" i="13"/>
  <c r="AJ67" i="16"/>
  <c r="AQ67" i="16"/>
  <c r="J73" i="16"/>
  <c r="Q73" i="16"/>
  <c r="J73" i="15"/>
  <c r="Q73" i="15"/>
  <c r="DJ73" i="14"/>
  <c r="DQ73" i="14"/>
  <c r="AJ73" i="15"/>
  <c r="AQ73" i="15"/>
  <c r="AJ73" i="16"/>
  <c r="AQ73" i="16"/>
  <c r="J75" i="14"/>
  <c r="Q75" i="14"/>
  <c r="BJ75" i="13"/>
  <c r="BQ75" i="13"/>
  <c r="AJ75" i="14"/>
  <c r="AQ75" i="14"/>
  <c r="BJ75" i="15"/>
  <c r="BQ75" i="15"/>
  <c r="AJ75" i="16"/>
  <c r="AQ75" i="16"/>
  <c r="J77" i="13"/>
  <c r="Q77" i="13"/>
  <c r="AJ77" i="13"/>
  <c r="AQ77" i="13"/>
  <c r="AJ77" i="14"/>
  <c r="AQ77" i="14"/>
  <c r="AJ77" i="15"/>
  <c r="AQ77" i="15"/>
  <c r="AJ77" i="16"/>
  <c r="AQ77" i="16"/>
  <c r="J68" i="15"/>
  <c r="Q68" i="15"/>
  <c r="J68" i="16"/>
  <c r="Q68" i="16"/>
  <c r="AJ68" i="13"/>
  <c r="AQ68" i="13"/>
  <c r="BJ68" i="15"/>
  <c r="BQ68" i="15"/>
  <c r="AJ68" i="16"/>
  <c r="AQ68" i="16"/>
  <c r="J78" i="13"/>
  <c r="Q78" i="13"/>
  <c r="AJ78" i="13"/>
  <c r="AQ78" i="13"/>
  <c r="AJ78" i="14"/>
  <c r="AQ78" i="14"/>
  <c r="AJ78" i="15"/>
  <c r="AQ78" i="15"/>
  <c r="AJ78" i="16"/>
  <c r="AQ78" i="16"/>
  <c r="AJ69" i="13"/>
  <c r="AQ69" i="13"/>
  <c r="J69" i="13"/>
  <c r="Q69" i="13"/>
  <c r="BJ69" i="13"/>
  <c r="BQ69" i="13"/>
  <c r="AJ69" i="15"/>
  <c r="AQ69" i="15"/>
  <c r="AJ69" i="16"/>
  <c r="AQ69" i="16"/>
  <c r="J74" i="13"/>
  <c r="Q74" i="13"/>
  <c r="AJ74" i="13"/>
  <c r="AQ74" i="13"/>
  <c r="AJ74" i="14"/>
  <c r="AQ74" i="14"/>
  <c r="AJ74" i="15"/>
  <c r="AQ74" i="15"/>
  <c r="AJ74" i="16"/>
  <c r="AQ74" i="16"/>
  <c r="CJ72" i="15"/>
  <c r="CQ72" i="15"/>
  <c r="DJ72" i="15"/>
  <c r="DQ72" i="15"/>
  <c r="AJ72" i="13"/>
  <c r="AQ72" i="13"/>
  <c r="AJ72" i="14"/>
  <c r="AQ72" i="14"/>
  <c r="AJ72" i="16"/>
  <c r="AQ72" i="16"/>
  <c r="J71" i="13"/>
  <c r="Q71" i="13"/>
  <c r="AJ71" i="13"/>
  <c r="AQ71" i="13"/>
  <c r="AJ71" i="14"/>
  <c r="AQ71" i="14"/>
  <c r="BJ71" i="15"/>
  <c r="BQ71" i="15"/>
  <c r="AJ71" i="16"/>
  <c r="AQ71" i="16"/>
  <c r="J76" i="14"/>
  <c r="Q76" i="14"/>
  <c r="CJ76" i="13"/>
  <c r="CQ76" i="13"/>
  <c r="DJ76" i="14"/>
  <c r="DQ76" i="14"/>
  <c r="DJ76" i="15"/>
  <c r="DQ76" i="15"/>
  <c r="AJ76" i="16"/>
  <c r="AQ76" i="16"/>
  <c r="B40" i="13"/>
  <c r="N39" i="13"/>
  <c r="AN39" i="13"/>
  <c r="BJ64" i="15"/>
  <c r="BQ64" i="15"/>
  <c r="AJ64" i="15"/>
  <c r="AQ64" i="15"/>
  <c r="BJ64" i="14"/>
  <c r="BQ64" i="14"/>
  <c r="AJ64" i="14"/>
  <c r="AQ64" i="14"/>
  <c r="BJ64" i="16"/>
  <c r="BQ64" i="16"/>
  <c r="J70" i="14"/>
  <c r="Q70" i="14"/>
  <c r="BJ70" i="13"/>
  <c r="BQ70" i="13"/>
  <c r="BJ70" i="14"/>
  <c r="BQ70" i="14"/>
  <c r="BJ70" i="15"/>
  <c r="BQ70" i="15"/>
  <c r="BJ70" i="16"/>
  <c r="BQ70" i="16"/>
  <c r="J65" i="16"/>
  <c r="Q65" i="16"/>
  <c r="DJ65" i="13"/>
  <c r="DQ65" i="13"/>
  <c r="J65" i="13"/>
  <c r="Q65" i="13"/>
  <c r="BJ65" i="15"/>
  <c r="BQ65" i="15"/>
  <c r="BJ65" i="16"/>
  <c r="BQ65" i="16"/>
  <c r="J66" i="14"/>
  <c r="Q66" i="14"/>
  <c r="BJ66" i="13"/>
  <c r="BQ66" i="13"/>
  <c r="BJ66" i="14"/>
  <c r="BQ66" i="14"/>
  <c r="BJ66" i="15"/>
  <c r="BQ66" i="15"/>
  <c r="BJ66" i="16"/>
  <c r="BQ66" i="16"/>
  <c r="AJ67" i="15"/>
  <c r="AQ67" i="15"/>
  <c r="DJ67" i="15"/>
  <c r="DQ67" i="15"/>
  <c r="AJ67" i="13"/>
  <c r="AQ67" i="13"/>
  <c r="AJ67" i="14"/>
  <c r="AQ67" i="14"/>
  <c r="BJ67" i="16"/>
  <c r="BQ67" i="16"/>
  <c r="DJ73" i="13"/>
  <c r="DQ73" i="13"/>
  <c r="AJ73" i="13"/>
  <c r="AQ73" i="13"/>
  <c r="J73" i="14"/>
  <c r="Q73" i="14"/>
  <c r="BJ73" i="15"/>
  <c r="BQ73" i="15"/>
  <c r="BJ73" i="16"/>
  <c r="BQ73" i="16"/>
  <c r="DJ75" i="13"/>
  <c r="DQ75" i="13"/>
  <c r="J75" i="15"/>
  <c r="Q75" i="15"/>
  <c r="DJ75" i="14"/>
  <c r="DQ75" i="14"/>
  <c r="CJ75" i="15"/>
  <c r="CQ75" i="15"/>
  <c r="BJ75" i="16"/>
  <c r="BQ75" i="16"/>
  <c r="J77" i="14"/>
  <c r="Q77" i="14"/>
  <c r="BJ77" i="13"/>
  <c r="BQ77" i="13"/>
  <c r="BJ77" i="14"/>
  <c r="BQ77" i="14"/>
  <c r="BJ77" i="15"/>
  <c r="BQ77" i="15"/>
  <c r="BJ77" i="16"/>
  <c r="BQ77" i="16"/>
  <c r="CJ68" i="13"/>
  <c r="CQ68" i="13"/>
  <c r="BJ68" i="13"/>
  <c r="BQ68" i="13"/>
  <c r="DJ68" i="14"/>
  <c r="DQ68" i="14"/>
  <c r="CJ68" i="15"/>
  <c r="CQ68" i="15"/>
  <c r="BJ68" i="16"/>
  <c r="BQ68" i="16"/>
  <c r="J78" i="14"/>
  <c r="Q78" i="14"/>
  <c r="BJ78" i="13"/>
  <c r="BQ78" i="13"/>
  <c r="BJ78" i="14"/>
  <c r="BQ78" i="14"/>
  <c r="BJ78" i="15"/>
  <c r="BQ78" i="15"/>
  <c r="BJ78" i="16"/>
  <c r="BQ78" i="16"/>
  <c r="CJ69" i="13"/>
  <c r="CQ69" i="13"/>
  <c r="J69" i="15"/>
  <c r="Q69" i="15"/>
  <c r="DJ69" i="13"/>
  <c r="DQ69" i="13"/>
  <c r="BJ69" i="15"/>
  <c r="BQ69" i="15"/>
  <c r="BJ69" i="16"/>
  <c r="BQ69" i="16"/>
  <c r="J74" i="14"/>
  <c r="Q74" i="14"/>
  <c r="BJ74" i="13"/>
  <c r="BQ74" i="13"/>
  <c r="BJ74" i="14"/>
  <c r="BQ74" i="14"/>
  <c r="BJ74" i="15"/>
  <c r="BQ74" i="15"/>
  <c r="BJ74" i="16"/>
  <c r="BQ74" i="16"/>
  <c r="CJ72" i="14"/>
  <c r="CQ72" i="14"/>
  <c r="J72" i="14"/>
  <c r="Q72" i="14"/>
  <c r="BJ72" i="13"/>
  <c r="BQ72" i="13"/>
  <c r="BJ72" i="14"/>
  <c r="BQ72" i="14"/>
  <c r="BJ72" i="16"/>
  <c r="BQ72" i="16"/>
  <c r="J71" i="14"/>
  <c r="Q71" i="14"/>
  <c r="BJ71" i="13"/>
  <c r="BQ71" i="13"/>
  <c r="DJ71" i="14"/>
  <c r="DQ71" i="14"/>
  <c r="CJ71" i="15"/>
  <c r="CQ71" i="15"/>
  <c r="BJ71" i="16"/>
  <c r="BQ71" i="16"/>
  <c r="J76" i="15"/>
  <c r="Q76" i="15"/>
  <c r="DJ76" i="13"/>
  <c r="DQ76" i="13"/>
  <c r="CJ76" i="14"/>
  <c r="CQ76" i="14"/>
  <c r="BJ76" i="13"/>
  <c r="BQ76" i="13"/>
  <c r="BJ76" i="16"/>
  <c r="BQ76" i="16"/>
  <c r="CG149" i="16"/>
  <c r="CG146" i="16"/>
  <c r="CG141" i="16"/>
  <c r="CG152" i="16"/>
  <c r="CG143" i="16"/>
  <c r="CG142" i="16"/>
  <c r="CG139" i="16"/>
  <c r="CG144" i="16"/>
  <c r="CG151" i="16"/>
  <c r="CG147" i="16"/>
  <c r="CG140" i="16"/>
  <c r="CG150" i="16"/>
  <c r="CG153" i="16"/>
  <c r="CG138" i="16"/>
  <c r="CG148" i="16"/>
  <c r="CG145" i="16"/>
  <c r="CP63" i="16"/>
  <c r="CP68" i="16"/>
  <c r="CP78" i="16"/>
  <c r="CP73" i="16"/>
  <c r="CP77" i="16"/>
  <c r="CP67" i="16"/>
  <c r="CP71" i="16"/>
  <c r="CP72" i="16"/>
  <c r="CP76" i="16"/>
  <c r="CP66" i="16"/>
  <c r="CP70" i="16"/>
  <c r="CP74" i="16"/>
  <c r="CP65" i="16"/>
  <c r="CP64" i="16"/>
  <c r="CP75" i="16"/>
  <c r="CP69" i="16"/>
  <c r="J64" i="16"/>
  <c r="Q64" i="16"/>
  <c r="CJ64" i="15"/>
  <c r="CQ64" i="15"/>
  <c r="J64" i="15"/>
  <c r="Q64" i="15"/>
  <c r="DJ64" i="14"/>
  <c r="DQ64" i="14"/>
  <c r="CJ64" i="16"/>
  <c r="CQ64" i="16"/>
  <c r="J70" i="15"/>
  <c r="Q70" i="15"/>
  <c r="CJ70" i="13"/>
  <c r="CQ70" i="13"/>
  <c r="DJ70" i="14"/>
  <c r="DQ70" i="14"/>
  <c r="CJ70" i="15"/>
  <c r="CQ70" i="15"/>
  <c r="CJ70" i="16"/>
  <c r="CQ70" i="16"/>
  <c r="AJ65" i="13"/>
  <c r="AQ65" i="13"/>
  <c r="AJ65" i="14"/>
  <c r="AQ65" i="14"/>
  <c r="J65" i="15"/>
  <c r="Q65" i="15"/>
  <c r="CJ65" i="15"/>
  <c r="CQ65" i="15"/>
  <c r="CJ65" i="16"/>
  <c r="CQ65" i="16"/>
  <c r="J66" i="15"/>
  <c r="Q66" i="15"/>
  <c r="CJ66" i="13"/>
  <c r="CQ66" i="13"/>
  <c r="DJ66" i="14"/>
  <c r="DQ66" i="14"/>
  <c r="CJ66" i="15"/>
  <c r="CQ66" i="15"/>
  <c r="CJ66" i="16"/>
  <c r="CQ66" i="16"/>
  <c r="BJ67" i="15"/>
  <c r="BQ67" i="15"/>
  <c r="J67" i="14"/>
  <c r="Q67" i="14"/>
  <c r="BJ67" i="13"/>
  <c r="BQ67" i="13"/>
  <c r="BJ67" i="14"/>
  <c r="BQ67" i="14"/>
  <c r="CJ67" i="16"/>
  <c r="CQ67" i="16"/>
  <c r="BJ73" i="14"/>
  <c r="BQ73" i="14"/>
  <c r="CJ73" i="13"/>
  <c r="CQ73" i="13"/>
  <c r="BJ73" i="13"/>
  <c r="BQ73" i="13"/>
  <c r="CJ73" i="15"/>
  <c r="CQ73" i="15"/>
  <c r="CJ73" i="16"/>
  <c r="CQ73" i="16"/>
  <c r="BJ75" i="14"/>
  <c r="BQ75" i="14"/>
  <c r="AJ75" i="13"/>
  <c r="AQ75" i="13"/>
  <c r="CJ75" i="14"/>
  <c r="CQ75" i="14"/>
  <c r="DJ75" i="15"/>
  <c r="DQ75" i="15"/>
  <c r="CJ75" i="16"/>
  <c r="CQ75" i="16"/>
  <c r="J77" i="15"/>
  <c r="Q77" i="15"/>
  <c r="CJ77" i="13"/>
  <c r="CQ77" i="13"/>
  <c r="DJ77" i="14"/>
  <c r="DQ77" i="14"/>
  <c r="CJ77" i="15"/>
  <c r="CQ77" i="15"/>
  <c r="CJ77" i="16"/>
  <c r="CQ77" i="16"/>
  <c r="AJ68" i="14"/>
  <c r="AQ68" i="14"/>
  <c r="DJ68" i="13"/>
  <c r="DQ68" i="13"/>
  <c r="CJ68" i="14"/>
  <c r="CQ68" i="14"/>
  <c r="DJ68" i="15"/>
  <c r="DQ68" i="15"/>
  <c r="CJ68" i="16"/>
  <c r="CQ68" i="16"/>
  <c r="J78" i="15"/>
  <c r="Q78" i="15"/>
  <c r="CJ78" i="13"/>
  <c r="CQ78" i="13"/>
  <c r="DJ78" i="14"/>
  <c r="DQ78" i="14"/>
  <c r="CJ78" i="15"/>
  <c r="CQ78" i="15"/>
  <c r="CJ78" i="16"/>
  <c r="CQ78" i="16"/>
  <c r="AJ69" i="14"/>
  <c r="AQ69" i="14"/>
  <c r="J69" i="14"/>
  <c r="Q69" i="14"/>
  <c r="BJ69" i="14"/>
  <c r="BQ69" i="14"/>
  <c r="CJ69" i="15"/>
  <c r="CQ69" i="15"/>
  <c r="CJ69" i="16"/>
  <c r="CQ69" i="16"/>
  <c r="J74" i="15"/>
  <c r="Q74" i="15"/>
  <c r="CJ74" i="13"/>
  <c r="CQ74" i="13"/>
  <c r="DJ74" i="14"/>
  <c r="DQ74" i="14"/>
  <c r="CJ74" i="15"/>
  <c r="CQ74" i="15"/>
  <c r="CJ74" i="16"/>
  <c r="CQ74" i="16"/>
  <c r="AJ72" i="15"/>
  <c r="AQ72" i="15"/>
  <c r="J72" i="15"/>
  <c r="Q72" i="15"/>
  <c r="CJ72" i="13"/>
  <c r="CQ72" i="13"/>
  <c r="DJ72" i="14"/>
  <c r="DQ72" i="14"/>
  <c r="CJ72" i="16"/>
  <c r="CQ72" i="16"/>
  <c r="J71" i="15"/>
  <c r="Q71" i="15"/>
  <c r="CJ71" i="13"/>
  <c r="CQ71" i="13"/>
  <c r="CJ71" i="14"/>
  <c r="CQ71" i="14"/>
  <c r="DJ71" i="15"/>
  <c r="DQ71" i="15"/>
  <c r="CJ71" i="16"/>
  <c r="CQ71" i="16"/>
  <c r="J76" i="16"/>
  <c r="Q76" i="16"/>
  <c r="AJ76" i="14"/>
  <c r="AQ76" i="14"/>
  <c r="AJ76" i="15"/>
  <c r="AQ76" i="15"/>
  <c r="BJ76" i="15"/>
  <c r="BQ76" i="15"/>
  <c r="CJ76" i="16"/>
  <c r="CQ76" i="16"/>
  <c r="Q63" i="13"/>
  <c r="J63" i="13"/>
  <c r="CQ63" i="16"/>
  <c r="B14" i="13"/>
  <c r="P14" i="13" s="1"/>
  <c r="AJ63" i="16"/>
  <c r="BJ63" i="13"/>
  <c r="CJ63" i="13"/>
  <c r="DJ63" i="13"/>
  <c r="BJ63" i="15"/>
  <c r="BJ63" i="16"/>
  <c r="J63" i="14"/>
  <c r="AJ63" i="15"/>
  <c r="AJ63" i="14"/>
  <c r="BJ63" i="14"/>
  <c r="CJ63" i="15"/>
  <c r="CJ63" i="16"/>
  <c r="AJ63" i="13"/>
  <c r="J63" i="16"/>
  <c r="J63" i="15"/>
  <c r="DJ63" i="14"/>
  <c r="CJ63" i="14"/>
  <c r="DJ63" i="15"/>
  <c r="CL138" i="16"/>
  <c r="DJ138" i="16"/>
  <c r="CU63" i="16"/>
  <c r="DU63" i="16"/>
  <c r="B15" i="13"/>
  <c r="P15" i="13" s="1"/>
  <c r="B41" i="13" l="1"/>
  <c r="N40" i="13"/>
  <c r="AN40" i="13"/>
  <c r="DJ139" i="16"/>
  <c r="DJ140" i="16" s="1"/>
  <c r="DJ141" i="16" s="1"/>
  <c r="DJ142" i="16" s="1"/>
  <c r="DJ143" i="16" s="1"/>
  <c r="DJ144" i="16" s="1"/>
  <c r="DJ145" i="16" s="1"/>
  <c r="DJ146" i="16" s="1"/>
  <c r="DJ147" i="16" s="1"/>
  <c r="DJ148" i="16" s="1"/>
  <c r="DJ149" i="16" s="1"/>
  <c r="DJ150" i="16" s="1"/>
  <c r="DJ151" i="16" s="1"/>
  <c r="DJ152" i="16" s="1"/>
  <c r="DJ153" i="16" s="1"/>
  <c r="AK160" i="16" s="1"/>
  <c r="CL139" i="16"/>
  <c r="CL140" i="16" s="1"/>
  <c r="CL141" i="16" s="1"/>
  <c r="CL142" i="16" s="1"/>
  <c r="CL143" i="16" s="1"/>
  <c r="CL144" i="16" s="1"/>
  <c r="CL145" i="16" s="1"/>
  <c r="CL146" i="16" s="1"/>
  <c r="CL147" i="16" s="1"/>
  <c r="CL148" i="16" s="1"/>
  <c r="CL149" i="16" s="1"/>
  <c r="CL150" i="16" s="1"/>
  <c r="CL151" i="16" s="1"/>
  <c r="CL152" i="16" s="1"/>
  <c r="CL153" i="16" s="1"/>
  <c r="AJ160" i="16" s="1"/>
  <c r="DU64" i="16"/>
  <c r="DU65" i="16" s="1"/>
  <c r="DU66" i="16" s="1"/>
  <c r="DU67" i="16" s="1"/>
  <c r="DU68" i="16" s="1"/>
  <c r="DU69" i="16" s="1"/>
  <c r="DU70" i="16" s="1"/>
  <c r="DU71" i="16" s="1"/>
  <c r="DU72" i="16" s="1"/>
  <c r="DU73" i="16" s="1"/>
  <c r="DU74" i="16" s="1"/>
  <c r="DU75" i="16" s="1"/>
  <c r="DU76" i="16" s="1"/>
  <c r="DU77" i="16" s="1"/>
  <c r="DU78" i="16" s="1"/>
  <c r="V160" i="16" s="1"/>
  <c r="CU64" i="16"/>
  <c r="CU65" i="16" s="1"/>
  <c r="CU66" i="16" s="1"/>
  <c r="CU67" i="16" s="1"/>
  <c r="CU68" i="16" s="1"/>
  <c r="CU69" i="16" s="1"/>
  <c r="CU70" i="16" s="1"/>
  <c r="CU71" i="16" s="1"/>
  <c r="CU72" i="16" s="1"/>
  <c r="CU73" i="16" s="1"/>
  <c r="CU74" i="16" s="1"/>
  <c r="CU75" i="16" s="1"/>
  <c r="CU76" i="16" s="1"/>
  <c r="CU77" i="16" s="1"/>
  <c r="CU78" i="16" s="1"/>
  <c r="U160" i="16" s="1"/>
  <c r="B16" i="13"/>
  <c r="P16" i="13" s="1"/>
  <c r="B42" i="13" l="1"/>
  <c r="AN41" i="13"/>
  <c r="N41" i="13"/>
  <c r="B17" i="13"/>
  <c r="P17" i="13" s="1"/>
  <c r="AN42" i="13" l="1"/>
  <c r="N42" i="13"/>
  <c r="B43" i="13"/>
  <c r="B18" i="13"/>
  <c r="P18" i="13" s="1"/>
  <c r="B44" i="13" l="1"/>
  <c r="N43" i="13"/>
  <c r="AN43" i="13"/>
  <c r="B19" i="13"/>
  <c r="P19" i="13" s="1"/>
  <c r="AN44" i="13" l="1"/>
  <c r="N44" i="13"/>
  <c r="B45" i="13"/>
  <c r="B20" i="13"/>
  <c r="P20" i="13" s="1"/>
  <c r="N45" i="13" l="1"/>
  <c r="AN45" i="13"/>
  <c r="B46" i="13"/>
  <c r="B21" i="13"/>
  <c r="N46" i="13" l="1"/>
  <c r="AN46" i="13"/>
  <c r="B47" i="13"/>
  <c r="B22" i="13"/>
  <c r="N47" i="13" l="1"/>
  <c r="AN47" i="13"/>
  <c r="B48" i="13"/>
  <c r="B23" i="13"/>
  <c r="N48" i="13" l="1"/>
  <c r="AN48" i="13"/>
  <c r="B49" i="13"/>
  <c r="B24" i="13"/>
  <c r="N49" i="13" l="1"/>
  <c r="AN49" i="13"/>
  <c r="B50" i="13"/>
  <c r="B25" i="13"/>
  <c r="AN50" i="13" l="1"/>
  <c r="N50" i="13"/>
  <c r="B51" i="13"/>
  <c r="B26" i="13"/>
  <c r="AN51" i="13" l="1"/>
  <c r="N51" i="13"/>
  <c r="B52" i="13"/>
  <c r="B27" i="13"/>
  <c r="AN52" i="13" l="1"/>
  <c r="N52" i="13"/>
  <c r="B53" i="13"/>
  <c r="N53" i="13" s="1"/>
  <c r="M23" i="8"/>
  <c r="M21" i="8"/>
  <c r="M19" i="8"/>
  <c r="V7" i="8"/>
  <c r="T7" i="8"/>
  <c r="R7" i="8"/>
  <c r="P7" i="8"/>
  <c r="M14" i="8"/>
  <c r="M13" i="8"/>
  <c r="C42" i="8"/>
  <c r="C43" i="8"/>
  <c r="C44" i="8"/>
  <c r="C45" i="8"/>
  <c r="C41" i="8"/>
  <c r="C31" i="8"/>
  <c r="C32" i="8"/>
  <c r="C33" i="8"/>
  <c r="C34" i="8"/>
  <c r="C30" i="8"/>
  <c r="B30" i="8"/>
  <c r="C26" i="8"/>
  <c r="C27" i="8"/>
  <c r="C28" i="8"/>
  <c r="C29" i="8"/>
  <c r="C25" i="8"/>
  <c r="C21" i="8"/>
  <c r="C22" i="8"/>
  <c r="C23" i="8"/>
  <c r="C24" i="8"/>
  <c r="C20" i="8"/>
  <c r="B13" i="8"/>
  <c r="Q33" i="7" l="1"/>
  <c r="W36" i="7"/>
  <c r="I136" i="7" s="1"/>
  <c r="M33" i="7"/>
  <c r="L33" i="7"/>
  <c r="H33" i="7"/>
  <c r="H36" i="7" s="1"/>
  <c r="F136" i="7" s="1"/>
  <c r="G33" i="7"/>
  <c r="L26" i="7"/>
  <c r="G26" i="7"/>
  <c r="V16" i="7"/>
  <c r="Q16" i="7"/>
  <c r="L16" i="7"/>
  <c r="G16" i="7"/>
  <c r="AD65" i="2"/>
  <c r="W65" i="2"/>
  <c r="P65" i="2"/>
  <c r="I65" i="2"/>
  <c r="AD44" i="2"/>
  <c r="W44" i="2"/>
  <c r="I59" i="2"/>
  <c r="AD29" i="2"/>
  <c r="AD26" i="2"/>
  <c r="AD28" i="2"/>
  <c r="AD25" i="2"/>
  <c r="AD24" i="2"/>
  <c r="AD23" i="2"/>
  <c r="W29" i="2"/>
  <c r="W26" i="2"/>
  <c r="W28" i="2"/>
  <c r="W25" i="2"/>
  <c r="W24" i="2"/>
  <c r="W23" i="2"/>
  <c r="P24" i="2"/>
  <c r="P25" i="2"/>
  <c r="P26" i="2"/>
  <c r="P29" i="2"/>
  <c r="P23" i="2"/>
  <c r="I29" i="2"/>
  <c r="I26" i="2"/>
  <c r="I25" i="2"/>
  <c r="I24" i="2"/>
  <c r="I23" i="2"/>
  <c r="H8" i="7" l="1"/>
  <c r="W8" i="7"/>
  <c r="E12" i="2"/>
  <c r="S12" i="2"/>
  <c r="E65" i="10" s="1"/>
  <c r="F65" i="10" s="1"/>
  <c r="Z65" i="10" s="1"/>
  <c r="L12" i="2"/>
  <c r="E39" i="10" s="1"/>
  <c r="F39" i="10" s="1"/>
  <c r="Z39" i="10" s="1"/>
  <c r="N33" i="7"/>
  <c r="S33" i="7"/>
  <c r="R36" i="7"/>
  <c r="H136" i="7" s="1"/>
  <c r="N16" i="7"/>
  <c r="S16" i="7"/>
  <c r="N26" i="7"/>
  <c r="I16" i="7"/>
  <c r="X16" i="7"/>
  <c r="I33" i="7"/>
  <c r="M36" i="7"/>
  <c r="G136" i="7" s="1"/>
  <c r="I26" i="7"/>
  <c r="E14" i="10" l="1"/>
  <c r="F14" i="10" s="1"/>
  <c r="E18" i="10"/>
  <c r="F18" i="10" s="1"/>
  <c r="E22" i="10"/>
  <c r="F22" i="10" s="1"/>
  <c r="Z22" i="10" s="1"/>
  <c r="E26" i="10"/>
  <c r="F26" i="10" s="1"/>
  <c r="E17" i="10"/>
  <c r="F17" i="10" s="1"/>
  <c r="E21" i="10"/>
  <c r="F21" i="10" s="1"/>
  <c r="E25" i="10"/>
  <c r="F25" i="10" s="1"/>
  <c r="Z25" i="10" s="1"/>
  <c r="E13" i="10"/>
  <c r="F13" i="10" s="1"/>
  <c r="E19" i="10"/>
  <c r="F19" i="10" s="1"/>
  <c r="Z19" i="10" s="1"/>
  <c r="E27" i="10"/>
  <c r="F27" i="10" s="1"/>
  <c r="E20" i="10"/>
  <c r="F20" i="10" s="1"/>
  <c r="E28" i="10"/>
  <c r="F28" i="10" s="1"/>
  <c r="Z28" i="10" s="1"/>
  <c r="E15" i="10"/>
  <c r="F15" i="10" s="1"/>
  <c r="E23" i="10"/>
  <c r="F23" i="10" s="1"/>
  <c r="E16" i="10"/>
  <c r="F16" i="10" s="1"/>
  <c r="Z16" i="10" s="1"/>
  <c r="E24" i="10"/>
  <c r="F24" i="10" s="1"/>
  <c r="R8" i="7"/>
  <c r="M8" i="7"/>
  <c r="R10" i="7"/>
  <c r="H128" i="7"/>
  <c r="H134" i="7" s="1"/>
  <c r="M10" i="7"/>
  <c r="G128" i="7"/>
  <c r="G134" i="7" s="1"/>
  <c r="W10" i="7"/>
  <c r="I128" i="7"/>
  <c r="I134" i="7" s="1"/>
  <c r="H10" i="7"/>
  <c r="F128" i="7"/>
  <c r="F134" i="7" s="1"/>
  <c r="CW114" i="13"/>
  <c r="DF114" i="13" s="1"/>
  <c r="CW118" i="13"/>
  <c r="DF118" i="13" s="1"/>
  <c r="CW122" i="13"/>
  <c r="DF122" i="13" s="1"/>
  <c r="CW126" i="13"/>
  <c r="DF126" i="13" s="1"/>
  <c r="BY114" i="13"/>
  <c r="CH114" i="13" s="1"/>
  <c r="BY118" i="13"/>
  <c r="CH118" i="13" s="1"/>
  <c r="BY122" i="13"/>
  <c r="CH122" i="13" s="1"/>
  <c r="BY126" i="13"/>
  <c r="CH126" i="13" s="1"/>
  <c r="BA114" i="13"/>
  <c r="BJ114" i="13" s="1"/>
  <c r="BA118" i="13"/>
  <c r="BJ118" i="13" s="1"/>
  <c r="BA122" i="13"/>
  <c r="BJ122" i="13" s="1"/>
  <c r="BA126" i="13"/>
  <c r="BJ126" i="13" s="1"/>
  <c r="AC114" i="13"/>
  <c r="AL114" i="13" s="1"/>
  <c r="AC118" i="13"/>
  <c r="AL118" i="13" s="1"/>
  <c r="CW115" i="13"/>
  <c r="DF115" i="13" s="1"/>
  <c r="CW119" i="13"/>
  <c r="DF119" i="13" s="1"/>
  <c r="CW123" i="13"/>
  <c r="DF123" i="13" s="1"/>
  <c r="BY115" i="13"/>
  <c r="CH115" i="13" s="1"/>
  <c r="BY119" i="13"/>
  <c r="CH119" i="13" s="1"/>
  <c r="BY123" i="13"/>
  <c r="CH123" i="13" s="1"/>
  <c r="BY127" i="13"/>
  <c r="CH127" i="13" s="1"/>
  <c r="BA115" i="13"/>
  <c r="BJ115" i="13" s="1"/>
  <c r="BA119" i="13"/>
  <c r="BJ119" i="13" s="1"/>
  <c r="BA123" i="13"/>
  <c r="BJ123" i="13" s="1"/>
  <c r="BA127" i="13"/>
  <c r="BJ127" i="13" s="1"/>
  <c r="AC115" i="13"/>
  <c r="CW116" i="13"/>
  <c r="DF116" i="13" s="1"/>
  <c r="CW120" i="13"/>
  <c r="DF120" i="13" s="1"/>
  <c r="CW124" i="13"/>
  <c r="DF124" i="13" s="1"/>
  <c r="CW128" i="13"/>
  <c r="DF128" i="13" s="1"/>
  <c r="BY116" i="13"/>
  <c r="CH116" i="13" s="1"/>
  <c r="BY120" i="13"/>
  <c r="CH120" i="13" s="1"/>
  <c r="BY124" i="13"/>
  <c r="CH124" i="13" s="1"/>
  <c r="BY128" i="13"/>
  <c r="CH128" i="13" s="1"/>
  <c r="BA116" i="13"/>
  <c r="BJ116" i="13" s="1"/>
  <c r="BA120" i="13"/>
  <c r="BJ120" i="13" s="1"/>
  <c r="BA124" i="13"/>
  <c r="BJ124" i="13" s="1"/>
  <c r="BA128" i="13"/>
  <c r="BJ128" i="13" s="1"/>
  <c r="AC116" i="13"/>
  <c r="CW117" i="13"/>
  <c r="DF117" i="13" s="1"/>
  <c r="BY117" i="13"/>
  <c r="CH117" i="13" s="1"/>
  <c r="BA117" i="13"/>
  <c r="BJ117" i="13" s="1"/>
  <c r="AC117" i="13"/>
  <c r="AC122" i="13"/>
  <c r="AL122" i="13" s="1"/>
  <c r="AC126" i="13"/>
  <c r="AL126" i="13" s="1"/>
  <c r="CW113" i="13"/>
  <c r="DF113" i="13" s="1"/>
  <c r="AC113" i="13"/>
  <c r="AL113" i="13" s="1"/>
  <c r="CW121" i="13"/>
  <c r="DF121" i="13" s="1"/>
  <c r="BY121" i="13"/>
  <c r="CH121" i="13" s="1"/>
  <c r="BA121" i="13"/>
  <c r="BJ121" i="13" s="1"/>
  <c r="AC119" i="13"/>
  <c r="AC123" i="13"/>
  <c r="AL123" i="13" s="1"/>
  <c r="AC127" i="13"/>
  <c r="AL127" i="13" s="1"/>
  <c r="BY113" i="13"/>
  <c r="CH113" i="13" s="1"/>
  <c r="AC125" i="13"/>
  <c r="AL125" i="13" s="1"/>
  <c r="CW125" i="13"/>
  <c r="DF125" i="13" s="1"/>
  <c r="BY125" i="13"/>
  <c r="CH125" i="13" s="1"/>
  <c r="BA125" i="13"/>
  <c r="BJ125" i="13" s="1"/>
  <c r="AC120" i="13"/>
  <c r="AL120" i="13" s="1"/>
  <c r="AC124" i="13"/>
  <c r="AL124" i="13" s="1"/>
  <c r="AC128" i="13"/>
  <c r="BA113" i="13"/>
  <c r="AC121" i="13"/>
  <c r="AL121" i="13" s="1"/>
  <c r="S11" i="8"/>
  <c r="CV128" i="16"/>
  <c r="CW128" i="16" s="1"/>
  <c r="DF128" i="16" s="1"/>
  <c r="CV124" i="16"/>
  <c r="CW124" i="16" s="1"/>
  <c r="DF124" i="16" s="1"/>
  <c r="CV120" i="16"/>
  <c r="CW120" i="16" s="1"/>
  <c r="DF120" i="16" s="1"/>
  <c r="CV116" i="16"/>
  <c r="CW116" i="16" s="1"/>
  <c r="DF116" i="16" s="1"/>
  <c r="BX128" i="16"/>
  <c r="BY128" i="16" s="1"/>
  <c r="CH128" i="16" s="1"/>
  <c r="BX124" i="16"/>
  <c r="BY124" i="16" s="1"/>
  <c r="CH124" i="16" s="1"/>
  <c r="BX120" i="16"/>
  <c r="BY120" i="16" s="1"/>
  <c r="CH120" i="16" s="1"/>
  <c r="BX116" i="16"/>
  <c r="BY116" i="16" s="1"/>
  <c r="CH116" i="16" s="1"/>
  <c r="AZ128" i="16"/>
  <c r="BA128" i="16" s="1"/>
  <c r="BJ128" i="16" s="1"/>
  <c r="AZ124" i="16"/>
  <c r="BA124" i="16" s="1"/>
  <c r="BJ124" i="16" s="1"/>
  <c r="AZ120" i="16"/>
  <c r="BA120" i="16" s="1"/>
  <c r="BJ120" i="16" s="1"/>
  <c r="AZ116" i="16"/>
  <c r="BA116" i="16" s="1"/>
  <c r="BJ116" i="16" s="1"/>
  <c r="AB128" i="16"/>
  <c r="AC128" i="16" s="1"/>
  <c r="AL128" i="16" s="1"/>
  <c r="AB124" i="16"/>
  <c r="AC124" i="16" s="1"/>
  <c r="AL124" i="16" s="1"/>
  <c r="AB120" i="16"/>
  <c r="AC120" i="16" s="1"/>
  <c r="AL120" i="16" s="1"/>
  <c r="AB116" i="16"/>
  <c r="AC116" i="16" s="1"/>
  <c r="AL116" i="16" s="1"/>
  <c r="D128" i="16"/>
  <c r="E128" i="16" s="1"/>
  <c r="N128" i="16" s="1"/>
  <c r="D124" i="16"/>
  <c r="E124" i="16" s="1"/>
  <c r="N124" i="16" s="1"/>
  <c r="D120" i="16"/>
  <c r="E120" i="16" s="1"/>
  <c r="N120" i="16" s="1"/>
  <c r="D116" i="16"/>
  <c r="E116" i="16" s="1"/>
  <c r="N116" i="16" s="1"/>
  <c r="CV128" i="15"/>
  <c r="CW128" i="15" s="1"/>
  <c r="DF128" i="15" s="1"/>
  <c r="CV124" i="15"/>
  <c r="CW124" i="15" s="1"/>
  <c r="DF124" i="15" s="1"/>
  <c r="CV120" i="15"/>
  <c r="CW120" i="15" s="1"/>
  <c r="DF120" i="15" s="1"/>
  <c r="CV116" i="15"/>
  <c r="CW116" i="15" s="1"/>
  <c r="DF116" i="15" s="1"/>
  <c r="BX128" i="15"/>
  <c r="BY128" i="15" s="1"/>
  <c r="CH128" i="15" s="1"/>
  <c r="BX124" i="15"/>
  <c r="BY124" i="15" s="1"/>
  <c r="CH124" i="15" s="1"/>
  <c r="BX120" i="15"/>
  <c r="BY120" i="15" s="1"/>
  <c r="CH120" i="15" s="1"/>
  <c r="BX116" i="15"/>
  <c r="BY116" i="15" s="1"/>
  <c r="CH116" i="15" s="1"/>
  <c r="AZ128" i="15"/>
  <c r="BA128" i="15" s="1"/>
  <c r="BJ128" i="15" s="1"/>
  <c r="AZ124" i="15"/>
  <c r="BA124" i="15" s="1"/>
  <c r="BJ124" i="15" s="1"/>
  <c r="AZ120" i="15"/>
  <c r="BA120" i="15" s="1"/>
  <c r="BJ120" i="15" s="1"/>
  <c r="AZ116" i="15"/>
  <c r="BA116" i="15" s="1"/>
  <c r="BJ116" i="15" s="1"/>
  <c r="AB128" i="15"/>
  <c r="AC128" i="15" s="1"/>
  <c r="AL128" i="15" s="1"/>
  <c r="AB124" i="15"/>
  <c r="AC124" i="15" s="1"/>
  <c r="AL124" i="15" s="1"/>
  <c r="AB120" i="15"/>
  <c r="AC120" i="15" s="1"/>
  <c r="AL120" i="15" s="1"/>
  <c r="AB116" i="15"/>
  <c r="AC116" i="15" s="1"/>
  <c r="AL116" i="15" s="1"/>
  <c r="D128" i="15"/>
  <c r="E128" i="15" s="1"/>
  <c r="N128" i="15" s="1"/>
  <c r="D124" i="15"/>
  <c r="E124" i="15" s="1"/>
  <c r="N124" i="15" s="1"/>
  <c r="D120" i="15"/>
  <c r="E120" i="15" s="1"/>
  <c r="N120" i="15" s="1"/>
  <c r="D116" i="15"/>
  <c r="E116" i="15" s="1"/>
  <c r="N116" i="15" s="1"/>
  <c r="CV128" i="14"/>
  <c r="CW128" i="14" s="1"/>
  <c r="DF128" i="14" s="1"/>
  <c r="CV124" i="14"/>
  <c r="CW124" i="14" s="1"/>
  <c r="DF124" i="14" s="1"/>
  <c r="CV120" i="14"/>
  <c r="CW120" i="14" s="1"/>
  <c r="DF120" i="14" s="1"/>
  <c r="CV116" i="14"/>
  <c r="CW116" i="14" s="1"/>
  <c r="DF116" i="14" s="1"/>
  <c r="CV126" i="16"/>
  <c r="CW126" i="16" s="1"/>
  <c r="DF126" i="16" s="1"/>
  <c r="CV122" i="16"/>
  <c r="CW122" i="16" s="1"/>
  <c r="DF122" i="16" s="1"/>
  <c r="CV118" i="16"/>
  <c r="CW118" i="16" s="1"/>
  <c r="DF118" i="16" s="1"/>
  <c r="CV114" i="16"/>
  <c r="CW114" i="16" s="1"/>
  <c r="DF114" i="16" s="1"/>
  <c r="BX126" i="16"/>
  <c r="BY126" i="16" s="1"/>
  <c r="CH126" i="16" s="1"/>
  <c r="BX122" i="16"/>
  <c r="BY122" i="16" s="1"/>
  <c r="CH122" i="16" s="1"/>
  <c r="BX118" i="16"/>
  <c r="BY118" i="16" s="1"/>
  <c r="CH118" i="16" s="1"/>
  <c r="BX114" i="16"/>
  <c r="BY114" i="16" s="1"/>
  <c r="CH114" i="16" s="1"/>
  <c r="AZ126" i="16"/>
  <c r="BA126" i="16" s="1"/>
  <c r="BJ126" i="16" s="1"/>
  <c r="AZ122" i="16"/>
  <c r="BA122" i="16" s="1"/>
  <c r="BJ122" i="16" s="1"/>
  <c r="AZ118" i="16"/>
  <c r="BA118" i="16" s="1"/>
  <c r="BJ118" i="16" s="1"/>
  <c r="AZ114" i="16"/>
  <c r="BA114" i="16" s="1"/>
  <c r="BJ114" i="16" s="1"/>
  <c r="AB126" i="16"/>
  <c r="AC126" i="16" s="1"/>
  <c r="AL126" i="16" s="1"/>
  <c r="AB122" i="16"/>
  <c r="AC122" i="16" s="1"/>
  <c r="AL122" i="16" s="1"/>
  <c r="AB118" i="16"/>
  <c r="AC118" i="16" s="1"/>
  <c r="AL118" i="16" s="1"/>
  <c r="AB114" i="16"/>
  <c r="AC114" i="16" s="1"/>
  <c r="AL114" i="16" s="1"/>
  <c r="D126" i="16"/>
  <c r="E126" i="16" s="1"/>
  <c r="N126" i="16" s="1"/>
  <c r="D122" i="16"/>
  <c r="E122" i="16" s="1"/>
  <c r="N122" i="16" s="1"/>
  <c r="D118" i="16"/>
  <c r="E118" i="16" s="1"/>
  <c r="N118" i="16" s="1"/>
  <c r="D114" i="16"/>
  <c r="E114" i="16" s="1"/>
  <c r="N114" i="16" s="1"/>
  <c r="CV126" i="15"/>
  <c r="CW126" i="15" s="1"/>
  <c r="DF126" i="15" s="1"/>
  <c r="CV122" i="15"/>
  <c r="CW122" i="15" s="1"/>
  <c r="DF122" i="15" s="1"/>
  <c r="CV118" i="15"/>
  <c r="CW118" i="15" s="1"/>
  <c r="DF118" i="15" s="1"/>
  <c r="CV114" i="15"/>
  <c r="CW114" i="15" s="1"/>
  <c r="DF114" i="15" s="1"/>
  <c r="BX126" i="15"/>
  <c r="BY126" i="15" s="1"/>
  <c r="CH126" i="15" s="1"/>
  <c r="BX122" i="15"/>
  <c r="BY122" i="15" s="1"/>
  <c r="CH122" i="15" s="1"/>
  <c r="BX118" i="15"/>
  <c r="BY118" i="15" s="1"/>
  <c r="CH118" i="15" s="1"/>
  <c r="BX114" i="15"/>
  <c r="BY114" i="15" s="1"/>
  <c r="CH114" i="15" s="1"/>
  <c r="AZ126" i="15"/>
  <c r="BA126" i="15" s="1"/>
  <c r="BJ126" i="15" s="1"/>
  <c r="AZ122" i="15"/>
  <c r="BA122" i="15" s="1"/>
  <c r="BJ122" i="15" s="1"/>
  <c r="AZ118" i="15"/>
  <c r="BA118" i="15" s="1"/>
  <c r="BJ118" i="15" s="1"/>
  <c r="AZ114" i="15"/>
  <c r="BA114" i="15" s="1"/>
  <c r="BJ114" i="15" s="1"/>
  <c r="AB126" i="15"/>
  <c r="AC126" i="15" s="1"/>
  <c r="AL126" i="15" s="1"/>
  <c r="AB122" i="15"/>
  <c r="AC122" i="15" s="1"/>
  <c r="AL122" i="15" s="1"/>
  <c r="AB118" i="15"/>
  <c r="AC118" i="15" s="1"/>
  <c r="AL118" i="15" s="1"/>
  <c r="AB114" i="15"/>
  <c r="AC114" i="15" s="1"/>
  <c r="AL114" i="15" s="1"/>
  <c r="D126" i="15"/>
  <c r="E126" i="15" s="1"/>
  <c r="N126" i="15" s="1"/>
  <c r="D122" i="15"/>
  <c r="E122" i="15" s="1"/>
  <c r="N122" i="15" s="1"/>
  <c r="D118" i="15"/>
  <c r="E118" i="15" s="1"/>
  <c r="N118" i="15" s="1"/>
  <c r="D114" i="15"/>
  <c r="E114" i="15" s="1"/>
  <c r="N114" i="15" s="1"/>
  <c r="CV126" i="14"/>
  <c r="CW126" i="14" s="1"/>
  <c r="DF126" i="14" s="1"/>
  <c r="CV122" i="14"/>
  <c r="CW122" i="14" s="1"/>
  <c r="DF122" i="14" s="1"/>
  <c r="CV118" i="14"/>
  <c r="CW118" i="14" s="1"/>
  <c r="DF118" i="14" s="1"/>
  <c r="CV127" i="16"/>
  <c r="CW127" i="16" s="1"/>
  <c r="DF127" i="16" s="1"/>
  <c r="CV119" i="16"/>
  <c r="CW119" i="16" s="1"/>
  <c r="DF119" i="16" s="1"/>
  <c r="BX127" i="16"/>
  <c r="BY127" i="16" s="1"/>
  <c r="CH127" i="16" s="1"/>
  <c r="BX119" i="16"/>
  <c r="BY119" i="16" s="1"/>
  <c r="CH119" i="16" s="1"/>
  <c r="AZ127" i="16"/>
  <c r="BA127" i="16" s="1"/>
  <c r="BJ127" i="16" s="1"/>
  <c r="AZ119" i="16"/>
  <c r="BA119" i="16" s="1"/>
  <c r="BJ119" i="16" s="1"/>
  <c r="AB127" i="16"/>
  <c r="AC127" i="16" s="1"/>
  <c r="AL127" i="16" s="1"/>
  <c r="AB119" i="16"/>
  <c r="AC119" i="16" s="1"/>
  <c r="AL119" i="16" s="1"/>
  <c r="D127" i="16"/>
  <c r="E127" i="16" s="1"/>
  <c r="N127" i="16" s="1"/>
  <c r="D119" i="16"/>
  <c r="E119" i="16" s="1"/>
  <c r="N119" i="16" s="1"/>
  <c r="CV127" i="15"/>
  <c r="CW127" i="15" s="1"/>
  <c r="DF127" i="15" s="1"/>
  <c r="CV119" i="15"/>
  <c r="CW119" i="15" s="1"/>
  <c r="DF119" i="15" s="1"/>
  <c r="BX127" i="15"/>
  <c r="BY127" i="15" s="1"/>
  <c r="CH127" i="15" s="1"/>
  <c r="BX119" i="15"/>
  <c r="BY119" i="15" s="1"/>
  <c r="CH119" i="15" s="1"/>
  <c r="AZ127" i="15"/>
  <c r="BA127" i="15" s="1"/>
  <c r="BJ127" i="15" s="1"/>
  <c r="AZ119" i="15"/>
  <c r="BA119" i="15" s="1"/>
  <c r="BJ119" i="15" s="1"/>
  <c r="AB127" i="15"/>
  <c r="AC127" i="15" s="1"/>
  <c r="AL127" i="15" s="1"/>
  <c r="AB119" i="15"/>
  <c r="AC119" i="15" s="1"/>
  <c r="AL119" i="15" s="1"/>
  <c r="D127" i="15"/>
  <c r="E127" i="15" s="1"/>
  <c r="N127" i="15" s="1"/>
  <c r="D119" i="15"/>
  <c r="E119" i="15" s="1"/>
  <c r="N119" i="15" s="1"/>
  <c r="CV127" i="14"/>
  <c r="CW127" i="14" s="1"/>
  <c r="DF127" i="14" s="1"/>
  <c r="CV119" i="14"/>
  <c r="CW119" i="14" s="1"/>
  <c r="DF119" i="14" s="1"/>
  <c r="CV113" i="14"/>
  <c r="CW113" i="14" s="1"/>
  <c r="DF113" i="14" s="1"/>
  <c r="BX125" i="14"/>
  <c r="BY125" i="14" s="1"/>
  <c r="CH125" i="14" s="1"/>
  <c r="BX121" i="14"/>
  <c r="BY121" i="14" s="1"/>
  <c r="CH121" i="14" s="1"/>
  <c r="BX117" i="14"/>
  <c r="BY117" i="14" s="1"/>
  <c r="CH117" i="14" s="1"/>
  <c r="BX113" i="14"/>
  <c r="BY113" i="14" s="1"/>
  <c r="CH113" i="14" s="1"/>
  <c r="AZ125" i="14"/>
  <c r="BA125" i="14" s="1"/>
  <c r="BJ125" i="14" s="1"/>
  <c r="AZ121" i="14"/>
  <c r="BA121" i="14" s="1"/>
  <c r="BJ121" i="14" s="1"/>
  <c r="AZ117" i="14"/>
  <c r="BA117" i="14" s="1"/>
  <c r="BJ117" i="14" s="1"/>
  <c r="AZ113" i="14"/>
  <c r="BA113" i="14" s="1"/>
  <c r="BJ113" i="14" s="1"/>
  <c r="AB125" i="14"/>
  <c r="AC125" i="14" s="1"/>
  <c r="AL125" i="14" s="1"/>
  <c r="AB121" i="14"/>
  <c r="AC121" i="14" s="1"/>
  <c r="AL121" i="14" s="1"/>
  <c r="AB117" i="14"/>
  <c r="AC117" i="14" s="1"/>
  <c r="AL117" i="14" s="1"/>
  <c r="AB113" i="14"/>
  <c r="AC113" i="14" s="1"/>
  <c r="AL113" i="14" s="1"/>
  <c r="D125" i="14"/>
  <c r="E125" i="14" s="1"/>
  <c r="N125" i="14" s="1"/>
  <c r="D121" i="14"/>
  <c r="E121" i="14" s="1"/>
  <c r="N121" i="14" s="1"/>
  <c r="D117" i="14"/>
  <c r="E117" i="14" s="1"/>
  <c r="N117" i="14" s="1"/>
  <c r="D113" i="14"/>
  <c r="E113" i="14" s="1"/>
  <c r="N113" i="14" s="1"/>
  <c r="E117" i="13"/>
  <c r="N117" i="13" s="1"/>
  <c r="E121" i="13"/>
  <c r="N121" i="13" s="1"/>
  <c r="E125" i="13"/>
  <c r="N125" i="13" s="1"/>
  <c r="E113" i="13"/>
  <c r="N113" i="13" s="1"/>
  <c r="CV123" i="16"/>
  <c r="CW123" i="16" s="1"/>
  <c r="DF123" i="16" s="1"/>
  <c r="CV115" i="16"/>
  <c r="CW115" i="16" s="1"/>
  <c r="DF115" i="16" s="1"/>
  <c r="BX123" i="16"/>
  <c r="BY123" i="16" s="1"/>
  <c r="CH123" i="16" s="1"/>
  <c r="BX115" i="16"/>
  <c r="BY115" i="16" s="1"/>
  <c r="CH115" i="16" s="1"/>
  <c r="AZ123" i="16"/>
  <c r="BA123" i="16" s="1"/>
  <c r="BJ123" i="16" s="1"/>
  <c r="AZ115" i="16"/>
  <c r="BA115" i="16" s="1"/>
  <c r="BJ115" i="16" s="1"/>
  <c r="AB123" i="16"/>
  <c r="AC123" i="16" s="1"/>
  <c r="AL123" i="16" s="1"/>
  <c r="AB115" i="16"/>
  <c r="AC115" i="16" s="1"/>
  <c r="AL115" i="16" s="1"/>
  <c r="D123" i="16"/>
  <c r="E123" i="16" s="1"/>
  <c r="N123" i="16" s="1"/>
  <c r="D115" i="16"/>
  <c r="E115" i="16" s="1"/>
  <c r="N115" i="16" s="1"/>
  <c r="CV123" i="15"/>
  <c r="CW123" i="15" s="1"/>
  <c r="DF123" i="15" s="1"/>
  <c r="CV115" i="15"/>
  <c r="CW115" i="15" s="1"/>
  <c r="DF115" i="15" s="1"/>
  <c r="BX123" i="15"/>
  <c r="BY123" i="15" s="1"/>
  <c r="CH123" i="15" s="1"/>
  <c r="BX115" i="15"/>
  <c r="BY115" i="15" s="1"/>
  <c r="CH115" i="15" s="1"/>
  <c r="AZ123" i="15"/>
  <c r="BA123" i="15" s="1"/>
  <c r="BJ123" i="15" s="1"/>
  <c r="AZ115" i="15"/>
  <c r="BA115" i="15" s="1"/>
  <c r="BJ115" i="15" s="1"/>
  <c r="AB123" i="15"/>
  <c r="AC123" i="15" s="1"/>
  <c r="AL123" i="15" s="1"/>
  <c r="AB115" i="15"/>
  <c r="AC115" i="15" s="1"/>
  <c r="AL115" i="15" s="1"/>
  <c r="D123" i="15"/>
  <c r="E123" i="15" s="1"/>
  <c r="N123" i="15" s="1"/>
  <c r="D115" i="15"/>
  <c r="E115" i="15" s="1"/>
  <c r="N115" i="15" s="1"/>
  <c r="CV123" i="14"/>
  <c r="CW123" i="14" s="1"/>
  <c r="DF123" i="14" s="1"/>
  <c r="CV115" i="14"/>
  <c r="CW115" i="14" s="1"/>
  <c r="DF115" i="14" s="1"/>
  <c r="BX127" i="14"/>
  <c r="BY127" i="14" s="1"/>
  <c r="CH127" i="14" s="1"/>
  <c r="BX123" i="14"/>
  <c r="BY123" i="14" s="1"/>
  <c r="CH123" i="14" s="1"/>
  <c r="BX119" i="14"/>
  <c r="BY119" i="14" s="1"/>
  <c r="CH119" i="14" s="1"/>
  <c r="BX115" i="14"/>
  <c r="BY115" i="14" s="1"/>
  <c r="CH115" i="14" s="1"/>
  <c r="AZ127" i="14"/>
  <c r="BA127" i="14" s="1"/>
  <c r="BJ127" i="14" s="1"/>
  <c r="AZ123" i="14"/>
  <c r="BA123" i="14" s="1"/>
  <c r="BJ123" i="14" s="1"/>
  <c r="AZ119" i="14"/>
  <c r="BA119" i="14" s="1"/>
  <c r="BJ119" i="14" s="1"/>
  <c r="AZ115" i="14"/>
  <c r="BA115" i="14" s="1"/>
  <c r="BJ115" i="14" s="1"/>
  <c r="AB127" i="14"/>
  <c r="AC127" i="14" s="1"/>
  <c r="AL127" i="14" s="1"/>
  <c r="AB123" i="14"/>
  <c r="AC123" i="14" s="1"/>
  <c r="AL123" i="14" s="1"/>
  <c r="AB119" i="14"/>
  <c r="AC119" i="14" s="1"/>
  <c r="AL119" i="14" s="1"/>
  <c r="AB115" i="14"/>
  <c r="AC115" i="14" s="1"/>
  <c r="AL115" i="14" s="1"/>
  <c r="D127" i="14"/>
  <c r="E127" i="14" s="1"/>
  <c r="N127" i="14" s="1"/>
  <c r="D123" i="14"/>
  <c r="E123" i="14" s="1"/>
  <c r="N123" i="14" s="1"/>
  <c r="D119" i="14"/>
  <c r="E119" i="14" s="1"/>
  <c r="N119" i="14" s="1"/>
  <c r="D115" i="14"/>
  <c r="E115" i="14" s="1"/>
  <c r="N115" i="14" s="1"/>
  <c r="CW127" i="13"/>
  <c r="DF127" i="13" s="1"/>
  <c r="E115" i="13"/>
  <c r="N115" i="13" s="1"/>
  <c r="E119" i="13"/>
  <c r="N119" i="13" s="1"/>
  <c r="E123" i="13"/>
  <c r="N123" i="13" s="1"/>
  <c r="E127" i="13"/>
  <c r="N127" i="13" s="1"/>
  <c r="CV125" i="16"/>
  <c r="CW125" i="16" s="1"/>
  <c r="DF125" i="16" s="1"/>
  <c r="BX125" i="16"/>
  <c r="BY125" i="16" s="1"/>
  <c r="CH125" i="16" s="1"/>
  <c r="AZ125" i="16"/>
  <c r="BA125" i="16" s="1"/>
  <c r="BJ125" i="16" s="1"/>
  <c r="AB125" i="16"/>
  <c r="AC125" i="16" s="1"/>
  <c r="AL125" i="16" s="1"/>
  <c r="D125" i="16"/>
  <c r="E125" i="16" s="1"/>
  <c r="N125" i="16" s="1"/>
  <c r="CV125" i="15"/>
  <c r="CW125" i="15" s="1"/>
  <c r="DF125" i="15" s="1"/>
  <c r="BX125" i="15"/>
  <c r="BY125" i="15" s="1"/>
  <c r="CH125" i="15" s="1"/>
  <c r="AZ125" i="15"/>
  <c r="BA125" i="15" s="1"/>
  <c r="BJ125" i="15" s="1"/>
  <c r="AB125" i="15"/>
  <c r="AC125" i="15" s="1"/>
  <c r="AL125" i="15" s="1"/>
  <c r="D125" i="15"/>
  <c r="E125" i="15" s="1"/>
  <c r="N125" i="15" s="1"/>
  <c r="CV125" i="14"/>
  <c r="CW125" i="14" s="1"/>
  <c r="DF125" i="14" s="1"/>
  <c r="BX128" i="14"/>
  <c r="BY128" i="14" s="1"/>
  <c r="CH128" i="14" s="1"/>
  <c r="BX120" i="14"/>
  <c r="BY120" i="14" s="1"/>
  <c r="CH120" i="14" s="1"/>
  <c r="AZ128" i="14"/>
  <c r="BA128" i="14" s="1"/>
  <c r="BJ128" i="14" s="1"/>
  <c r="AZ120" i="14"/>
  <c r="BA120" i="14" s="1"/>
  <c r="BJ120" i="14" s="1"/>
  <c r="AB128" i="14"/>
  <c r="AC128" i="14" s="1"/>
  <c r="AL128" i="14" s="1"/>
  <c r="AB120" i="14"/>
  <c r="AC120" i="14" s="1"/>
  <c r="AL120" i="14" s="1"/>
  <c r="D128" i="14"/>
  <c r="E128" i="14" s="1"/>
  <c r="N128" i="14" s="1"/>
  <c r="D120" i="14"/>
  <c r="E120" i="14" s="1"/>
  <c r="N120" i="14" s="1"/>
  <c r="E114" i="13"/>
  <c r="N114" i="13" s="1"/>
  <c r="E122" i="13"/>
  <c r="N122" i="13" s="1"/>
  <c r="CV121" i="16"/>
  <c r="CW121" i="16" s="1"/>
  <c r="DF121" i="16" s="1"/>
  <c r="BX121" i="16"/>
  <c r="BY121" i="16" s="1"/>
  <c r="CH121" i="16" s="1"/>
  <c r="AZ121" i="16"/>
  <c r="BA121" i="16" s="1"/>
  <c r="BJ121" i="16" s="1"/>
  <c r="AB121" i="16"/>
  <c r="AC121" i="16" s="1"/>
  <c r="AL121" i="16" s="1"/>
  <c r="D121" i="16"/>
  <c r="E121" i="16" s="1"/>
  <c r="N121" i="16" s="1"/>
  <c r="CV121" i="15"/>
  <c r="CW121" i="15" s="1"/>
  <c r="DF121" i="15" s="1"/>
  <c r="BX121" i="15"/>
  <c r="BY121" i="15" s="1"/>
  <c r="CH121" i="15" s="1"/>
  <c r="AZ121" i="15"/>
  <c r="BA121" i="15" s="1"/>
  <c r="BJ121" i="15" s="1"/>
  <c r="AB121" i="15"/>
  <c r="AC121" i="15" s="1"/>
  <c r="AL121" i="15" s="1"/>
  <c r="D121" i="15"/>
  <c r="E121" i="15" s="1"/>
  <c r="N121" i="15" s="1"/>
  <c r="CV121" i="14"/>
  <c r="CW121" i="14" s="1"/>
  <c r="DF121" i="14" s="1"/>
  <c r="BX126" i="14"/>
  <c r="BY126" i="14" s="1"/>
  <c r="CH126" i="14" s="1"/>
  <c r="BX118" i="14"/>
  <c r="BY118" i="14" s="1"/>
  <c r="CH118" i="14" s="1"/>
  <c r="AZ126" i="14"/>
  <c r="BA126" i="14" s="1"/>
  <c r="BJ126" i="14" s="1"/>
  <c r="AZ118" i="14"/>
  <c r="BA118" i="14" s="1"/>
  <c r="BJ118" i="14" s="1"/>
  <c r="AB126" i="14"/>
  <c r="AC126" i="14" s="1"/>
  <c r="AL126" i="14" s="1"/>
  <c r="AB118" i="14"/>
  <c r="AC118" i="14" s="1"/>
  <c r="AL118" i="14" s="1"/>
  <c r="D126" i="14"/>
  <c r="E126" i="14" s="1"/>
  <c r="N126" i="14" s="1"/>
  <c r="D118" i="14"/>
  <c r="E118" i="14" s="1"/>
  <c r="N118" i="14" s="1"/>
  <c r="E116" i="13"/>
  <c r="N116" i="13" s="1"/>
  <c r="E124" i="13"/>
  <c r="N124" i="13" s="1"/>
  <c r="BX122" i="14"/>
  <c r="BY122" i="14" s="1"/>
  <c r="CH122" i="14" s="1"/>
  <c r="AB122" i="14"/>
  <c r="AC122" i="14" s="1"/>
  <c r="AL122" i="14" s="1"/>
  <c r="D122" i="14"/>
  <c r="E122" i="14" s="1"/>
  <c r="N122" i="14" s="1"/>
  <c r="E120" i="13"/>
  <c r="N120" i="13" s="1"/>
  <c r="CV117" i="16"/>
  <c r="CW117" i="16" s="1"/>
  <c r="DF117" i="16" s="1"/>
  <c r="BX117" i="16"/>
  <c r="BY117" i="16" s="1"/>
  <c r="CH117" i="16" s="1"/>
  <c r="AZ117" i="16"/>
  <c r="BA117" i="16" s="1"/>
  <c r="BJ117" i="16" s="1"/>
  <c r="AB117" i="16"/>
  <c r="AC117" i="16" s="1"/>
  <c r="AL117" i="16" s="1"/>
  <c r="D117" i="16"/>
  <c r="E117" i="16" s="1"/>
  <c r="N117" i="16" s="1"/>
  <c r="CV117" i="15"/>
  <c r="CW117" i="15" s="1"/>
  <c r="DF117" i="15" s="1"/>
  <c r="BX117" i="15"/>
  <c r="BY117" i="15" s="1"/>
  <c r="CH117" i="15" s="1"/>
  <c r="AZ117" i="15"/>
  <c r="BA117" i="15" s="1"/>
  <c r="BJ117" i="15" s="1"/>
  <c r="AB117" i="15"/>
  <c r="AC117" i="15" s="1"/>
  <c r="AL117" i="15" s="1"/>
  <c r="D117" i="15"/>
  <c r="E117" i="15" s="1"/>
  <c r="N117" i="15" s="1"/>
  <c r="CV117" i="14"/>
  <c r="CW117" i="14" s="1"/>
  <c r="DF117" i="14" s="1"/>
  <c r="BX124" i="14"/>
  <c r="BY124" i="14" s="1"/>
  <c r="CH124" i="14" s="1"/>
  <c r="BX116" i="14"/>
  <c r="BY116" i="14" s="1"/>
  <c r="CH116" i="14" s="1"/>
  <c r="AZ124" i="14"/>
  <c r="BA124" i="14" s="1"/>
  <c r="BJ124" i="14" s="1"/>
  <c r="AZ116" i="14"/>
  <c r="BA116" i="14" s="1"/>
  <c r="BJ116" i="14" s="1"/>
  <c r="AB124" i="14"/>
  <c r="AC124" i="14" s="1"/>
  <c r="AL124" i="14" s="1"/>
  <c r="AB116" i="14"/>
  <c r="AC116" i="14" s="1"/>
  <c r="AL116" i="14" s="1"/>
  <c r="D124" i="14"/>
  <c r="E124" i="14" s="1"/>
  <c r="N124" i="14" s="1"/>
  <c r="D116" i="14"/>
  <c r="E116" i="14" s="1"/>
  <c r="N116" i="14" s="1"/>
  <c r="E118" i="13"/>
  <c r="N118" i="13" s="1"/>
  <c r="E126" i="13"/>
  <c r="N126" i="13" s="1"/>
  <c r="CV113" i="16"/>
  <c r="CW113" i="16" s="1"/>
  <c r="DF113" i="16" s="1"/>
  <c r="BX113" i="16"/>
  <c r="BY113" i="16" s="1"/>
  <c r="CH113" i="16" s="1"/>
  <c r="AZ113" i="16"/>
  <c r="BA113" i="16" s="1"/>
  <c r="BJ113" i="16" s="1"/>
  <c r="AB113" i="16"/>
  <c r="AC113" i="16" s="1"/>
  <c r="AL113" i="16" s="1"/>
  <c r="D113" i="16"/>
  <c r="E113" i="16" s="1"/>
  <c r="N113" i="16" s="1"/>
  <c r="CV113" i="15"/>
  <c r="CW113" i="15" s="1"/>
  <c r="DF113" i="15" s="1"/>
  <c r="BX113" i="15"/>
  <c r="BY113" i="15" s="1"/>
  <c r="CH113" i="15" s="1"/>
  <c r="AZ113" i="15"/>
  <c r="BA113" i="15" s="1"/>
  <c r="BJ113" i="15" s="1"/>
  <c r="AB113" i="15"/>
  <c r="AC113" i="15" s="1"/>
  <c r="AL113" i="15" s="1"/>
  <c r="D113" i="15"/>
  <c r="E113" i="15" s="1"/>
  <c r="N113" i="15" s="1"/>
  <c r="CV114" i="14"/>
  <c r="CW114" i="14" s="1"/>
  <c r="DF114" i="14" s="1"/>
  <c r="BX114" i="14"/>
  <c r="BY114" i="14" s="1"/>
  <c r="CH114" i="14" s="1"/>
  <c r="AZ122" i="14"/>
  <c r="BA122" i="14" s="1"/>
  <c r="BJ122" i="14" s="1"/>
  <c r="AZ114" i="14"/>
  <c r="BA114" i="14" s="1"/>
  <c r="BJ114" i="14" s="1"/>
  <c r="AB114" i="14"/>
  <c r="AC114" i="14" s="1"/>
  <c r="AL114" i="14" s="1"/>
  <c r="D114" i="14"/>
  <c r="E114" i="14" s="1"/>
  <c r="N114" i="14" s="1"/>
  <c r="E128" i="13"/>
  <c r="N128" i="13" s="1"/>
  <c r="AE65" i="10"/>
  <c r="Q11" i="8"/>
  <c r="CW89" i="13"/>
  <c r="DF89" i="13" s="1"/>
  <c r="CW93" i="13"/>
  <c r="DF93" i="13" s="1"/>
  <c r="CW101" i="13"/>
  <c r="DF101" i="13" s="1"/>
  <c r="BY89" i="13"/>
  <c r="CH89" i="13" s="1"/>
  <c r="BY93" i="13"/>
  <c r="CH93" i="13" s="1"/>
  <c r="BY101" i="13"/>
  <c r="CH101" i="13" s="1"/>
  <c r="BA89" i="13"/>
  <c r="BJ89" i="13" s="1"/>
  <c r="BA93" i="13"/>
  <c r="BJ93" i="13" s="1"/>
  <c r="BA101" i="13"/>
  <c r="BJ101" i="13" s="1"/>
  <c r="AC89" i="13"/>
  <c r="AL89" i="13" s="1"/>
  <c r="AC93" i="13"/>
  <c r="AL93" i="13" s="1"/>
  <c r="AC101" i="13"/>
  <c r="AL101" i="13" s="1"/>
  <c r="CW95" i="13"/>
  <c r="DF95" i="13" s="1"/>
  <c r="CW99" i="13"/>
  <c r="DF99" i="13" s="1"/>
  <c r="BY95" i="13"/>
  <c r="CH95" i="13" s="1"/>
  <c r="BY99" i="13"/>
  <c r="CH99" i="13" s="1"/>
  <c r="BA95" i="13"/>
  <c r="BJ95" i="13" s="1"/>
  <c r="BA99" i="13"/>
  <c r="BJ99" i="13" s="1"/>
  <c r="AC95" i="13"/>
  <c r="AL95" i="13" s="1"/>
  <c r="AC99" i="13"/>
  <c r="AL99" i="13" s="1"/>
  <c r="CW90" i="13"/>
  <c r="DF90" i="13" s="1"/>
  <c r="CW98" i="13"/>
  <c r="DF98" i="13" s="1"/>
  <c r="BY90" i="13"/>
  <c r="CH90" i="13" s="1"/>
  <c r="BY98" i="13"/>
  <c r="CH98" i="13" s="1"/>
  <c r="BA90" i="13"/>
  <c r="BJ90" i="13" s="1"/>
  <c r="BA98" i="13"/>
  <c r="BJ98" i="13" s="1"/>
  <c r="AC90" i="13"/>
  <c r="AL90" i="13" s="1"/>
  <c r="AC98" i="13"/>
  <c r="AL98" i="13" s="1"/>
  <c r="CW92" i="13"/>
  <c r="DF92" i="13" s="1"/>
  <c r="BY92" i="13"/>
  <c r="CH92" i="13" s="1"/>
  <c r="BA92" i="13"/>
  <c r="BJ92" i="13" s="1"/>
  <c r="AC92" i="13"/>
  <c r="AL92" i="13" s="1"/>
  <c r="CW88" i="13"/>
  <c r="DF88" i="13" s="1"/>
  <c r="BY96" i="13"/>
  <c r="CH96" i="13" s="1"/>
  <c r="BA96" i="13"/>
  <c r="BJ96" i="13" s="1"/>
  <c r="BA88" i="13"/>
  <c r="BJ88" i="13" s="1"/>
  <c r="AC88" i="13"/>
  <c r="AL88" i="13" s="1"/>
  <c r="CW102" i="13"/>
  <c r="DF102" i="13" s="1"/>
  <c r="BY102" i="13"/>
  <c r="CH102" i="13" s="1"/>
  <c r="BA102" i="13"/>
  <c r="BJ102" i="13" s="1"/>
  <c r="AC102" i="13"/>
  <c r="AL102" i="13" s="1"/>
  <c r="CW96" i="13"/>
  <c r="DF96" i="13" s="1"/>
  <c r="BY88" i="13"/>
  <c r="CH88" i="13" s="1"/>
  <c r="AC96" i="13"/>
  <c r="AL96" i="13" s="1"/>
  <c r="CV103" i="16"/>
  <c r="CV99" i="16"/>
  <c r="CW99" i="16" s="1"/>
  <c r="DF99" i="16" s="1"/>
  <c r="CV95" i="16"/>
  <c r="CW95" i="16" s="1"/>
  <c r="DF95" i="16" s="1"/>
  <c r="CV91" i="16"/>
  <c r="BX103" i="16"/>
  <c r="BX99" i="16"/>
  <c r="BY99" i="16" s="1"/>
  <c r="CH99" i="16" s="1"/>
  <c r="BX95" i="16"/>
  <c r="BY95" i="16" s="1"/>
  <c r="CH95" i="16" s="1"/>
  <c r="BX91" i="16"/>
  <c r="AZ103" i="16"/>
  <c r="AZ99" i="16"/>
  <c r="BA99" i="16" s="1"/>
  <c r="BJ99" i="16" s="1"/>
  <c r="AZ95" i="16"/>
  <c r="BA95" i="16" s="1"/>
  <c r="BJ95" i="16" s="1"/>
  <c r="AZ91" i="16"/>
  <c r="AB103" i="16"/>
  <c r="AB99" i="16"/>
  <c r="AC99" i="16" s="1"/>
  <c r="AL99" i="16" s="1"/>
  <c r="AB95" i="16"/>
  <c r="AC95" i="16" s="1"/>
  <c r="AL95" i="16" s="1"/>
  <c r="AB91" i="16"/>
  <c r="D103" i="16"/>
  <c r="D99" i="16"/>
  <c r="E99" i="16" s="1"/>
  <c r="N99" i="16" s="1"/>
  <c r="D95" i="16"/>
  <c r="E95" i="16" s="1"/>
  <c r="N95" i="16" s="1"/>
  <c r="D91" i="16"/>
  <c r="CV103" i="15"/>
  <c r="CV99" i="15"/>
  <c r="CW99" i="15" s="1"/>
  <c r="DF99" i="15" s="1"/>
  <c r="CV95" i="15"/>
  <c r="CW95" i="15" s="1"/>
  <c r="DF95" i="15" s="1"/>
  <c r="CV91" i="15"/>
  <c r="BX103" i="15"/>
  <c r="BX99" i="15"/>
  <c r="BY99" i="15" s="1"/>
  <c r="CH99" i="15" s="1"/>
  <c r="BX95" i="15"/>
  <c r="BY95" i="15" s="1"/>
  <c r="CH95" i="15" s="1"/>
  <c r="BX91" i="15"/>
  <c r="AZ103" i="15"/>
  <c r="AZ99" i="15"/>
  <c r="BA99" i="15" s="1"/>
  <c r="BJ99" i="15" s="1"/>
  <c r="AZ95" i="15"/>
  <c r="BA95" i="15" s="1"/>
  <c r="BJ95" i="15" s="1"/>
  <c r="AZ91" i="15"/>
  <c r="AB103" i="15"/>
  <c r="AB99" i="15"/>
  <c r="AC99" i="15" s="1"/>
  <c r="AL99" i="15" s="1"/>
  <c r="AB95" i="15"/>
  <c r="AC95" i="15" s="1"/>
  <c r="AL95" i="15" s="1"/>
  <c r="AB91" i="15"/>
  <c r="D103" i="15"/>
  <c r="D99" i="15"/>
  <c r="E99" i="15" s="1"/>
  <c r="N99" i="15" s="1"/>
  <c r="D95" i="15"/>
  <c r="E95" i="15" s="1"/>
  <c r="N95" i="15" s="1"/>
  <c r="D91" i="15"/>
  <c r="CV103" i="14"/>
  <c r="CV99" i="14"/>
  <c r="CW99" i="14" s="1"/>
  <c r="DF99" i="14" s="1"/>
  <c r="CV95" i="14"/>
  <c r="CW95" i="14" s="1"/>
  <c r="DF95" i="14" s="1"/>
  <c r="CV91" i="14"/>
  <c r="BX103" i="14"/>
  <c r="BX99" i="14"/>
  <c r="BY99" i="14" s="1"/>
  <c r="CH99" i="14" s="1"/>
  <c r="BX95" i="14"/>
  <c r="BY95" i="14" s="1"/>
  <c r="CH95" i="14" s="1"/>
  <c r="BX91" i="14"/>
  <c r="AZ103" i="14"/>
  <c r="AZ99" i="14"/>
  <c r="BA99" i="14" s="1"/>
  <c r="BJ99" i="14" s="1"/>
  <c r="AZ95" i="14"/>
  <c r="BA95" i="14" s="1"/>
  <c r="BJ95" i="14" s="1"/>
  <c r="AZ91" i="14"/>
  <c r="AB103" i="14"/>
  <c r="AB99" i="14"/>
  <c r="AC99" i="14" s="1"/>
  <c r="AL99" i="14" s="1"/>
  <c r="AB95" i="14"/>
  <c r="AC95" i="14" s="1"/>
  <c r="AL95" i="14" s="1"/>
  <c r="AB91" i="14"/>
  <c r="D103" i="14"/>
  <c r="D99" i="14"/>
  <c r="E99" i="14" s="1"/>
  <c r="N99" i="14" s="1"/>
  <c r="D95" i="14"/>
  <c r="E95" i="14" s="1"/>
  <c r="N95" i="14" s="1"/>
  <c r="D91" i="14"/>
  <c r="E89" i="13"/>
  <c r="N89" i="13" s="1"/>
  <c r="E93" i="13"/>
  <c r="N93" i="13" s="1"/>
  <c r="E101" i="13"/>
  <c r="N101" i="13" s="1"/>
  <c r="CV101" i="16"/>
  <c r="CW101" i="16" s="1"/>
  <c r="DF101" i="16" s="1"/>
  <c r="CV97" i="16"/>
  <c r="CV93" i="16"/>
  <c r="CW93" i="16" s="1"/>
  <c r="DF93" i="16" s="1"/>
  <c r="CV89" i="16"/>
  <c r="CW89" i="16" s="1"/>
  <c r="DF89" i="16" s="1"/>
  <c r="BX101" i="16"/>
  <c r="BY101" i="16" s="1"/>
  <c r="CH101" i="16" s="1"/>
  <c r="BX97" i="16"/>
  <c r="BX93" i="16"/>
  <c r="BY93" i="16" s="1"/>
  <c r="CH93" i="16" s="1"/>
  <c r="BX89" i="16"/>
  <c r="BY89" i="16" s="1"/>
  <c r="CH89" i="16" s="1"/>
  <c r="AZ101" i="16"/>
  <c r="BA101" i="16" s="1"/>
  <c r="BJ101" i="16" s="1"/>
  <c r="AZ97" i="16"/>
  <c r="AZ93" i="16"/>
  <c r="BA93" i="16" s="1"/>
  <c r="BJ93" i="16" s="1"/>
  <c r="AZ89" i="16"/>
  <c r="BA89" i="16" s="1"/>
  <c r="BJ89" i="16" s="1"/>
  <c r="AB101" i="16"/>
  <c r="AC101" i="16" s="1"/>
  <c r="AL101" i="16" s="1"/>
  <c r="AB97" i="16"/>
  <c r="AB93" i="16"/>
  <c r="AC93" i="16" s="1"/>
  <c r="AL93" i="16" s="1"/>
  <c r="AB89" i="16"/>
  <c r="AC89" i="16" s="1"/>
  <c r="AL89" i="16" s="1"/>
  <c r="D101" i="16"/>
  <c r="E101" i="16" s="1"/>
  <c r="N101" i="16" s="1"/>
  <c r="D97" i="16"/>
  <c r="D93" i="16"/>
  <c r="E93" i="16" s="1"/>
  <c r="N93" i="16" s="1"/>
  <c r="D89" i="16"/>
  <c r="E89" i="16" s="1"/>
  <c r="N89" i="16" s="1"/>
  <c r="CV101" i="15"/>
  <c r="CW101" i="15" s="1"/>
  <c r="DF101" i="15" s="1"/>
  <c r="CV97" i="15"/>
  <c r="CV93" i="15"/>
  <c r="CW93" i="15" s="1"/>
  <c r="DF93" i="15" s="1"/>
  <c r="CV89" i="15"/>
  <c r="CW89" i="15" s="1"/>
  <c r="DF89" i="15" s="1"/>
  <c r="BX101" i="15"/>
  <c r="BY101" i="15" s="1"/>
  <c r="CH101" i="15" s="1"/>
  <c r="BX97" i="15"/>
  <c r="BX93" i="15"/>
  <c r="BY93" i="15" s="1"/>
  <c r="CH93" i="15" s="1"/>
  <c r="BX89" i="15"/>
  <c r="BY89" i="15" s="1"/>
  <c r="CH89" i="15" s="1"/>
  <c r="AZ101" i="15"/>
  <c r="BA101" i="15" s="1"/>
  <c r="BJ101" i="15" s="1"/>
  <c r="AZ97" i="15"/>
  <c r="AZ93" i="15"/>
  <c r="BA93" i="15" s="1"/>
  <c r="BJ93" i="15" s="1"/>
  <c r="AZ89" i="15"/>
  <c r="BA89" i="15" s="1"/>
  <c r="BJ89" i="15" s="1"/>
  <c r="AB101" i="15"/>
  <c r="AC101" i="15" s="1"/>
  <c r="AL101" i="15" s="1"/>
  <c r="AB97" i="15"/>
  <c r="AB93" i="15"/>
  <c r="AC93" i="15" s="1"/>
  <c r="AL93" i="15" s="1"/>
  <c r="AB89" i="15"/>
  <c r="AC89" i="15" s="1"/>
  <c r="AL89" i="15" s="1"/>
  <c r="D101" i="15"/>
  <c r="E101" i="15" s="1"/>
  <c r="N101" i="15" s="1"/>
  <c r="D97" i="15"/>
  <c r="D93" i="15"/>
  <c r="E93" i="15" s="1"/>
  <c r="N93" i="15" s="1"/>
  <c r="D89" i="15"/>
  <c r="E89" i="15" s="1"/>
  <c r="N89" i="15" s="1"/>
  <c r="CV101" i="14"/>
  <c r="CW101" i="14" s="1"/>
  <c r="DF101" i="14" s="1"/>
  <c r="CV97" i="14"/>
  <c r="CV93" i="14"/>
  <c r="CW93" i="14" s="1"/>
  <c r="DF93" i="14" s="1"/>
  <c r="CV89" i="14"/>
  <c r="CW89" i="14" s="1"/>
  <c r="DF89" i="14" s="1"/>
  <c r="BX101" i="14"/>
  <c r="BY101" i="14" s="1"/>
  <c r="CH101" i="14" s="1"/>
  <c r="BX97" i="14"/>
  <c r="BX93" i="14"/>
  <c r="BY93" i="14" s="1"/>
  <c r="CH93" i="14" s="1"/>
  <c r="BX89" i="14"/>
  <c r="BY89" i="14" s="1"/>
  <c r="CH89" i="14" s="1"/>
  <c r="AZ101" i="14"/>
  <c r="BA101" i="14" s="1"/>
  <c r="BJ101" i="14" s="1"/>
  <c r="AZ97" i="14"/>
  <c r="AZ93" i="14"/>
  <c r="BA93" i="14" s="1"/>
  <c r="BJ93" i="14" s="1"/>
  <c r="AZ89" i="14"/>
  <c r="BA89" i="14" s="1"/>
  <c r="BJ89" i="14" s="1"/>
  <c r="AB101" i="14"/>
  <c r="AC101" i="14" s="1"/>
  <c r="AL101" i="14" s="1"/>
  <c r="AB97" i="14"/>
  <c r="AB93" i="14"/>
  <c r="AC93" i="14" s="1"/>
  <c r="AL93" i="14" s="1"/>
  <c r="AB89" i="14"/>
  <c r="AC89" i="14" s="1"/>
  <c r="AL89" i="14" s="1"/>
  <c r="D101" i="14"/>
  <c r="E101" i="14" s="1"/>
  <c r="N101" i="14" s="1"/>
  <c r="D97" i="14"/>
  <c r="D93" i="14"/>
  <c r="E93" i="14" s="1"/>
  <c r="N93" i="14" s="1"/>
  <c r="D89" i="14"/>
  <c r="E89" i="14" s="1"/>
  <c r="N89" i="14" s="1"/>
  <c r="E95" i="13"/>
  <c r="N95" i="13" s="1"/>
  <c r="E99" i="13"/>
  <c r="N99" i="13" s="1"/>
  <c r="CV98" i="16"/>
  <c r="CW98" i="16" s="1"/>
  <c r="DF98" i="16" s="1"/>
  <c r="CV90" i="16"/>
  <c r="CW90" i="16" s="1"/>
  <c r="DF90" i="16" s="1"/>
  <c r="BX98" i="16"/>
  <c r="BY98" i="16" s="1"/>
  <c r="CH98" i="16" s="1"/>
  <c r="BX90" i="16"/>
  <c r="BY90" i="16" s="1"/>
  <c r="CH90" i="16" s="1"/>
  <c r="AZ98" i="16"/>
  <c r="BA98" i="16" s="1"/>
  <c r="BJ98" i="16" s="1"/>
  <c r="AZ90" i="16"/>
  <c r="BA90" i="16" s="1"/>
  <c r="BJ90" i="16" s="1"/>
  <c r="AB98" i="16"/>
  <c r="AC98" i="16" s="1"/>
  <c r="AL98" i="16" s="1"/>
  <c r="AB90" i="16"/>
  <c r="AC90" i="16" s="1"/>
  <c r="AL90" i="16" s="1"/>
  <c r="D98" i="16"/>
  <c r="E98" i="16" s="1"/>
  <c r="N98" i="16" s="1"/>
  <c r="D90" i="16"/>
  <c r="E90" i="16" s="1"/>
  <c r="N90" i="16" s="1"/>
  <c r="CV98" i="15"/>
  <c r="CW98" i="15" s="1"/>
  <c r="DF98" i="15" s="1"/>
  <c r="CV90" i="15"/>
  <c r="CW90" i="15" s="1"/>
  <c r="DF90" i="15" s="1"/>
  <c r="BX98" i="15"/>
  <c r="BY98" i="15" s="1"/>
  <c r="CH98" i="15" s="1"/>
  <c r="BX90" i="15"/>
  <c r="BY90" i="15" s="1"/>
  <c r="CH90" i="15" s="1"/>
  <c r="AZ98" i="15"/>
  <c r="BA98" i="15" s="1"/>
  <c r="BJ98" i="15" s="1"/>
  <c r="AZ90" i="15"/>
  <c r="BA90" i="15" s="1"/>
  <c r="BJ90" i="15" s="1"/>
  <c r="AB98" i="15"/>
  <c r="AC98" i="15" s="1"/>
  <c r="AL98" i="15" s="1"/>
  <c r="AB90" i="15"/>
  <c r="AC90" i="15" s="1"/>
  <c r="AL90" i="15" s="1"/>
  <c r="D98" i="15"/>
  <c r="E98" i="15" s="1"/>
  <c r="N98" i="15" s="1"/>
  <c r="D90" i="15"/>
  <c r="E90" i="15" s="1"/>
  <c r="N90" i="15" s="1"/>
  <c r="CV98" i="14"/>
  <c r="CW98" i="14" s="1"/>
  <c r="DF98" i="14" s="1"/>
  <c r="CV90" i="14"/>
  <c r="CW90" i="14" s="1"/>
  <c r="DF90" i="14" s="1"/>
  <c r="BX98" i="14"/>
  <c r="BY98" i="14" s="1"/>
  <c r="CH98" i="14" s="1"/>
  <c r="BX90" i="14"/>
  <c r="BY90" i="14" s="1"/>
  <c r="CH90" i="14" s="1"/>
  <c r="AZ98" i="14"/>
  <c r="BA98" i="14" s="1"/>
  <c r="BJ98" i="14" s="1"/>
  <c r="AZ90" i="14"/>
  <c r="BA90" i="14" s="1"/>
  <c r="BJ90" i="14" s="1"/>
  <c r="AB98" i="14"/>
  <c r="AC98" i="14" s="1"/>
  <c r="AL98" i="14" s="1"/>
  <c r="AB90" i="14"/>
  <c r="AC90" i="14" s="1"/>
  <c r="AL90" i="14" s="1"/>
  <c r="D98" i="14"/>
  <c r="E98" i="14" s="1"/>
  <c r="N98" i="14" s="1"/>
  <c r="D90" i="14"/>
  <c r="E90" i="14" s="1"/>
  <c r="N90" i="14" s="1"/>
  <c r="E96" i="13"/>
  <c r="N96" i="13" s="1"/>
  <c r="E88" i="13"/>
  <c r="N88" i="13" s="1"/>
  <c r="S88" i="13" s="1"/>
  <c r="CV102" i="16"/>
  <c r="CW102" i="16" s="1"/>
  <c r="DF102" i="16" s="1"/>
  <c r="CV94" i="16"/>
  <c r="BX102" i="16"/>
  <c r="BY102" i="16" s="1"/>
  <c r="CH102" i="16" s="1"/>
  <c r="BX94" i="16"/>
  <c r="AZ102" i="16"/>
  <c r="BA102" i="16" s="1"/>
  <c r="BJ102" i="16" s="1"/>
  <c r="AZ94" i="16"/>
  <c r="AB102" i="16"/>
  <c r="AC102" i="16" s="1"/>
  <c r="AL102" i="16" s="1"/>
  <c r="AB94" i="16"/>
  <c r="D102" i="16"/>
  <c r="E102" i="16" s="1"/>
  <c r="N102" i="16" s="1"/>
  <c r="D94" i="16"/>
  <c r="CV102" i="15"/>
  <c r="CW102" i="15" s="1"/>
  <c r="DF102" i="15" s="1"/>
  <c r="CV94" i="15"/>
  <c r="BX102" i="15"/>
  <c r="BY102" i="15" s="1"/>
  <c r="CH102" i="15" s="1"/>
  <c r="BX94" i="15"/>
  <c r="AZ102" i="15"/>
  <c r="BA102" i="15" s="1"/>
  <c r="BJ102" i="15" s="1"/>
  <c r="AZ94" i="15"/>
  <c r="AB102" i="15"/>
  <c r="AC102" i="15" s="1"/>
  <c r="AL102" i="15" s="1"/>
  <c r="AB94" i="15"/>
  <c r="D102" i="15"/>
  <c r="E102" i="15" s="1"/>
  <c r="N102" i="15" s="1"/>
  <c r="D94" i="15"/>
  <c r="CV102" i="14"/>
  <c r="CW102" i="14" s="1"/>
  <c r="DF102" i="14" s="1"/>
  <c r="CV94" i="14"/>
  <c r="BX102" i="14"/>
  <c r="BY102" i="14" s="1"/>
  <c r="CH102" i="14" s="1"/>
  <c r="BX94" i="14"/>
  <c r="AZ102" i="14"/>
  <c r="BA102" i="14" s="1"/>
  <c r="BJ102" i="14" s="1"/>
  <c r="AZ94" i="14"/>
  <c r="AB102" i="14"/>
  <c r="AC102" i="14" s="1"/>
  <c r="AL102" i="14" s="1"/>
  <c r="AB94" i="14"/>
  <c r="D102" i="14"/>
  <c r="E102" i="14" s="1"/>
  <c r="N102" i="14" s="1"/>
  <c r="D94" i="14"/>
  <c r="E92" i="13"/>
  <c r="N92" i="13" s="1"/>
  <c r="CV88" i="16"/>
  <c r="CW88" i="16" s="1"/>
  <c r="DF88" i="16" s="1"/>
  <c r="BX88" i="16"/>
  <c r="BY88" i="16" s="1"/>
  <c r="CH88" i="16" s="1"/>
  <c r="AZ88" i="16"/>
  <c r="BA88" i="16" s="1"/>
  <c r="BJ88" i="16" s="1"/>
  <c r="AB88" i="16"/>
  <c r="AC88" i="16" s="1"/>
  <c r="AL88" i="16" s="1"/>
  <c r="D88" i="16"/>
  <c r="E88" i="16" s="1"/>
  <c r="N88" i="16" s="1"/>
  <c r="CV88" i="15"/>
  <c r="CW88" i="15" s="1"/>
  <c r="DF88" i="15" s="1"/>
  <c r="BX88" i="15"/>
  <c r="BY88" i="15" s="1"/>
  <c r="CH88" i="15" s="1"/>
  <c r="AZ88" i="15"/>
  <c r="BA88" i="15" s="1"/>
  <c r="BJ88" i="15" s="1"/>
  <c r="AB88" i="15"/>
  <c r="AC88" i="15" s="1"/>
  <c r="AL88" i="15" s="1"/>
  <c r="D88" i="15"/>
  <c r="E88" i="15" s="1"/>
  <c r="N88" i="15" s="1"/>
  <c r="CV88" i="14"/>
  <c r="CW88" i="14" s="1"/>
  <c r="DF88" i="14" s="1"/>
  <c r="BX88" i="14"/>
  <c r="BY88" i="14" s="1"/>
  <c r="CH88" i="14" s="1"/>
  <c r="AZ88" i="14"/>
  <c r="BA88" i="14" s="1"/>
  <c r="BJ88" i="14" s="1"/>
  <c r="AB88" i="14"/>
  <c r="AC88" i="14" s="1"/>
  <c r="AL88" i="14" s="1"/>
  <c r="D88" i="14"/>
  <c r="E88" i="14" s="1"/>
  <c r="N88" i="14" s="1"/>
  <c r="E90" i="13"/>
  <c r="N90" i="13" s="1"/>
  <c r="CV96" i="16"/>
  <c r="CW96" i="16" s="1"/>
  <c r="DF96" i="16" s="1"/>
  <c r="BX96" i="16"/>
  <c r="BY96" i="16" s="1"/>
  <c r="CH96" i="16" s="1"/>
  <c r="AZ96" i="16"/>
  <c r="BA96" i="16" s="1"/>
  <c r="BJ96" i="16" s="1"/>
  <c r="AB96" i="16"/>
  <c r="AC96" i="16" s="1"/>
  <c r="AL96" i="16" s="1"/>
  <c r="D96" i="16"/>
  <c r="E96" i="16" s="1"/>
  <c r="N96" i="16" s="1"/>
  <c r="CV96" i="15"/>
  <c r="CW96" i="15" s="1"/>
  <c r="DF96" i="15" s="1"/>
  <c r="BX96" i="15"/>
  <c r="BY96" i="15" s="1"/>
  <c r="CH96" i="15" s="1"/>
  <c r="AZ96" i="15"/>
  <c r="BA96" i="15" s="1"/>
  <c r="BJ96" i="15" s="1"/>
  <c r="AB96" i="15"/>
  <c r="AC96" i="15" s="1"/>
  <c r="AL96" i="15" s="1"/>
  <c r="D96" i="15"/>
  <c r="E96" i="15" s="1"/>
  <c r="N96" i="15" s="1"/>
  <c r="CV96" i="14"/>
  <c r="CW96" i="14" s="1"/>
  <c r="DF96" i="14" s="1"/>
  <c r="BX96" i="14"/>
  <c r="BY96" i="14" s="1"/>
  <c r="CH96" i="14" s="1"/>
  <c r="AZ96" i="14"/>
  <c r="BA96" i="14" s="1"/>
  <c r="BJ96" i="14" s="1"/>
  <c r="AB96" i="14"/>
  <c r="AC96" i="14" s="1"/>
  <c r="AL96" i="14" s="1"/>
  <c r="D96" i="14"/>
  <c r="E96" i="14" s="1"/>
  <c r="N96" i="14" s="1"/>
  <c r="E98" i="13"/>
  <c r="N98" i="13" s="1"/>
  <c r="CV92" i="16"/>
  <c r="CW92" i="16" s="1"/>
  <c r="DF92" i="16" s="1"/>
  <c r="BX92" i="16"/>
  <c r="BY92" i="16" s="1"/>
  <c r="CH92" i="16" s="1"/>
  <c r="AZ92" i="16"/>
  <c r="BA92" i="16" s="1"/>
  <c r="BJ92" i="16" s="1"/>
  <c r="AB92" i="16"/>
  <c r="AC92" i="16" s="1"/>
  <c r="AL92" i="16" s="1"/>
  <c r="D92" i="16"/>
  <c r="E92" i="16" s="1"/>
  <c r="N92" i="16" s="1"/>
  <c r="CV92" i="15"/>
  <c r="CW92" i="15" s="1"/>
  <c r="DF92" i="15" s="1"/>
  <c r="BX92" i="15"/>
  <c r="BY92" i="15" s="1"/>
  <c r="CH92" i="15" s="1"/>
  <c r="AZ92" i="15"/>
  <c r="BA92" i="15" s="1"/>
  <c r="BJ92" i="15" s="1"/>
  <c r="AB92" i="15"/>
  <c r="AC92" i="15" s="1"/>
  <c r="AL92" i="15" s="1"/>
  <c r="D92" i="15"/>
  <c r="E92" i="15" s="1"/>
  <c r="N92" i="15" s="1"/>
  <c r="CV92" i="14"/>
  <c r="CW92" i="14" s="1"/>
  <c r="DF92" i="14" s="1"/>
  <c r="BX92" i="14"/>
  <c r="BY92" i="14" s="1"/>
  <c r="CH92" i="14" s="1"/>
  <c r="AZ92" i="14"/>
  <c r="BA92" i="14" s="1"/>
  <c r="BJ92" i="14" s="1"/>
  <c r="AB92" i="14"/>
  <c r="AC92" i="14" s="1"/>
  <c r="AL92" i="14" s="1"/>
  <c r="D92" i="14"/>
  <c r="E92" i="14" s="1"/>
  <c r="N92" i="14" s="1"/>
  <c r="E102" i="13"/>
  <c r="N102" i="13" s="1"/>
  <c r="CV100" i="16"/>
  <c r="D100" i="16"/>
  <c r="AB100" i="15"/>
  <c r="AZ100" i="14"/>
  <c r="BX100" i="16"/>
  <c r="CV100" i="15"/>
  <c r="D100" i="15"/>
  <c r="AB100" i="14"/>
  <c r="AZ100" i="16"/>
  <c r="BX100" i="15"/>
  <c r="CV100" i="14"/>
  <c r="D100" i="14"/>
  <c r="AB100" i="16"/>
  <c r="AZ100" i="15"/>
  <c r="BX100" i="14"/>
  <c r="U11" i="8"/>
  <c r="CV12" i="15"/>
  <c r="CW12" i="15" s="1"/>
  <c r="DF12" i="15" s="1"/>
  <c r="BX24" i="15"/>
  <c r="BY24" i="15" s="1"/>
  <c r="CH24" i="15" s="1"/>
  <c r="BX20" i="15"/>
  <c r="BY20" i="15" s="1"/>
  <c r="CH20" i="15" s="1"/>
  <c r="BX16" i="15"/>
  <c r="BY16" i="15" s="1"/>
  <c r="CH16" i="15" s="1"/>
  <c r="CV26" i="15"/>
  <c r="CW26" i="15" s="1"/>
  <c r="DF26" i="15" s="1"/>
  <c r="BX26" i="15"/>
  <c r="BY26" i="15" s="1"/>
  <c r="CH26" i="15" s="1"/>
  <c r="BX14" i="15"/>
  <c r="BY14" i="15" s="1"/>
  <c r="CH14" i="15" s="1"/>
  <c r="BX17" i="15"/>
  <c r="BY17" i="15" s="1"/>
  <c r="CH17" i="15" s="1"/>
  <c r="CV24" i="15"/>
  <c r="CW24" i="15" s="1"/>
  <c r="DF24" i="15" s="1"/>
  <c r="CV27" i="15"/>
  <c r="CW27" i="15" s="1"/>
  <c r="DF27" i="15" s="1"/>
  <c r="CV23" i="15"/>
  <c r="CW23" i="15" s="1"/>
  <c r="DF23" i="15" s="1"/>
  <c r="CV19" i="15"/>
  <c r="CW19" i="15" s="1"/>
  <c r="DF19" i="15" s="1"/>
  <c r="CV15" i="15"/>
  <c r="CW15" i="15" s="1"/>
  <c r="DF15" i="15" s="1"/>
  <c r="BX12" i="15"/>
  <c r="BY12" i="15" s="1"/>
  <c r="CH12" i="15" s="1"/>
  <c r="CV18" i="15"/>
  <c r="CW18" i="15" s="1"/>
  <c r="DF18" i="15" s="1"/>
  <c r="BX22" i="15"/>
  <c r="BY22" i="15" s="1"/>
  <c r="CH22" i="15" s="1"/>
  <c r="BX25" i="15"/>
  <c r="BY25" i="15" s="1"/>
  <c r="CH25" i="15" s="1"/>
  <c r="CV16" i="15"/>
  <c r="CW16" i="15" s="1"/>
  <c r="DF16" i="15" s="1"/>
  <c r="BX27" i="15"/>
  <c r="BY27" i="15" s="1"/>
  <c r="CH27" i="15" s="1"/>
  <c r="BX23" i="15"/>
  <c r="BY23" i="15" s="1"/>
  <c r="CH23" i="15" s="1"/>
  <c r="BX19" i="15"/>
  <c r="BY19" i="15" s="1"/>
  <c r="CH19" i="15" s="1"/>
  <c r="BX15" i="15"/>
  <c r="BY15" i="15" s="1"/>
  <c r="CH15" i="15" s="1"/>
  <c r="CV22" i="15"/>
  <c r="CW22" i="15" s="1"/>
  <c r="DF22" i="15" s="1"/>
  <c r="CV14" i="15"/>
  <c r="CW14" i="15" s="1"/>
  <c r="DF14" i="15" s="1"/>
  <c r="BX18" i="15"/>
  <c r="BY18" i="15" s="1"/>
  <c r="CH18" i="15" s="1"/>
  <c r="BX13" i="15"/>
  <c r="BY13" i="15" s="1"/>
  <c r="CH13" i="15" s="1"/>
  <c r="CV25" i="15"/>
  <c r="CW25" i="15" s="1"/>
  <c r="DF25" i="15" s="1"/>
  <c r="CV21" i="15"/>
  <c r="CW21" i="15" s="1"/>
  <c r="DF21" i="15" s="1"/>
  <c r="CV17" i="15"/>
  <c r="CW17" i="15" s="1"/>
  <c r="DF17" i="15" s="1"/>
  <c r="CV13" i="15"/>
  <c r="CW13" i="15" s="1"/>
  <c r="DF13" i="15" s="1"/>
  <c r="BX21" i="15"/>
  <c r="BY21" i="15" s="1"/>
  <c r="CH21" i="15" s="1"/>
  <c r="CV20" i="15"/>
  <c r="CW20" i="15" s="1"/>
  <c r="DF20" i="15" s="1"/>
  <c r="CV26" i="16"/>
  <c r="CW26" i="16" s="1"/>
  <c r="DF26" i="16" s="1"/>
  <c r="CV22" i="16"/>
  <c r="CW22" i="16" s="1"/>
  <c r="DF22" i="16" s="1"/>
  <c r="CV18" i="16"/>
  <c r="CW18" i="16" s="1"/>
  <c r="DF18" i="16" s="1"/>
  <c r="CV14" i="16"/>
  <c r="CW14" i="16" s="1"/>
  <c r="DF14" i="16" s="1"/>
  <c r="BX27" i="16"/>
  <c r="BY27" i="16" s="1"/>
  <c r="CH27" i="16" s="1"/>
  <c r="BX23" i="16"/>
  <c r="BY23" i="16" s="1"/>
  <c r="CH23" i="16" s="1"/>
  <c r="BX19" i="16"/>
  <c r="BY19" i="16" s="1"/>
  <c r="CH19" i="16" s="1"/>
  <c r="BX15" i="16"/>
  <c r="BY15" i="16" s="1"/>
  <c r="CH15" i="16" s="1"/>
  <c r="AZ20" i="16"/>
  <c r="BA20" i="16" s="1"/>
  <c r="BJ20" i="16" s="1"/>
  <c r="AZ12" i="16"/>
  <c r="BA12" i="16" s="1"/>
  <c r="BJ12" i="16" s="1"/>
  <c r="AB20" i="16"/>
  <c r="AC20" i="16" s="1"/>
  <c r="AL20" i="16" s="1"/>
  <c r="AB12" i="16"/>
  <c r="AC12" i="16" s="1"/>
  <c r="AL12" i="16" s="1"/>
  <c r="AB20" i="15"/>
  <c r="AC20" i="15" s="1"/>
  <c r="AL20" i="15" s="1"/>
  <c r="AB12" i="15"/>
  <c r="AC12" i="15" s="1"/>
  <c r="AL12" i="15" s="1"/>
  <c r="AZ20" i="15"/>
  <c r="BA20" i="15" s="1"/>
  <c r="BJ20" i="15" s="1"/>
  <c r="AZ12" i="15"/>
  <c r="BA12" i="15" s="1"/>
  <c r="BJ12" i="15" s="1"/>
  <c r="CV22" i="14"/>
  <c r="CV14" i="14"/>
  <c r="CW14" i="14" s="1"/>
  <c r="DF14" i="14" s="1"/>
  <c r="BX17" i="14"/>
  <c r="BX25" i="14"/>
  <c r="AZ23" i="14"/>
  <c r="AZ15" i="14"/>
  <c r="BA15" i="14" s="1"/>
  <c r="BJ15" i="14" s="1"/>
  <c r="AB15" i="14"/>
  <c r="AC15" i="14" s="1"/>
  <c r="AL15" i="14" s="1"/>
  <c r="AB23" i="14"/>
  <c r="CW19" i="13"/>
  <c r="DF19" i="13" s="1"/>
  <c r="CW27" i="13"/>
  <c r="DF27" i="13" s="1"/>
  <c r="BY17" i="13"/>
  <c r="CH17" i="13" s="1"/>
  <c r="BY25" i="13"/>
  <c r="CH25" i="13" s="1"/>
  <c r="D25" i="16"/>
  <c r="E25" i="16" s="1"/>
  <c r="N25" i="16" s="1"/>
  <c r="D23" i="16"/>
  <c r="E23" i="16" s="1"/>
  <c r="N23" i="16" s="1"/>
  <c r="D21" i="16"/>
  <c r="E21" i="16" s="1"/>
  <c r="N21" i="16" s="1"/>
  <c r="D19" i="16"/>
  <c r="E19" i="16" s="1"/>
  <c r="N19" i="16" s="1"/>
  <c r="D27" i="15"/>
  <c r="E27" i="15" s="1"/>
  <c r="N27" i="15" s="1"/>
  <c r="D25" i="15"/>
  <c r="E25" i="15" s="1"/>
  <c r="N25" i="15" s="1"/>
  <c r="D23" i="15"/>
  <c r="E23" i="15" s="1"/>
  <c r="N23" i="15" s="1"/>
  <c r="D21" i="15"/>
  <c r="E21" i="15" s="1"/>
  <c r="N21" i="15" s="1"/>
  <c r="D19" i="15"/>
  <c r="E19" i="15" s="1"/>
  <c r="N19" i="15" s="1"/>
  <c r="D17" i="15"/>
  <c r="E17" i="15" s="1"/>
  <c r="N17" i="15" s="1"/>
  <c r="D15" i="15"/>
  <c r="E15" i="15" s="1"/>
  <c r="N15" i="15" s="1"/>
  <c r="D26" i="14"/>
  <c r="AZ13" i="16"/>
  <c r="BA13" i="16" s="1"/>
  <c r="BJ13" i="16" s="1"/>
  <c r="AZ21" i="16"/>
  <c r="BA21" i="16" s="1"/>
  <c r="BJ21" i="16" s="1"/>
  <c r="AB13" i="16"/>
  <c r="AC13" i="16" s="1"/>
  <c r="AL13" i="16" s="1"/>
  <c r="AB21" i="16"/>
  <c r="AC21" i="16" s="1"/>
  <c r="AL21" i="16" s="1"/>
  <c r="AB13" i="15"/>
  <c r="AC13" i="15" s="1"/>
  <c r="AL13" i="15" s="1"/>
  <c r="AB21" i="15"/>
  <c r="AC21" i="15" s="1"/>
  <c r="AL21" i="15" s="1"/>
  <c r="AZ13" i="15"/>
  <c r="BA13" i="15" s="1"/>
  <c r="BJ13" i="15" s="1"/>
  <c r="AZ21" i="15"/>
  <c r="BA21" i="15" s="1"/>
  <c r="BJ21" i="15" s="1"/>
  <c r="CV21" i="14"/>
  <c r="CV13" i="14"/>
  <c r="CW13" i="14" s="1"/>
  <c r="DF13" i="14" s="1"/>
  <c r="BX18" i="14"/>
  <c r="BX26" i="14"/>
  <c r="AZ22" i="14"/>
  <c r="AZ14" i="14"/>
  <c r="BA14" i="14" s="1"/>
  <c r="BJ14" i="14" s="1"/>
  <c r="AB16" i="14"/>
  <c r="AC16" i="14" s="1"/>
  <c r="AL16" i="14" s="1"/>
  <c r="AB24" i="14"/>
  <c r="CW20" i="13"/>
  <c r="DF20" i="13" s="1"/>
  <c r="CW12" i="13"/>
  <c r="DF12" i="13" s="1"/>
  <c r="BY18" i="13"/>
  <c r="CH18" i="13" s="1"/>
  <c r="BY26" i="13"/>
  <c r="CH26" i="13" s="1"/>
  <c r="D17" i="16"/>
  <c r="E17" i="16" s="1"/>
  <c r="N17" i="16" s="1"/>
  <c r="D15" i="16"/>
  <c r="E15" i="16" s="1"/>
  <c r="N15" i="16" s="1"/>
  <c r="D12" i="16"/>
  <c r="E12" i="16" s="1"/>
  <c r="N12" i="16" s="1"/>
  <c r="D12" i="15"/>
  <c r="E12" i="15" s="1"/>
  <c r="N12" i="15" s="1"/>
  <c r="CV25" i="16"/>
  <c r="CW25" i="16" s="1"/>
  <c r="DF25" i="16" s="1"/>
  <c r="CV21" i="16"/>
  <c r="CW21" i="16" s="1"/>
  <c r="DF21" i="16" s="1"/>
  <c r="CV17" i="16"/>
  <c r="CW17" i="16" s="1"/>
  <c r="DF17" i="16" s="1"/>
  <c r="CV13" i="16"/>
  <c r="CW13" i="16" s="1"/>
  <c r="DF13" i="16" s="1"/>
  <c r="BX26" i="16"/>
  <c r="BY26" i="16" s="1"/>
  <c r="CH26" i="16" s="1"/>
  <c r="BX22" i="16"/>
  <c r="BY22" i="16" s="1"/>
  <c r="CH22" i="16" s="1"/>
  <c r="BX18" i="16"/>
  <c r="BY18" i="16" s="1"/>
  <c r="CH18" i="16" s="1"/>
  <c r="BX14" i="16"/>
  <c r="BY14" i="16" s="1"/>
  <c r="CH14" i="16" s="1"/>
  <c r="AZ14" i="16"/>
  <c r="BA14" i="16" s="1"/>
  <c r="BJ14" i="16" s="1"/>
  <c r="AZ22" i="16"/>
  <c r="BA22" i="16" s="1"/>
  <c r="BJ22" i="16" s="1"/>
  <c r="AB14" i="16"/>
  <c r="AC14" i="16" s="1"/>
  <c r="AL14" i="16" s="1"/>
  <c r="AB22" i="16"/>
  <c r="AC22" i="16" s="1"/>
  <c r="AL22" i="16" s="1"/>
  <c r="AB14" i="15"/>
  <c r="AC14" i="15" s="1"/>
  <c r="AL14" i="15" s="1"/>
  <c r="AB22" i="15"/>
  <c r="AC22" i="15" s="1"/>
  <c r="AL22" i="15" s="1"/>
  <c r="AZ14" i="15"/>
  <c r="BA14" i="15" s="1"/>
  <c r="BJ14" i="15" s="1"/>
  <c r="AZ22" i="15"/>
  <c r="BA22" i="15" s="1"/>
  <c r="BJ22" i="15" s="1"/>
  <c r="CV27" i="14"/>
  <c r="CV20" i="14"/>
  <c r="BX19" i="14"/>
  <c r="BX27" i="14"/>
  <c r="AZ21" i="14"/>
  <c r="AZ13" i="14"/>
  <c r="BA13" i="14" s="1"/>
  <c r="BJ13" i="14" s="1"/>
  <c r="AB17" i="14"/>
  <c r="AB25" i="14"/>
  <c r="CW13" i="13"/>
  <c r="DF13" i="13" s="1"/>
  <c r="CW21" i="13"/>
  <c r="DF21" i="13" s="1"/>
  <c r="BY19" i="13"/>
  <c r="CH19" i="13" s="1"/>
  <c r="BY27" i="13"/>
  <c r="CH27" i="13" s="1"/>
  <c r="D25" i="14"/>
  <c r="CV24" i="16"/>
  <c r="CW24" i="16" s="1"/>
  <c r="DF24" i="16" s="1"/>
  <c r="CV20" i="16"/>
  <c r="CW20" i="16" s="1"/>
  <c r="DF20" i="16" s="1"/>
  <c r="CV16" i="16"/>
  <c r="CW16" i="16" s="1"/>
  <c r="DF16" i="16" s="1"/>
  <c r="BX25" i="16"/>
  <c r="BY25" i="16" s="1"/>
  <c r="CH25" i="16" s="1"/>
  <c r="BX21" i="16"/>
  <c r="BY21" i="16" s="1"/>
  <c r="CH21" i="16" s="1"/>
  <c r="BX17" i="16"/>
  <c r="BY17" i="16" s="1"/>
  <c r="CH17" i="16" s="1"/>
  <c r="BX13" i="16"/>
  <c r="BY13" i="16" s="1"/>
  <c r="CH13" i="16" s="1"/>
  <c r="AZ16" i="16"/>
  <c r="BA16" i="16" s="1"/>
  <c r="BJ16" i="16" s="1"/>
  <c r="AZ24" i="16"/>
  <c r="BA24" i="16" s="1"/>
  <c r="BJ24" i="16" s="1"/>
  <c r="AB16" i="16"/>
  <c r="AC16" i="16" s="1"/>
  <c r="AL16" i="16" s="1"/>
  <c r="AB24" i="16"/>
  <c r="AC24" i="16" s="1"/>
  <c r="AL24" i="16" s="1"/>
  <c r="AB16" i="15"/>
  <c r="AC16" i="15" s="1"/>
  <c r="AL16" i="15" s="1"/>
  <c r="AB24" i="15"/>
  <c r="AC24" i="15" s="1"/>
  <c r="AL24" i="15" s="1"/>
  <c r="AZ16" i="15"/>
  <c r="BA16" i="15" s="1"/>
  <c r="BJ16" i="15" s="1"/>
  <c r="AZ24" i="15"/>
  <c r="BA24" i="15" s="1"/>
  <c r="BJ24" i="15" s="1"/>
  <c r="CV25" i="14"/>
  <c r="CV18" i="14"/>
  <c r="BX13" i="14"/>
  <c r="BY13" i="14" s="1"/>
  <c r="CH13" i="14" s="1"/>
  <c r="BX21" i="14"/>
  <c r="AZ27" i="14"/>
  <c r="AZ19" i="14"/>
  <c r="AZ12" i="14"/>
  <c r="BA12" i="14" s="1"/>
  <c r="BJ12" i="14" s="1"/>
  <c r="AB19" i="14"/>
  <c r="AB12" i="14"/>
  <c r="AC12" i="14" s="1"/>
  <c r="AL12" i="14" s="1"/>
  <c r="CW15" i="13"/>
  <c r="DF15" i="13" s="1"/>
  <c r="CW23" i="13"/>
  <c r="DF23" i="13" s="1"/>
  <c r="BY13" i="13"/>
  <c r="CH13" i="13" s="1"/>
  <c r="BY21" i="13"/>
  <c r="CH21" i="13" s="1"/>
  <c r="D24" i="16"/>
  <c r="E24" i="16" s="1"/>
  <c r="N24" i="16" s="1"/>
  <c r="D22" i="16"/>
  <c r="E22" i="16" s="1"/>
  <c r="N22" i="16" s="1"/>
  <c r="D20" i="16"/>
  <c r="E20" i="16" s="1"/>
  <c r="N20" i="16" s="1"/>
  <c r="D13" i="16"/>
  <c r="E13" i="16" s="1"/>
  <c r="N13" i="16" s="1"/>
  <c r="D26" i="15"/>
  <c r="E26" i="15" s="1"/>
  <c r="N26" i="15" s="1"/>
  <c r="D24" i="15"/>
  <c r="E24" i="15" s="1"/>
  <c r="N24" i="15" s="1"/>
  <c r="D22" i="15"/>
  <c r="E22" i="15" s="1"/>
  <c r="N22" i="15" s="1"/>
  <c r="D20" i="15"/>
  <c r="E20" i="15" s="1"/>
  <c r="N20" i="15" s="1"/>
  <c r="D18" i="15"/>
  <c r="E18" i="15" s="1"/>
  <c r="N18" i="15" s="1"/>
  <c r="D16" i="15"/>
  <c r="E16" i="15" s="1"/>
  <c r="N16" i="15" s="1"/>
  <c r="D24" i="14"/>
  <c r="D20" i="14"/>
  <c r="AZ25" i="16"/>
  <c r="BA25" i="16" s="1"/>
  <c r="BJ25" i="16" s="1"/>
  <c r="AB25" i="16"/>
  <c r="AC25" i="16" s="1"/>
  <c r="AL25" i="16" s="1"/>
  <c r="AB23" i="15"/>
  <c r="AC23" i="15" s="1"/>
  <c r="AL23" i="15" s="1"/>
  <c r="AZ23" i="15"/>
  <c r="BA23" i="15" s="1"/>
  <c r="BJ23" i="15" s="1"/>
  <c r="CV17" i="14"/>
  <c r="BX20" i="14"/>
  <c r="AZ20" i="14"/>
  <c r="AB18" i="14"/>
  <c r="CW26" i="13"/>
  <c r="DF26" i="13" s="1"/>
  <c r="BY23" i="13"/>
  <c r="CH23" i="13" s="1"/>
  <c r="D13" i="15"/>
  <c r="E13" i="15" s="1"/>
  <c r="N13" i="15" s="1"/>
  <c r="BA14" i="13"/>
  <c r="BJ14" i="13" s="1"/>
  <c r="BA22" i="13"/>
  <c r="BJ22" i="13" s="1"/>
  <c r="AC18" i="13"/>
  <c r="AL18" i="13" s="1"/>
  <c r="AC26" i="13"/>
  <c r="AL26" i="13" s="1"/>
  <c r="CV12" i="16"/>
  <c r="CW12" i="16" s="1"/>
  <c r="DF12" i="16" s="1"/>
  <c r="AB15" i="16"/>
  <c r="AC15" i="16" s="1"/>
  <c r="AL15" i="16" s="1"/>
  <c r="AZ27" i="15"/>
  <c r="BA27" i="15" s="1"/>
  <c r="BJ27" i="15" s="1"/>
  <c r="CV26" i="14"/>
  <c r="AZ16" i="14"/>
  <c r="BA16" i="14" s="1"/>
  <c r="BJ16" i="14" s="1"/>
  <c r="CW17" i="13"/>
  <c r="DF17" i="13" s="1"/>
  <c r="D14" i="16"/>
  <c r="E14" i="16" s="1"/>
  <c r="N14" i="16" s="1"/>
  <c r="D19" i="14"/>
  <c r="E23" i="13"/>
  <c r="N23" i="13" s="1"/>
  <c r="CV19" i="16"/>
  <c r="CW19" i="16" s="1"/>
  <c r="DF19" i="16" s="1"/>
  <c r="BX24" i="16"/>
  <c r="BY24" i="16" s="1"/>
  <c r="CH24" i="16" s="1"/>
  <c r="BX12" i="16"/>
  <c r="BY12" i="16" s="1"/>
  <c r="CH12" i="16" s="1"/>
  <c r="AZ26" i="16"/>
  <c r="BA26" i="16" s="1"/>
  <c r="BJ26" i="16" s="1"/>
  <c r="AB26" i="16"/>
  <c r="AC26" i="16" s="1"/>
  <c r="AL26" i="16" s="1"/>
  <c r="AB25" i="15"/>
  <c r="AC25" i="15" s="1"/>
  <c r="AL25" i="15" s="1"/>
  <c r="AZ25" i="15"/>
  <c r="BA25" i="15" s="1"/>
  <c r="BJ25" i="15" s="1"/>
  <c r="CV16" i="14"/>
  <c r="CW16" i="14" s="1"/>
  <c r="DF16" i="14" s="1"/>
  <c r="BX22" i="14"/>
  <c r="AZ18" i="14"/>
  <c r="AB20" i="14"/>
  <c r="CW14" i="13"/>
  <c r="DF14" i="13" s="1"/>
  <c r="BY24" i="13"/>
  <c r="CH24" i="13" s="1"/>
  <c r="D26" i="16"/>
  <c r="E26" i="16" s="1"/>
  <c r="N26" i="16" s="1"/>
  <c r="D16" i="14"/>
  <c r="E16" i="14" s="1"/>
  <c r="N16" i="14" s="1"/>
  <c r="BA15" i="13"/>
  <c r="BJ15" i="13" s="1"/>
  <c r="BA23" i="13"/>
  <c r="BJ23" i="13" s="1"/>
  <c r="AC19" i="13"/>
  <c r="AL19" i="13" s="1"/>
  <c r="AC12" i="13"/>
  <c r="AL12" i="13" s="1"/>
  <c r="E24" i="13"/>
  <c r="N24" i="13" s="1"/>
  <c r="E20" i="13"/>
  <c r="N20" i="13" s="1"/>
  <c r="E16" i="13"/>
  <c r="N16" i="13" s="1"/>
  <c r="AZ15" i="16"/>
  <c r="BA15" i="16" s="1"/>
  <c r="BJ15" i="16" s="1"/>
  <c r="AB27" i="15"/>
  <c r="AC27" i="15" s="1"/>
  <c r="AL27" i="15" s="1"/>
  <c r="AB22" i="14"/>
  <c r="BY14" i="13"/>
  <c r="CH14" i="13" s="1"/>
  <c r="D16" i="16"/>
  <c r="E16" i="16" s="1"/>
  <c r="N16" i="16" s="1"/>
  <c r="D23" i="14"/>
  <c r="BA17" i="13"/>
  <c r="BJ17" i="13" s="1"/>
  <c r="AC13" i="13"/>
  <c r="AL13" i="13" s="1"/>
  <c r="E19" i="13"/>
  <c r="N19" i="13" s="1"/>
  <c r="AZ27" i="16"/>
  <c r="BA27" i="16" s="1"/>
  <c r="BJ27" i="16" s="1"/>
  <c r="AB27" i="16"/>
  <c r="AC27" i="16" s="1"/>
  <c r="AL27" i="16" s="1"/>
  <c r="AB26" i="15"/>
  <c r="AC26" i="15" s="1"/>
  <c r="AL26" i="15" s="1"/>
  <c r="AZ26" i="15"/>
  <c r="BA26" i="15" s="1"/>
  <c r="BJ26" i="15" s="1"/>
  <c r="CV15" i="14"/>
  <c r="CW15" i="14" s="1"/>
  <c r="DF15" i="14" s="1"/>
  <c r="BX23" i="14"/>
  <c r="AZ17" i="14"/>
  <c r="AB21" i="14"/>
  <c r="CW16" i="13"/>
  <c r="DF16" i="13" s="1"/>
  <c r="BY12" i="13"/>
  <c r="CH12" i="13" s="1"/>
  <c r="D14" i="15"/>
  <c r="E14" i="15" s="1"/>
  <c r="N14" i="15" s="1"/>
  <c r="D13" i="14"/>
  <c r="E13" i="14" s="1"/>
  <c r="N13" i="14" s="1"/>
  <c r="BA16" i="13"/>
  <c r="BJ16" i="13" s="1"/>
  <c r="BA24" i="13"/>
  <c r="BJ24" i="13" s="1"/>
  <c r="AC27" i="13"/>
  <c r="AL27" i="13" s="1"/>
  <c r="AC20" i="13"/>
  <c r="AL20" i="13" s="1"/>
  <c r="E12" i="13"/>
  <c r="N12" i="13" s="1"/>
  <c r="BX16" i="16"/>
  <c r="BY16" i="16" s="1"/>
  <c r="CH16" i="16" s="1"/>
  <c r="BX24" i="14"/>
  <c r="BA25" i="13"/>
  <c r="BJ25" i="13" s="1"/>
  <c r="AC21" i="13"/>
  <c r="AL21" i="13" s="1"/>
  <c r="E27" i="13"/>
  <c r="N27" i="13" s="1"/>
  <c r="E15" i="13"/>
  <c r="N15" i="13" s="1"/>
  <c r="AZ18" i="16"/>
  <c r="BA18" i="16" s="1"/>
  <c r="BJ18" i="16" s="1"/>
  <c r="AB18" i="16"/>
  <c r="AC18" i="16" s="1"/>
  <c r="AL18" i="16" s="1"/>
  <c r="AB17" i="15"/>
  <c r="AC17" i="15" s="1"/>
  <c r="AL17" i="15" s="1"/>
  <c r="AZ17" i="15"/>
  <c r="BA17" i="15" s="1"/>
  <c r="BJ17" i="15" s="1"/>
  <c r="BX14" i="14"/>
  <c r="BY14" i="14" s="1"/>
  <c r="CH14" i="14" s="1"/>
  <c r="AZ26" i="14"/>
  <c r="AB27" i="14"/>
  <c r="CW22" i="13"/>
  <c r="DF22" i="13" s="1"/>
  <c r="BY16" i="13"/>
  <c r="CH16" i="13" s="1"/>
  <c r="D27" i="16"/>
  <c r="E27" i="16" s="1"/>
  <c r="N27" i="16" s="1"/>
  <c r="D22" i="14"/>
  <c r="D18" i="14"/>
  <c r="D12" i="14"/>
  <c r="E12" i="14" s="1"/>
  <c r="N12" i="14" s="1"/>
  <c r="BA19" i="13"/>
  <c r="BJ19" i="13" s="1"/>
  <c r="BA27" i="13"/>
  <c r="BJ27" i="13" s="1"/>
  <c r="AC15" i="13"/>
  <c r="AL15" i="13" s="1"/>
  <c r="AC23" i="13"/>
  <c r="AL23" i="13" s="1"/>
  <c r="E26" i="13"/>
  <c r="N26" i="13" s="1"/>
  <c r="E22" i="13"/>
  <c r="N22" i="13" s="1"/>
  <c r="E18" i="13"/>
  <c r="N18" i="13" s="1"/>
  <c r="E14" i="13"/>
  <c r="N14" i="13" s="1"/>
  <c r="CV15" i="16"/>
  <c r="CW15" i="16" s="1"/>
  <c r="DF15" i="16" s="1"/>
  <c r="BX20" i="16"/>
  <c r="BY20" i="16" s="1"/>
  <c r="CH20" i="16" s="1"/>
  <c r="AZ19" i="16"/>
  <c r="BA19" i="16" s="1"/>
  <c r="BJ19" i="16" s="1"/>
  <c r="AB19" i="16"/>
  <c r="AC19" i="16" s="1"/>
  <c r="AL19" i="16" s="1"/>
  <c r="AB18" i="15"/>
  <c r="AC18" i="15" s="1"/>
  <c r="AL18" i="15" s="1"/>
  <c r="AZ18" i="15"/>
  <c r="BA18" i="15" s="1"/>
  <c r="BJ18" i="15" s="1"/>
  <c r="CV23" i="14"/>
  <c r="BX15" i="14"/>
  <c r="BY15" i="14" s="1"/>
  <c r="CH15" i="14" s="1"/>
  <c r="AZ25" i="14"/>
  <c r="AB13" i="14"/>
  <c r="AC13" i="14" s="1"/>
  <c r="AL13" i="14" s="1"/>
  <c r="CW24" i="13"/>
  <c r="DF24" i="13" s="1"/>
  <c r="BY20" i="13"/>
  <c r="CH20" i="13" s="1"/>
  <c r="CV12" i="14"/>
  <c r="CW12" i="14" s="1"/>
  <c r="DF12" i="14" s="1"/>
  <c r="CW18" i="13"/>
  <c r="DF18" i="13" s="1"/>
  <c r="D17" i="14"/>
  <c r="BA21" i="13"/>
  <c r="BJ21" i="13" s="1"/>
  <c r="AC22" i="13"/>
  <c r="AL22" i="13" s="1"/>
  <c r="AZ24" i="14"/>
  <c r="AC14" i="13"/>
  <c r="AL14" i="13" s="1"/>
  <c r="CV19" i="14"/>
  <c r="BA18" i="13"/>
  <c r="BJ18" i="13" s="1"/>
  <c r="BA20" i="13"/>
  <c r="BJ20" i="13" s="1"/>
  <c r="BX16" i="14"/>
  <c r="BY16" i="14" s="1"/>
  <c r="CH16" i="14" s="1"/>
  <c r="CW25" i="13"/>
  <c r="DF25" i="13" s="1"/>
  <c r="BA26" i="13"/>
  <c r="BJ26" i="13" s="1"/>
  <c r="AC24" i="13"/>
  <c r="AL24" i="13" s="1"/>
  <c r="E21" i="13"/>
  <c r="N21" i="13" s="1"/>
  <c r="AB19" i="15"/>
  <c r="AC19" i="15" s="1"/>
  <c r="AL19" i="15" s="1"/>
  <c r="E13" i="13"/>
  <c r="N13" i="13" s="1"/>
  <c r="BA13" i="13"/>
  <c r="BJ13" i="13" s="1"/>
  <c r="CV27" i="16"/>
  <c r="CW27" i="16" s="1"/>
  <c r="DF27" i="16" s="1"/>
  <c r="AB15" i="15"/>
  <c r="AC15" i="15" s="1"/>
  <c r="AL15" i="15" s="1"/>
  <c r="BX12" i="14"/>
  <c r="BY12" i="14" s="1"/>
  <c r="CH12" i="14" s="1"/>
  <c r="D21" i="14"/>
  <c r="BA12" i="13"/>
  <c r="BJ12" i="13" s="1"/>
  <c r="AC25" i="13"/>
  <c r="AL25" i="13" s="1"/>
  <c r="CV23" i="16"/>
  <c r="CW23" i="16" s="1"/>
  <c r="DF23" i="16" s="1"/>
  <c r="AZ17" i="16"/>
  <c r="BA17" i="16" s="1"/>
  <c r="BJ17" i="16" s="1"/>
  <c r="BY15" i="13"/>
  <c r="CH15" i="13" s="1"/>
  <c r="D27" i="14"/>
  <c r="E17" i="13"/>
  <c r="N17" i="13" s="1"/>
  <c r="AC17" i="13"/>
  <c r="AL17" i="13" s="1"/>
  <c r="AZ23" i="16"/>
  <c r="BA23" i="16" s="1"/>
  <c r="BJ23" i="16" s="1"/>
  <c r="AZ15" i="15"/>
  <c r="BA15" i="15" s="1"/>
  <c r="BJ15" i="15" s="1"/>
  <c r="BY22" i="13"/>
  <c r="CH22" i="13" s="1"/>
  <c r="D15" i="14"/>
  <c r="E15" i="14" s="1"/>
  <c r="N15" i="14" s="1"/>
  <c r="E25" i="13"/>
  <c r="N25" i="13" s="1"/>
  <c r="AB17" i="16"/>
  <c r="AC17" i="16" s="1"/>
  <c r="AL17" i="16" s="1"/>
  <c r="AZ19" i="15"/>
  <c r="BA19" i="15" s="1"/>
  <c r="BJ19" i="15" s="1"/>
  <c r="CV24" i="14"/>
  <c r="AB14" i="14"/>
  <c r="AC14" i="14" s="1"/>
  <c r="AL14" i="14" s="1"/>
  <c r="D18" i="16"/>
  <c r="E18" i="16" s="1"/>
  <c r="N18" i="16" s="1"/>
  <c r="AB23" i="16"/>
  <c r="AC23" i="16" s="1"/>
  <c r="AL23" i="16" s="1"/>
  <c r="AB26" i="14"/>
  <c r="D14" i="14"/>
  <c r="E14" i="14" s="1"/>
  <c r="N14" i="14" s="1"/>
  <c r="AC16" i="13"/>
  <c r="AL16" i="13" s="1"/>
  <c r="E67" i="10"/>
  <c r="F67" i="10" s="1"/>
  <c r="Z67" i="10" s="1"/>
  <c r="E75" i="10"/>
  <c r="F75" i="10" s="1"/>
  <c r="Z75" i="10" s="1"/>
  <c r="E70" i="10"/>
  <c r="F70" i="10" s="1"/>
  <c r="Z70" i="10" s="1"/>
  <c r="E71" i="10"/>
  <c r="F71" i="10" s="1"/>
  <c r="Z71" i="10" s="1"/>
  <c r="E66" i="10"/>
  <c r="F66" i="10" s="1"/>
  <c r="Z66" i="10" s="1"/>
  <c r="E68" i="10"/>
  <c r="F68" i="10" s="1"/>
  <c r="Z68" i="10" s="1"/>
  <c r="E76" i="10"/>
  <c r="F76" i="10" s="1"/>
  <c r="Z76" i="10" s="1"/>
  <c r="E79" i="10"/>
  <c r="F79" i="10" s="1"/>
  <c r="Z79" i="10" s="1"/>
  <c r="E69" i="10"/>
  <c r="F69" i="10" s="1"/>
  <c r="Z69" i="10" s="1"/>
  <c r="E77" i="10"/>
  <c r="F77" i="10" s="1"/>
  <c r="Z77" i="10" s="1"/>
  <c r="E78" i="10"/>
  <c r="F78" i="10" s="1"/>
  <c r="Z78" i="10" s="1"/>
  <c r="E72" i="10"/>
  <c r="F72" i="10" s="1"/>
  <c r="Z72" i="10" s="1"/>
  <c r="E80" i="10"/>
  <c r="F80" i="10" s="1"/>
  <c r="Z80" i="10" s="1"/>
  <c r="E73" i="10"/>
  <c r="F73" i="10" s="1"/>
  <c r="Z73" i="10" s="1"/>
  <c r="E74" i="10"/>
  <c r="F74" i="10" s="1"/>
  <c r="Z74" i="10" s="1"/>
  <c r="N36" i="7"/>
  <c r="M9" i="7" s="1"/>
  <c r="S36" i="7"/>
  <c r="R9" i="7" s="1"/>
  <c r="R11" i="7" s="1"/>
  <c r="I36" i="7"/>
  <c r="H9" i="7" s="1"/>
  <c r="H11" i="7" s="1"/>
  <c r="X36" i="7"/>
  <c r="W9" i="7" s="1"/>
  <c r="W11" i="7" s="1"/>
  <c r="BJ113" i="13" l="1"/>
  <c r="BO113" i="13" s="1"/>
  <c r="BO114" i="13" s="1"/>
  <c r="AJ115" i="13"/>
  <c r="AO115" i="13" s="1"/>
  <c r="AL115" i="13"/>
  <c r="Z13" i="10"/>
  <c r="AL128" i="13"/>
  <c r="AJ119" i="13"/>
  <c r="AO119" i="13" s="1"/>
  <c r="AL119" i="13"/>
  <c r="AJ117" i="13"/>
  <c r="AO117" i="13" s="1"/>
  <c r="AL117" i="13"/>
  <c r="AJ116" i="13"/>
  <c r="AO116" i="13" s="1"/>
  <c r="AL116" i="13"/>
  <c r="AJ114" i="13"/>
  <c r="AO114" i="13" s="1"/>
  <c r="AQ113" i="13"/>
  <c r="DD96" i="13"/>
  <c r="DI96" i="13" s="1"/>
  <c r="DD93" i="13"/>
  <c r="DI93" i="13" s="1"/>
  <c r="DD92" i="13"/>
  <c r="DI92" i="13" s="1"/>
  <c r="DD90" i="13"/>
  <c r="DI90" i="13" s="1"/>
  <c r="DD95" i="13"/>
  <c r="DI95" i="13" s="1"/>
  <c r="DD89" i="13"/>
  <c r="DI89" i="13" s="1"/>
  <c r="L18" i="13"/>
  <c r="Q18" i="13" s="1"/>
  <c r="L15" i="13"/>
  <c r="Q15" i="13" s="1"/>
  <c r="L16" i="13"/>
  <c r="Q16" i="13" s="1"/>
  <c r="L17" i="13"/>
  <c r="Q17" i="13" s="1"/>
  <c r="L13" i="13"/>
  <c r="Q13" i="13" s="1"/>
  <c r="S12" i="13"/>
  <c r="L20" i="13"/>
  <c r="Q20" i="13" s="1"/>
  <c r="L14" i="13"/>
  <c r="Q14" i="13" s="1"/>
  <c r="L19" i="13"/>
  <c r="Q19" i="13" s="1"/>
  <c r="Z20" i="10"/>
  <c r="AC20" i="10" s="1"/>
  <c r="AD20" i="10" s="1"/>
  <c r="X20" i="10"/>
  <c r="Z23" i="10"/>
  <c r="AC23" i="10" s="1"/>
  <c r="X23" i="10"/>
  <c r="Z27" i="10"/>
  <c r="AC27" i="10" s="1"/>
  <c r="AD27" i="10" s="1"/>
  <c r="X27" i="10"/>
  <c r="Z21" i="10"/>
  <c r="AC21" i="10" s="1"/>
  <c r="X21" i="10"/>
  <c r="Z18" i="10"/>
  <c r="AC18" i="10" s="1"/>
  <c r="X18" i="10"/>
  <c r="Z15" i="10"/>
  <c r="AC15" i="10" s="1"/>
  <c r="AD15" i="10" s="1"/>
  <c r="X15" i="10"/>
  <c r="Z17" i="10"/>
  <c r="AC17" i="10" s="1"/>
  <c r="X17" i="10"/>
  <c r="Z14" i="10"/>
  <c r="AC14" i="10" s="1"/>
  <c r="X14" i="10"/>
  <c r="Z24" i="10"/>
  <c r="AC24" i="10" s="1"/>
  <c r="X24" i="10"/>
  <c r="AE13" i="10"/>
  <c r="AE14" i="10" s="1"/>
  <c r="AE15" i="10" s="1"/>
  <c r="Z26" i="10"/>
  <c r="AC26" i="10" s="1"/>
  <c r="AD26" i="10" s="1"/>
  <c r="X26" i="10"/>
  <c r="CM12" i="13"/>
  <c r="CM13" i="13" s="1"/>
  <c r="CM14" i="13" s="1"/>
  <c r="CM15" i="13" s="1"/>
  <c r="CM16" i="13" s="1"/>
  <c r="CM17" i="13" s="1"/>
  <c r="CM18" i="13" s="1"/>
  <c r="CM19" i="13" s="1"/>
  <c r="CM20" i="13" s="1"/>
  <c r="CM21" i="13" s="1"/>
  <c r="CM22" i="13" s="1"/>
  <c r="CM23" i="13" s="1"/>
  <c r="CM24" i="13" s="1"/>
  <c r="CM25" i="13" s="1"/>
  <c r="CM26" i="13" s="1"/>
  <c r="CM27" i="13" s="1"/>
  <c r="L160" i="13" s="1"/>
  <c r="DK12" i="13"/>
  <c r="DK13" i="13" s="1"/>
  <c r="DK14" i="13" s="1"/>
  <c r="DK15" i="13" s="1"/>
  <c r="DK16" i="13" s="1"/>
  <c r="DK17" i="13" s="1"/>
  <c r="DK18" i="13" s="1"/>
  <c r="DK19" i="13" s="1"/>
  <c r="DK20" i="13" s="1"/>
  <c r="DK21" i="13" s="1"/>
  <c r="DK22" i="13" s="1"/>
  <c r="DK23" i="13" s="1"/>
  <c r="DK24" i="13" s="1"/>
  <c r="DK25" i="13" s="1"/>
  <c r="DK26" i="13" s="1"/>
  <c r="DK27" i="13" s="1"/>
  <c r="M160" i="13" s="1"/>
  <c r="AQ12" i="15"/>
  <c r="AQ13" i="15" s="1"/>
  <c r="AQ14" i="15" s="1"/>
  <c r="AQ15" i="15" s="1"/>
  <c r="AQ16" i="15" s="1"/>
  <c r="AQ17" i="15" s="1"/>
  <c r="AQ18" i="15" s="1"/>
  <c r="AQ19" i="15" s="1"/>
  <c r="AQ20" i="15" s="1"/>
  <c r="AQ21" i="15" s="1"/>
  <c r="AQ22" i="15" s="1"/>
  <c r="AQ23" i="15" s="1"/>
  <c r="AQ24" i="15" s="1"/>
  <c r="AQ25" i="15" s="1"/>
  <c r="AQ26" i="15" s="1"/>
  <c r="AQ27" i="15" s="1"/>
  <c r="J160" i="15" s="1"/>
  <c r="BO12" i="16"/>
  <c r="BO13" i="16" s="1"/>
  <c r="BO14" i="16" s="1"/>
  <c r="BO15" i="16" s="1"/>
  <c r="BO16" i="16" s="1"/>
  <c r="BO17" i="16" s="1"/>
  <c r="BO18" i="16" s="1"/>
  <c r="BO19" i="16" s="1"/>
  <c r="BO20" i="16" s="1"/>
  <c r="BO21" i="16" s="1"/>
  <c r="BO22" i="16" s="1"/>
  <c r="BO23" i="16" s="1"/>
  <c r="BO24" i="16" s="1"/>
  <c r="BO25" i="16" s="1"/>
  <c r="BO26" i="16" s="1"/>
  <c r="BO27" i="16" s="1"/>
  <c r="J160" i="16" s="1"/>
  <c r="CM12" i="15"/>
  <c r="CM13" i="15" s="1"/>
  <c r="CM14" i="15" s="1"/>
  <c r="CM15" i="15" s="1"/>
  <c r="CM16" i="15" s="1"/>
  <c r="CM17" i="15" s="1"/>
  <c r="CM18" i="15" s="1"/>
  <c r="CM19" i="15" s="1"/>
  <c r="CM20" i="15" s="1"/>
  <c r="CM21" i="15" s="1"/>
  <c r="CM22" i="15" s="1"/>
  <c r="CM23" i="15" s="1"/>
  <c r="CM24" i="15" s="1"/>
  <c r="CM25" i="15" s="1"/>
  <c r="CM26" i="15" s="1"/>
  <c r="CM27" i="15" s="1"/>
  <c r="L160" i="15" s="1"/>
  <c r="BO12" i="13"/>
  <c r="BO13" i="13" s="1"/>
  <c r="BO14" i="13" s="1"/>
  <c r="BO15" i="13" s="1"/>
  <c r="BO16" i="13" s="1"/>
  <c r="BO17" i="13" s="1"/>
  <c r="BO18" i="13" s="1"/>
  <c r="BO19" i="13" s="1"/>
  <c r="BO20" i="13" s="1"/>
  <c r="BO21" i="13" s="1"/>
  <c r="BO22" i="13" s="1"/>
  <c r="BO23" i="13" s="1"/>
  <c r="BO24" i="13" s="1"/>
  <c r="BO25" i="13" s="1"/>
  <c r="BO26" i="13" s="1"/>
  <c r="BO27" i="13" s="1"/>
  <c r="K160" i="13" s="1"/>
  <c r="S12" i="16"/>
  <c r="S13" i="16" s="1"/>
  <c r="S14" i="16" s="1"/>
  <c r="S15" i="16" s="1"/>
  <c r="S16" i="16" s="1"/>
  <c r="S17" i="16" s="1"/>
  <c r="S18" i="16" s="1"/>
  <c r="S19" i="16" s="1"/>
  <c r="S20" i="16" s="1"/>
  <c r="S21" i="16" s="1"/>
  <c r="S22" i="16" s="1"/>
  <c r="S23" i="16" s="1"/>
  <c r="S24" i="16" s="1"/>
  <c r="S25" i="16" s="1"/>
  <c r="S26" i="16" s="1"/>
  <c r="S27" i="16" s="1"/>
  <c r="H160" i="16" s="1"/>
  <c r="CM12" i="14"/>
  <c r="CM13" i="14" s="1"/>
  <c r="CM14" i="14" s="1"/>
  <c r="CM15" i="14" s="1"/>
  <c r="CM16" i="14" s="1"/>
  <c r="DK12" i="14"/>
  <c r="DK13" i="14" s="1"/>
  <c r="DK14" i="14" s="1"/>
  <c r="DK15" i="14" s="1"/>
  <c r="DK16" i="14" s="1"/>
  <c r="DK12" i="16"/>
  <c r="DK13" i="16" s="1"/>
  <c r="DK14" i="16" s="1"/>
  <c r="DK15" i="16" s="1"/>
  <c r="DK16" i="16" s="1"/>
  <c r="DK17" i="16" s="1"/>
  <c r="DK18" i="16" s="1"/>
  <c r="DK19" i="16" s="1"/>
  <c r="DK20" i="16" s="1"/>
  <c r="DK21" i="16" s="1"/>
  <c r="DK22" i="16" s="1"/>
  <c r="DK23" i="16" s="1"/>
  <c r="DK24" i="16" s="1"/>
  <c r="DK25" i="16" s="1"/>
  <c r="DK26" i="16" s="1"/>
  <c r="DK27" i="16" s="1"/>
  <c r="L160" i="16" s="1"/>
  <c r="AQ12" i="14"/>
  <c r="AQ13" i="14" s="1"/>
  <c r="AQ14" i="14" s="1"/>
  <c r="AQ15" i="14" s="1"/>
  <c r="AQ16" i="14" s="1"/>
  <c r="DK12" i="15"/>
  <c r="DK13" i="15" s="1"/>
  <c r="DK14" i="15" s="1"/>
  <c r="DK15" i="15" s="1"/>
  <c r="DK16" i="15" s="1"/>
  <c r="DK17" i="15" s="1"/>
  <c r="DK18" i="15" s="1"/>
  <c r="DK19" i="15" s="1"/>
  <c r="DK20" i="15" s="1"/>
  <c r="DK21" i="15" s="1"/>
  <c r="DK22" i="15" s="1"/>
  <c r="DK23" i="15" s="1"/>
  <c r="DK24" i="15" s="1"/>
  <c r="DK25" i="15" s="1"/>
  <c r="DK26" i="15" s="1"/>
  <c r="DK27" i="15" s="1"/>
  <c r="M160" i="15" s="1"/>
  <c r="BO12" i="14"/>
  <c r="BO13" i="14" s="1"/>
  <c r="BO14" i="14" s="1"/>
  <c r="BO15" i="14" s="1"/>
  <c r="BO16" i="14" s="1"/>
  <c r="S12" i="14"/>
  <c r="AQ12" i="13"/>
  <c r="AQ13" i="13" s="1"/>
  <c r="AQ14" i="13" s="1"/>
  <c r="AQ15" i="13" s="1"/>
  <c r="AQ16" i="13" s="1"/>
  <c r="AQ17" i="13" s="1"/>
  <c r="AQ18" i="13" s="1"/>
  <c r="AQ19" i="13" s="1"/>
  <c r="AQ20" i="13" s="1"/>
  <c r="AQ21" i="13" s="1"/>
  <c r="AQ22" i="13" s="1"/>
  <c r="AQ23" i="13" s="1"/>
  <c r="AQ24" i="13" s="1"/>
  <c r="AQ25" i="13" s="1"/>
  <c r="AQ26" i="13" s="1"/>
  <c r="AQ27" i="13" s="1"/>
  <c r="J160" i="13" s="1"/>
  <c r="CM12" i="16"/>
  <c r="CM13" i="16" s="1"/>
  <c r="CM14" i="16" s="1"/>
  <c r="CM15" i="16" s="1"/>
  <c r="CM16" i="16" s="1"/>
  <c r="CM17" i="16" s="1"/>
  <c r="CM18" i="16" s="1"/>
  <c r="CM19" i="16" s="1"/>
  <c r="CM20" i="16" s="1"/>
  <c r="CM21" i="16" s="1"/>
  <c r="CM22" i="16" s="1"/>
  <c r="CM23" i="16" s="1"/>
  <c r="CM24" i="16" s="1"/>
  <c r="CM25" i="16" s="1"/>
  <c r="CM26" i="16" s="1"/>
  <c r="CM27" i="16" s="1"/>
  <c r="K160" i="16" s="1"/>
  <c r="S12" i="15"/>
  <c r="S13" i="15" s="1"/>
  <c r="S14" i="15" s="1"/>
  <c r="S15" i="15" s="1"/>
  <c r="S16" i="15" s="1"/>
  <c r="S17" i="15" s="1"/>
  <c r="S18" i="15" s="1"/>
  <c r="S19" i="15" s="1"/>
  <c r="S20" i="15" s="1"/>
  <c r="S21" i="15" s="1"/>
  <c r="S22" i="15" s="1"/>
  <c r="S23" i="15" s="1"/>
  <c r="S24" i="15" s="1"/>
  <c r="S25" i="15" s="1"/>
  <c r="S26" i="15" s="1"/>
  <c r="S27" i="15" s="1"/>
  <c r="I160" i="15" s="1"/>
  <c r="BO12" i="15"/>
  <c r="BO13" i="15" s="1"/>
  <c r="BO14" i="15" s="1"/>
  <c r="BO15" i="15" s="1"/>
  <c r="BO16" i="15" s="1"/>
  <c r="BO17" i="15" s="1"/>
  <c r="BO18" i="15" s="1"/>
  <c r="BO19" i="15" s="1"/>
  <c r="BO20" i="15" s="1"/>
  <c r="BO21" i="15" s="1"/>
  <c r="BO22" i="15" s="1"/>
  <c r="BO23" i="15" s="1"/>
  <c r="BO24" i="15" s="1"/>
  <c r="BO25" i="15" s="1"/>
  <c r="BO26" i="15" s="1"/>
  <c r="BO27" i="15" s="1"/>
  <c r="K160" i="15" s="1"/>
  <c r="AQ12" i="16"/>
  <c r="AQ13" i="16" s="1"/>
  <c r="AQ14" i="16" s="1"/>
  <c r="AQ15" i="16" s="1"/>
  <c r="AQ16" i="16" s="1"/>
  <c r="AQ17" i="16" s="1"/>
  <c r="AQ18" i="16" s="1"/>
  <c r="AQ19" i="16" s="1"/>
  <c r="AQ20" i="16" s="1"/>
  <c r="AQ21" i="16" s="1"/>
  <c r="AQ22" i="16" s="1"/>
  <c r="AQ23" i="16" s="1"/>
  <c r="AQ24" i="16" s="1"/>
  <c r="AQ25" i="16" s="1"/>
  <c r="AQ26" i="16" s="1"/>
  <c r="AQ27" i="16" s="1"/>
  <c r="I160" i="16" s="1"/>
  <c r="E18" i="14"/>
  <c r="N18" i="14" s="1"/>
  <c r="E17" i="14"/>
  <c r="N17" i="14" s="1"/>
  <c r="E20" i="14"/>
  <c r="N20" i="14" s="1"/>
  <c r="E19" i="14"/>
  <c r="N19" i="14" s="1"/>
  <c r="M11" i="7"/>
  <c r="DK88" i="14"/>
  <c r="S113" i="15"/>
  <c r="CM113" i="16"/>
  <c r="CM114" i="16" s="1"/>
  <c r="AQ88" i="14"/>
  <c r="S88" i="15"/>
  <c r="DK88" i="15"/>
  <c r="CM88" i="16"/>
  <c r="AQ113" i="15"/>
  <c r="S113" i="16"/>
  <c r="DK113" i="16"/>
  <c r="S113" i="13"/>
  <c r="CM113" i="13"/>
  <c r="DK113" i="13"/>
  <c r="S113" i="14"/>
  <c r="AQ113" i="14"/>
  <c r="BO113" i="14"/>
  <c r="CM113" i="14"/>
  <c r="DK113" i="14"/>
  <c r="CM88" i="15"/>
  <c r="BO88" i="14"/>
  <c r="AQ88" i="15"/>
  <c r="S88" i="16"/>
  <c r="DK88" i="16"/>
  <c r="AQ88" i="13"/>
  <c r="DK88" i="13"/>
  <c r="BO113" i="15"/>
  <c r="AQ113" i="16"/>
  <c r="AQ114" i="16" s="1"/>
  <c r="AQ115" i="16" s="1"/>
  <c r="AQ116" i="16" s="1"/>
  <c r="S88" i="14"/>
  <c r="BO88" i="16"/>
  <c r="CM88" i="13"/>
  <c r="DK113" i="15"/>
  <c r="AC53" i="13"/>
  <c r="AL53" i="13" s="1"/>
  <c r="AC49" i="13"/>
  <c r="AL49" i="13" s="1"/>
  <c r="AC45" i="13"/>
  <c r="AL45" i="13" s="1"/>
  <c r="AC41" i="13"/>
  <c r="AL41" i="13" s="1"/>
  <c r="AC51" i="13"/>
  <c r="AL51" i="13" s="1"/>
  <c r="AC47" i="13"/>
  <c r="AL47" i="13" s="1"/>
  <c r="AC43" i="13"/>
  <c r="AL43" i="13" s="1"/>
  <c r="AC39" i="13"/>
  <c r="AL39" i="13" s="1"/>
  <c r="AC48" i="13"/>
  <c r="AL48" i="13" s="1"/>
  <c r="AC40" i="13"/>
  <c r="AL40" i="13" s="1"/>
  <c r="AC52" i="13"/>
  <c r="AL52" i="13" s="1"/>
  <c r="AC44" i="13"/>
  <c r="AL44" i="13" s="1"/>
  <c r="AC38" i="13"/>
  <c r="AL38" i="13" s="1"/>
  <c r="AC42" i="13"/>
  <c r="AL42" i="13" s="1"/>
  <c r="AC50" i="13"/>
  <c r="AL50" i="13" s="1"/>
  <c r="CM88" i="14"/>
  <c r="BO88" i="15"/>
  <c r="AQ88" i="16"/>
  <c r="BO88" i="13"/>
  <c r="CM113" i="15"/>
  <c r="BO113" i="16"/>
  <c r="AC46" i="13"/>
  <c r="AL46" i="13" s="1"/>
  <c r="AE66" i="10"/>
  <c r="AE67" i="10" s="1"/>
  <c r="AE68" i="10" s="1"/>
  <c r="AE69" i="10" s="1"/>
  <c r="AE70" i="10" s="1"/>
  <c r="AE71" i="10" s="1"/>
  <c r="AE72" i="10" s="1"/>
  <c r="AE73" i="10" s="1"/>
  <c r="AE74" i="10" s="1"/>
  <c r="AE75" i="10" s="1"/>
  <c r="AE76" i="10" s="1"/>
  <c r="AE77" i="10" s="1"/>
  <c r="AE78" i="10" s="1"/>
  <c r="AE79" i="10" s="1"/>
  <c r="AE80" i="10" s="1"/>
  <c r="W11" i="8"/>
  <c r="AB42" i="16"/>
  <c r="AC42" i="16" s="1"/>
  <c r="AL42" i="16" s="1"/>
  <c r="AB50" i="16"/>
  <c r="AC50" i="16" s="1"/>
  <c r="AL50" i="16" s="1"/>
  <c r="CV38" i="15"/>
  <c r="CW38" i="15" s="1"/>
  <c r="DF38" i="15" s="1"/>
  <c r="BX38" i="15"/>
  <c r="BY38" i="15" s="1"/>
  <c r="CH38" i="15" s="1"/>
  <c r="AZ38" i="15"/>
  <c r="BA38" i="15" s="1"/>
  <c r="BJ38" i="15" s="1"/>
  <c r="AB46" i="15"/>
  <c r="AC46" i="15" s="1"/>
  <c r="AL46" i="15" s="1"/>
  <c r="AB38" i="15"/>
  <c r="AC38" i="15" s="1"/>
  <c r="AL38" i="15" s="1"/>
  <c r="CV53" i="14"/>
  <c r="CW53" i="14" s="1"/>
  <c r="DF53" i="14" s="1"/>
  <c r="CV47" i="14"/>
  <c r="CW47" i="14" s="1"/>
  <c r="DF47" i="14" s="1"/>
  <c r="CV40" i="14"/>
  <c r="CW40" i="14" s="1"/>
  <c r="DF40" i="14" s="1"/>
  <c r="AZ44" i="14"/>
  <c r="BA44" i="14" s="1"/>
  <c r="BJ44" i="14" s="1"/>
  <c r="AZ52" i="14"/>
  <c r="BA52" i="14" s="1"/>
  <c r="BJ52" i="14" s="1"/>
  <c r="AB46" i="14"/>
  <c r="AC46" i="14" s="1"/>
  <c r="AL46" i="14" s="1"/>
  <c r="AB38" i="14"/>
  <c r="AC38" i="14" s="1"/>
  <c r="AL38" i="14" s="1"/>
  <c r="BX46" i="14"/>
  <c r="BY46" i="14" s="1"/>
  <c r="CH46" i="14" s="1"/>
  <c r="CW39" i="13"/>
  <c r="DF39" i="13" s="1"/>
  <c r="CW47" i="13"/>
  <c r="DF47" i="13" s="1"/>
  <c r="BY39" i="13"/>
  <c r="CH39" i="13" s="1"/>
  <c r="BY47" i="13"/>
  <c r="CH47" i="13" s="1"/>
  <c r="BA46" i="13"/>
  <c r="BJ46" i="13" s="1"/>
  <c r="BA38" i="13"/>
  <c r="BJ38" i="13" s="1"/>
  <c r="D47" i="16"/>
  <c r="E47" i="16" s="1"/>
  <c r="N47" i="16" s="1"/>
  <c r="D49" i="15"/>
  <c r="E49" i="15" s="1"/>
  <c r="N49" i="15" s="1"/>
  <c r="D51" i="14"/>
  <c r="E51" i="14" s="1"/>
  <c r="N51" i="14" s="1"/>
  <c r="D47" i="14"/>
  <c r="E47" i="14" s="1"/>
  <c r="N47" i="14" s="1"/>
  <c r="D43" i="14"/>
  <c r="E43" i="14" s="1"/>
  <c r="N43" i="14" s="1"/>
  <c r="CV51" i="16"/>
  <c r="CW51" i="16" s="1"/>
  <c r="DF51" i="16" s="1"/>
  <c r="CV47" i="16"/>
  <c r="CW47" i="16" s="1"/>
  <c r="DF47" i="16" s="1"/>
  <c r="CV43" i="16"/>
  <c r="CW43" i="16" s="1"/>
  <c r="DF43" i="16" s="1"/>
  <c r="CV39" i="16"/>
  <c r="CW39" i="16" s="1"/>
  <c r="DF39" i="16" s="1"/>
  <c r="BX51" i="16"/>
  <c r="BY51" i="16" s="1"/>
  <c r="CH51" i="16" s="1"/>
  <c r="BX47" i="16"/>
  <c r="BY47" i="16" s="1"/>
  <c r="CH47" i="16" s="1"/>
  <c r="BX43" i="16"/>
  <c r="BY43" i="16" s="1"/>
  <c r="CH43" i="16" s="1"/>
  <c r="BX39" i="16"/>
  <c r="BY39" i="16" s="1"/>
  <c r="CH39" i="16" s="1"/>
  <c r="AZ51" i="16"/>
  <c r="BA51" i="16" s="1"/>
  <c r="BJ51" i="16" s="1"/>
  <c r="AZ47" i="16"/>
  <c r="BA47" i="16" s="1"/>
  <c r="BJ47" i="16" s="1"/>
  <c r="AZ43" i="16"/>
  <c r="BA43" i="16" s="1"/>
  <c r="BJ43" i="16" s="1"/>
  <c r="AZ39" i="16"/>
  <c r="BA39" i="16" s="1"/>
  <c r="BJ39" i="16" s="1"/>
  <c r="AB43" i="16"/>
  <c r="AC43" i="16" s="1"/>
  <c r="AL43" i="16" s="1"/>
  <c r="AB51" i="16"/>
  <c r="AC51" i="16" s="1"/>
  <c r="AL51" i="16" s="1"/>
  <c r="CW53" i="15"/>
  <c r="CV49" i="15"/>
  <c r="CW49" i="15" s="1"/>
  <c r="DF49" i="15" s="1"/>
  <c r="CV45" i="15"/>
  <c r="CW45" i="15" s="1"/>
  <c r="DF45" i="15" s="1"/>
  <c r="CV41" i="15"/>
  <c r="CW41" i="15" s="1"/>
  <c r="DF41" i="15" s="1"/>
  <c r="BX53" i="15"/>
  <c r="BY53" i="15" s="1"/>
  <c r="CH53" i="15" s="1"/>
  <c r="BX49" i="15"/>
  <c r="BY49" i="15" s="1"/>
  <c r="CH49" i="15" s="1"/>
  <c r="BX45" i="15"/>
  <c r="BY45" i="15" s="1"/>
  <c r="CH45" i="15" s="1"/>
  <c r="BX41" i="15"/>
  <c r="BY41" i="15" s="1"/>
  <c r="CH41" i="15" s="1"/>
  <c r="AZ53" i="15"/>
  <c r="BA53" i="15" s="1"/>
  <c r="BJ53" i="15" s="1"/>
  <c r="AZ49" i="15"/>
  <c r="BA49" i="15" s="1"/>
  <c r="BJ49" i="15" s="1"/>
  <c r="AZ45" i="15"/>
  <c r="BA45" i="15" s="1"/>
  <c r="BJ45" i="15" s="1"/>
  <c r="AZ41" i="15"/>
  <c r="BA41" i="15" s="1"/>
  <c r="BJ41" i="15" s="1"/>
  <c r="AB39" i="15"/>
  <c r="AC39" i="15" s="1"/>
  <c r="AL39" i="15" s="1"/>
  <c r="AB47" i="15"/>
  <c r="AC47" i="15" s="1"/>
  <c r="AL47" i="15" s="1"/>
  <c r="CV52" i="14"/>
  <c r="CW52" i="14" s="1"/>
  <c r="DF52" i="14" s="1"/>
  <c r="CV46" i="14"/>
  <c r="CW46" i="14" s="1"/>
  <c r="DF46" i="14" s="1"/>
  <c r="CV39" i="14"/>
  <c r="CW39" i="14" s="1"/>
  <c r="DF39" i="14" s="1"/>
  <c r="AZ45" i="14"/>
  <c r="BA45" i="14" s="1"/>
  <c r="BJ45" i="14" s="1"/>
  <c r="AZ38" i="14"/>
  <c r="BA38" i="14" s="1"/>
  <c r="BJ38" i="14" s="1"/>
  <c r="AB39" i="14"/>
  <c r="AC39" i="14" s="1"/>
  <c r="AL39" i="14" s="1"/>
  <c r="AB47" i="14"/>
  <c r="AC47" i="14" s="1"/>
  <c r="AL47" i="14" s="1"/>
  <c r="BX53" i="14"/>
  <c r="BY53" i="14" s="1"/>
  <c r="CH53" i="14" s="1"/>
  <c r="BX45" i="14"/>
  <c r="BY45" i="14" s="1"/>
  <c r="CH45" i="14" s="1"/>
  <c r="BX38" i="14"/>
  <c r="BY38" i="14" s="1"/>
  <c r="CH38" i="14" s="1"/>
  <c r="CW40" i="13"/>
  <c r="DF40" i="13" s="1"/>
  <c r="CW48" i="13"/>
  <c r="DF48" i="13" s="1"/>
  <c r="BY40" i="13"/>
  <c r="CH40" i="13" s="1"/>
  <c r="BY48" i="13"/>
  <c r="CH48" i="13" s="1"/>
  <c r="BA39" i="13"/>
  <c r="BJ39" i="13" s="1"/>
  <c r="BA47" i="13"/>
  <c r="BJ47" i="13" s="1"/>
  <c r="D52" i="16"/>
  <c r="E52" i="16" s="1"/>
  <c r="N52" i="16" s="1"/>
  <c r="D44" i="16"/>
  <c r="E44" i="16" s="1"/>
  <c r="N44" i="16" s="1"/>
  <c r="D39" i="16"/>
  <c r="E39" i="16" s="1"/>
  <c r="N39" i="16" s="1"/>
  <c r="D46" i="15"/>
  <c r="E46" i="15" s="1"/>
  <c r="N46" i="15" s="1"/>
  <c r="D41" i="15"/>
  <c r="E41" i="15" s="1"/>
  <c r="N41" i="15" s="1"/>
  <c r="D39" i="15"/>
  <c r="E39" i="15" s="1"/>
  <c r="N39" i="15" s="1"/>
  <c r="D39" i="14"/>
  <c r="E39" i="14" s="1"/>
  <c r="N39" i="14" s="1"/>
  <c r="AB44" i="16"/>
  <c r="AC44" i="16" s="1"/>
  <c r="AL44" i="16" s="1"/>
  <c r="AB52" i="16"/>
  <c r="AC52" i="16" s="1"/>
  <c r="AL52" i="16" s="1"/>
  <c r="AB40" i="15"/>
  <c r="AC40" i="15" s="1"/>
  <c r="AL40" i="15" s="1"/>
  <c r="AB48" i="15"/>
  <c r="AC48" i="15" s="1"/>
  <c r="AL48" i="15" s="1"/>
  <c r="CV51" i="14"/>
  <c r="CW51" i="14" s="1"/>
  <c r="DF51" i="14" s="1"/>
  <c r="CV45" i="14"/>
  <c r="CW45" i="14" s="1"/>
  <c r="DF45" i="14" s="1"/>
  <c r="AZ53" i="14"/>
  <c r="BA53" i="14" s="1"/>
  <c r="BJ53" i="14" s="1"/>
  <c r="AZ46" i="14"/>
  <c r="BA46" i="14" s="1"/>
  <c r="BJ46" i="14" s="1"/>
  <c r="AB40" i="14"/>
  <c r="AC40" i="14" s="1"/>
  <c r="AL40" i="14" s="1"/>
  <c r="AB48" i="14"/>
  <c r="AC48" i="14" s="1"/>
  <c r="AL48" i="14" s="1"/>
  <c r="BX52" i="14"/>
  <c r="BY52" i="14" s="1"/>
  <c r="CH52" i="14" s="1"/>
  <c r="BX44" i="14"/>
  <c r="BY44" i="14" s="1"/>
  <c r="CH44" i="14" s="1"/>
  <c r="CW41" i="13"/>
  <c r="DF41" i="13" s="1"/>
  <c r="CW49" i="13"/>
  <c r="DF49" i="13" s="1"/>
  <c r="BY41" i="13"/>
  <c r="CH41" i="13" s="1"/>
  <c r="BY49" i="13"/>
  <c r="CH49" i="13" s="1"/>
  <c r="BA40" i="13"/>
  <c r="BJ40" i="13" s="1"/>
  <c r="BA48" i="13"/>
  <c r="BJ48" i="13" s="1"/>
  <c r="D49" i="16"/>
  <c r="E49" i="16" s="1"/>
  <c r="N49" i="16" s="1"/>
  <c r="D41" i="16"/>
  <c r="E41" i="16" s="1"/>
  <c r="N41" i="16" s="1"/>
  <c r="D51" i="15"/>
  <c r="E51" i="15" s="1"/>
  <c r="N51" i="15" s="1"/>
  <c r="D50" i="14"/>
  <c r="E50" i="14" s="1"/>
  <c r="N50" i="14" s="1"/>
  <c r="D46" i="14"/>
  <c r="E46" i="14" s="1"/>
  <c r="N46" i="14" s="1"/>
  <c r="D42" i="14"/>
  <c r="E42" i="14" s="1"/>
  <c r="N42" i="14" s="1"/>
  <c r="CV38" i="16"/>
  <c r="CW38" i="16" s="1"/>
  <c r="DF38" i="16" s="1"/>
  <c r="BX38" i="16"/>
  <c r="BY38" i="16" s="1"/>
  <c r="CH38" i="16" s="1"/>
  <c r="AZ38" i="16"/>
  <c r="BA38" i="16" s="1"/>
  <c r="BJ38" i="16" s="1"/>
  <c r="AB46" i="16"/>
  <c r="AC46" i="16" s="1"/>
  <c r="AL46" i="16" s="1"/>
  <c r="AB38" i="16"/>
  <c r="AC38" i="16" s="1"/>
  <c r="AL38" i="16" s="1"/>
  <c r="AB42" i="15"/>
  <c r="AC42" i="15" s="1"/>
  <c r="AL42" i="15" s="1"/>
  <c r="AB50" i="15"/>
  <c r="AC50" i="15" s="1"/>
  <c r="AL50" i="15" s="1"/>
  <c r="CV50" i="14"/>
  <c r="CW50" i="14" s="1"/>
  <c r="DF50" i="14" s="1"/>
  <c r="CV43" i="14"/>
  <c r="CW43" i="14" s="1"/>
  <c r="DF43" i="14" s="1"/>
  <c r="AZ40" i="14"/>
  <c r="BA40" i="14" s="1"/>
  <c r="BJ40" i="14" s="1"/>
  <c r="AZ48" i="14"/>
  <c r="BA48" i="14" s="1"/>
  <c r="BJ48" i="14" s="1"/>
  <c r="AB42" i="14"/>
  <c r="AC42" i="14" s="1"/>
  <c r="AL42" i="14" s="1"/>
  <c r="AB50" i="14"/>
  <c r="AC50" i="14" s="1"/>
  <c r="AL50" i="14" s="1"/>
  <c r="BX50" i="14"/>
  <c r="BY50" i="14" s="1"/>
  <c r="CH50" i="14" s="1"/>
  <c r="BX42" i="14"/>
  <c r="BY42" i="14" s="1"/>
  <c r="CH42" i="14" s="1"/>
  <c r="CW43" i="13"/>
  <c r="DF43" i="13" s="1"/>
  <c r="CW51" i="13"/>
  <c r="DF51" i="13" s="1"/>
  <c r="BY43" i="13"/>
  <c r="CH43" i="13" s="1"/>
  <c r="BY51" i="13"/>
  <c r="CH51" i="13" s="1"/>
  <c r="BA42" i="13"/>
  <c r="BJ42" i="13" s="1"/>
  <c r="BA50" i="13"/>
  <c r="BJ50" i="13" s="1"/>
  <c r="D51" i="16"/>
  <c r="E51" i="16" s="1"/>
  <c r="N51" i="16" s="1"/>
  <c r="D43" i="16"/>
  <c r="E43" i="16" s="1"/>
  <c r="N43" i="16" s="1"/>
  <c r="D38" i="16"/>
  <c r="E38" i="16" s="1"/>
  <c r="N38" i="16" s="1"/>
  <c r="D53" i="15"/>
  <c r="E53" i="15" s="1"/>
  <c r="N53" i="15" s="1"/>
  <c r="D45" i="15"/>
  <c r="E45" i="15" s="1"/>
  <c r="N45" i="15" s="1"/>
  <c r="D40" i="15"/>
  <c r="E40" i="15" s="1"/>
  <c r="N40" i="15" s="1"/>
  <c r="D53" i="14"/>
  <c r="E53" i="14" s="1"/>
  <c r="N53" i="14" s="1"/>
  <c r="D49" i="14"/>
  <c r="E49" i="14" s="1"/>
  <c r="N49" i="14" s="1"/>
  <c r="D45" i="14"/>
  <c r="E45" i="14" s="1"/>
  <c r="N45" i="14" s="1"/>
  <c r="D41" i="14"/>
  <c r="E41" i="14" s="1"/>
  <c r="N41" i="14" s="1"/>
  <c r="CV42" i="16"/>
  <c r="CW42" i="16" s="1"/>
  <c r="DF42" i="16" s="1"/>
  <c r="BX53" i="16"/>
  <c r="BY53" i="16" s="1"/>
  <c r="CH53" i="16" s="1"/>
  <c r="BX44" i="16"/>
  <c r="BY44" i="16" s="1"/>
  <c r="CH44" i="16" s="1"/>
  <c r="AZ50" i="16"/>
  <c r="BA50" i="16" s="1"/>
  <c r="BJ50" i="16" s="1"/>
  <c r="AZ41" i="16"/>
  <c r="BA41" i="16" s="1"/>
  <c r="BJ41" i="16" s="1"/>
  <c r="AB41" i="16"/>
  <c r="AC41" i="16" s="1"/>
  <c r="AL41" i="16" s="1"/>
  <c r="CV50" i="15"/>
  <c r="CW50" i="15" s="1"/>
  <c r="DF50" i="15" s="1"/>
  <c r="BX47" i="15"/>
  <c r="BY47" i="15" s="1"/>
  <c r="CH47" i="15" s="1"/>
  <c r="AZ44" i="15"/>
  <c r="BA44" i="15" s="1"/>
  <c r="BJ44" i="15" s="1"/>
  <c r="AB49" i="15"/>
  <c r="AC49" i="15" s="1"/>
  <c r="AL49" i="15" s="1"/>
  <c r="AZ49" i="14"/>
  <c r="BA49" i="14" s="1"/>
  <c r="BJ49" i="14" s="1"/>
  <c r="AB52" i="14"/>
  <c r="AC52" i="14" s="1"/>
  <c r="AL52" i="14" s="1"/>
  <c r="BX40" i="14"/>
  <c r="BY40" i="14" s="1"/>
  <c r="CH40" i="14" s="1"/>
  <c r="CW42" i="13"/>
  <c r="DF42" i="13" s="1"/>
  <c r="BY42" i="13"/>
  <c r="CH42" i="13" s="1"/>
  <c r="BA53" i="13"/>
  <c r="BJ53" i="13" s="1"/>
  <c r="D42" i="16"/>
  <c r="E42" i="16" s="1"/>
  <c r="N42" i="16" s="1"/>
  <c r="D40" i="14"/>
  <c r="E40" i="14" s="1"/>
  <c r="N40" i="14" s="1"/>
  <c r="CV39" i="15"/>
  <c r="CW39" i="15" s="1"/>
  <c r="DF39" i="15" s="1"/>
  <c r="AB43" i="14"/>
  <c r="AC43" i="14" s="1"/>
  <c r="AL43" i="14" s="1"/>
  <c r="BY46" i="13"/>
  <c r="CH46" i="13" s="1"/>
  <c r="BA44" i="13"/>
  <c r="BJ44" i="13" s="1"/>
  <c r="CV46" i="16"/>
  <c r="CW46" i="16" s="1"/>
  <c r="DF46" i="16" s="1"/>
  <c r="BX48" i="16"/>
  <c r="BY48" i="16" s="1"/>
  <c r="CH48" i="16" s="1"/>
  <c r="AZ45" i="16"/>
  <c r="BA45" i="16" s="1"/>
  <c r="BJ45" i="16" s="1"/>
  <c r="AB45" i="16"/>
  <c r="AC45" i="16" s="1"/>
  <c r="AL45" i="16" s="1"/>
  <c r="CV40" i="15"/>
  <c r="CW40" i="15" s="1"/>
  <c r="DF40" i="15" s="1"/>
  <c r="BX51" i="15"/>
  <c r="BY51" i="15" s="1"/>
  <c r="CH51" i="15" s="1"/>
  <c r="BX42" i="15"/>
  <c r="BY42" i="15" s="1"/>
  <c r="CH42" i="15" s="1"/>
  <c r="AZ48" i="15"/>
  <c r="BA48" i="15" s="1"/>
  <c r="BJ48" i="15" s="1"/>
  <c r="AZ39" i="15"/>
  <c r="BA39" i="15" s="1"/>
  <c r="BJ39" i="15" s="1"/>
  <c r="AB51" i="15"/>
  <c r="AC51" i="15" s="1"/>
  <c r="AL51" i="15" s="1"/>
  <c r="CV42" i="14"/>
  <c r="CW42" i="14" s="1"/>
  <c r="DF42" i="14" s="1"/>
  <c r="AZ50" i="14"/>
  <c r="BA50" i="14" s="1"/>
  <c r="BJ50" i="14" s="1"/>
  <c r="AB53" i="14"/>
  <c r="AC53" i="14" s="1"/>
  <c r="AL53" i="14" s="1"/>
  <c r="BX39" i="14"/>
  <c r="BY39" i="14" s="1"/>
  <c r="CH39" i="14" s="1"/>
  <c r="CW44" i="13"/>
  <c r="DF44" i="13" s="1"/>
  <c r="BY44" i="13"/>
  <c r="CH44" i="13" s="1"/>
  <c r="BA41" i="13"/>
  <c r="BJ41" i="13" s="1"/>
  <c r="D48" i="16"/>
  <c r="E48" i="16" s="1"/>
  <c r="N48" i="16" s="1"/>
  <c r="D45" i="16"/>
  <c r="E45" i="16" s="1"/>
  <c r="N45" i="16" s="1"/>
  <c r="D52" i="15"/>
  <c r="E52" i="15" s="1"/>
  <c r="N52" i="15" s="1"/>
  <c r="D43" i="15"/>
  <c r="E43" i="15" s="1"/>
  <c r="N43" i="15" s="1"/>
  <c r="D52" i="14"/>
  <c r="E52" i="14" s="1"/>
  <c r="N52" i="14" s="1"/>
  <c r="AZ53" i="16"/>
  <c r="BA53" i="16" s="1"/>
  <c r="BJ53" i="16" s="1"/>
  <c r="AB48" i="16"/>
  <c r="AC48" i="16" s="1"/>
  <c r="AL48" i="16" s="1"/>
  <c r="BX50" i="15"/>
  <c r="BY50" i="15" s="1"/>
  <c r="CH50" i="15" s="1"/>
  <c r="BX49" i="14"/>
  <c r="BY49" i="14" s="1"/>
  <c r="CH49" i="14" s="1"/>
  <c r="CW46" i="13"/>
  <c r="DF46" i="13" s="1"/>
  <c r="D48" i="15"/>
  <c r="E48" i="15" s="1"/>
  <c r="N48" i="15" s="1"/>
  <c r="CV50" i="16"/>
  <c r="CW50" i="16" s="1"/>
  <c r="DF50" i="16" s="1"/>
  <c r="CV41" i="16"/>
  <c r="CW41" i="16" s="1"/>
  <c r="DF41" i="16" s="1"/>
  <c r="BX52" i="16"/>
  <c r="BY52" i="16" s="1"/>
  <c r="CH52" i="16" s="1"/>
  <c r="AZ49" i="16"/>
  <c r="BA49" i="16" s="1"/>
  <c r="BJ49" i="16" s="1"/>
  <c r="AZ40" i="16"/>
  <c r="BA40" i="16" s="1"/>
  <c r="BJ40" i="16" s="1"/>
  <c r="AB47" i="16"/>
  <c r="AC47" i="16" s="1"/>
  <c r="AL47" i="16" s="1"/>
  <c r="CV44" i="15"/>
  <c r="CW44" i="15" s="1"/>
  <c r="DF44" i="15" s="1"/>
  <c r="BX46" i="15"/>
  <c r="BY46" i="15" s="1"/>
  <c r="CH46" i="15" s="1"/>
  <c r="AZ52" i="15"/>
  <c r="BA52" i="15" s="1"/>
  <c r="BJ52" i="15" s="1"/>
  <c r="AZ43" i="15"/>
  <c r="BA43" i="15" s="1"/>
  <c r="BJ43" i="15" s="1"/>
  <c r="AB52" i="15"/>
  <c r="AC52" i="15" s="1"/>
  <c r="AL52" i="15" s="1"/>
  <c r="CV41" i="14"/>
  <c r="CW41" i="14" s="1"/>
  <c r="DF41" i="14" s="1"/>
  <c r="AZ51" i="14"/>
  <c r="BA51" i="14" s="1"/>
  <c r="BJ51" i="14" s="1"/>
  <c r="AB41" i="14"/>
  <c r="AC41" i="14" s="1"/>
  <c r="AL41" i="14" s="1"/>
  <c r="BX51" i="14"/>
  <c r="BY51" i="14" s="1"/>
  <c r="CH51" i="14" s="1"/>
  <c r="CW45" i="13"/>
  <c r="DF45" i="13" s="1"/>
  <c r="BY45" i="13"/>
  <c r="CH45" i="13" s="1"/>
  <c r="BA43" i="13"/>
  <c r="BJ43" i="13" s="1"/>
  <c r="CV45" i="16"/>
  <c r="CW45" i="16" s="1"/>
  <c r="DF45" i="16" s="1"/>
  <c r="BX42" i="16"/>
  <c r="BY42" i="16" s="1"/>
  <c r="CH42" i="16" s="1"/>
  <c r="AZ44" i="16"/>
  <c r="BA44" i="16" s="1"/>
  <c r="BJ44" i="16" s="1"/>
  <c r="CV48" i="15"/>
  <c r="CW48" i="15" s="1"/>
  <c r="DF48" i="15" s="1"/>
  <c r="AZ47" i="15"/>
  <c r="BA47" i="15" s="1"/>
  <c r="BJ47" i="15" s="1"/>
  <c r="AB53" i="15"/>
  <c r="AC53" i="15" s="1"/>
  <c r="AL53" i="15" s="1"/>
  <c r="AZ39" i="14"/>
  <c r="BA39" i="14" s="1"/>
  <c r="BJ39" i="14" s="1"/>
  <c r="D44" i="14"/>
  <c r="E44" i="14" s="1"/>
  <c r="N44" i="14" s="1"/>
  <c r="CV53" i="16"/>
  <c r="CW53" i="16" s="1"/>
  <c r="DF53" i="16" s="1"/>
  <c r="CV44" i="16"/>
  <c r="CW44" i="16" s="1"/>
  <c r="DF44" i="16" s="1"/>
  <c r="BX50" i="16"/>
  <c r="BY50" i="16" s="1"/>
  <c r="CH50" i="16" s="1"/>
  <c r="BX41" i="16"/>
  <c r="BY41" i="16" s="1"/>
  <c r="CH41" i="16" s="1"/>
  <c r="AZ52" i="16"/>
  <c r="BA52" i="16" s="1"/>
  <c r="BJ52" i="16" s="1"/>
  <c r="AB53" i="16"/>
  <c r="AC53" i="16" s="1"/>
  <c r="AL53" i="16" s="1"/>
  <c r="CV47" i="15"/>
  <c r="CW47" i="15" s="1"/>
  <c r="DF47" i="15" s="1"/>
  <c r="BX44" i="15"/>
  <c r="BY44" i="15" s="1"/>
  <c r="CH44" i="15" s="1"/>
  <c r="AZ46" i="15"/>
  <c r="BA46" i="15" s="1"/>
  <c r="BJ46" i="15" s="1"/>
  <c r="AB43" i="15"/>
  <c r="AC43" i="15" s="1"/>
  <c r="AL43" i="15" s="1"/>
  <c r="AZ42" i="14"/>
  <c r="BA42" i="14" s="1"/>
  <c r="BJ42" i="14" s="1"/>
  <c r="AB45" i="14"/>
  <c r="AC45" i="14" s="1"/>
  <c r="AL45" i="14" s="1"/>
  <c r="BX47" i="14"/>
  <c r="BY47" i="14" s="1"/>
  <c r="CH47" i="14" s="1"/>
  <c r="CW52" i="13"/>
  <c r="DF52" i="13" s="1"/>
  <c r="BY52" i="13"/>
  <c r="CH52" i="13" s="1"/>
  <c r="BA49" i="13"/>
  <c r="BJ49" i="13" s="1"/>
  <c r="D53" i="16"/>
  <c r="E53" i="16" s="1"/>
  <c r="N53" i="16" s="1"/>
  <c r="D40" i="16"/>
  <c r="E40" i="16" s="1"/>
  <c r="N40" i="16" s="1"/>
  <c r="D44" i="15"/>
  <c r="E44" i="15" s="1"/>
  <c r="N44" i="15" s="1"/>
  <c r="D38" i="14"/>
  <c r="E38" i="14" s="1"/>
  <c r="N38" i="14" s="1"/>
  <c r="CV48" i="16"/>
  <c r="CW48" i="16" s="1"/>
  <c r="DF48" i="16" s="1"/>
  <c r="BX45" i="16"/>
  <c r="BY45" i="16" s="1"/>
  <c r="CH45" i="16" s="1"/>
  <c r="AZ42" i="16"/>
  <c r="BA42" i="16" s="1"/>
  <c r="BJ42" i="16" s="1"/>
  <c r="AB39" i="16"/>
  <c r="AC39" i="16" s="1"/>
  <c r="AL39" i="16" s="1"/>
  <c r="CV51" i="15"/>
  <c r="CW51" i="15" s="1"/>
  <c r="DF51" i="15" s="1"/>
  <c r="CV42" i="15"/>
  <c r="CW42" i="15" s="1"/>
  <c r="DF42" i="15" s="1"/>
  <c r="BX48" i="15"/>
  <c r="BY48" i="15" s="1"/>
  <c r="CH48" i="15" s="1"/>
  <c r="BX39" i="15"/>
  <c r="BY39" i="15" s="1"/>
  <c r="CH39" i="15" s="1"/>
  <c r="AZ50" i="15"/>
  <c r="BA50" i="15" s="1"/>
  <c r="BJ50" i="15" s="1"/>
  <c r="AB44" i="15"/>
  <c r="AC44" i="15" s="1"/>
  <c r="AL44" i="15" s="1"/>
  <c r="CV48" i="14"/>
  <c r="CW48" i="14" s="1"/>
  <c r="DF48" i="14" s="1"/>
  <c r="AZ43" i="14"/>
  <c r="BA43" i="14" s="1"/>
  <c r="BJ43" i="14" s="1"/>
  <c r="AB49" i="14"/>
  <c r="AC49" i="14" s="1"/>
  <c r="AL49" i="14" s="1"/>
  <c r="BX43" i="14"/>
  <c r="BY43" i="14" s="1"/>
  <c r="CH43" i="14" s="1"/>
  <c r="CW53" i="13"/>
  <c r="DF53" i="13" s="1"/>
  <c r="BY53" i="13"/>
  <c r="CH53" i="13" s="1"/>
  <c r="BA51" i="13"/>
  <c r="BJ51" i="13" s="1"/>
  <c r="D46" i="16"/>
  <c r="E46" i="16" s="1"/>
  <c r="N46" i="16" s="1"/>
  <c r="CV49" i="16"/>
  <c r="CW49" i="16" s="1"/>
  <c r="DF49" i="16" s="1"/>
  <c r="CV52" i="15"/>
  <c r="CW52" i="15" s="1"/>
  <c r="DF52" i="15" s="1"/>
  <c r="AB41" i="15"/>
  <c r="AC41" i="15" s="1"/>
  <c r="AL41" i="15" s="1"/>
  <c r="CV38" i="14"/>
  <c r="CW38" i="14" s="1"/>
  <c r="DF38" i="14" s="1"/>
  <c r="AZ47" i="14"/>
  <c r="BA47" i="14" s="1"/>
  <c r="BJ47" i="14" s="1"/>
  <c r="AB44" i="14"/>
  <c r="AC44" i="14" s="1"/>
  <c r="AL44" i="14" s="1"/>
  <c r="CV43" i="15"/>
  <c r="CW43" i="15" s="1"/>
  <c r="DF43" i="15" s="1"/>
  <c r="D47" i="15"/>
  <c r="E47" i="15" s="1"/>
  <c r="N47" i="15" s="1"/>
  <c r="AZ48" i="16"/>
  <c r="BA48" i="16" s="1"/>
  <c r="BJ48" i="16" s="1"/>
  <c r="BA45" i="13"/>
  <c r="BJ45" i="13" s="1"/>
  <c r="D48" i="14"/>
  <c r="E48" i="14" s="1"/>
  <c r="N48" i="14" s="1"/>
  <c r="AZ41" i="14"/>
  <c r="BA41" i="14" s="1"/>
  <c r="BJ41" i="14" s="1"/>
  <c r="AZ46" i="16"/>
  <c r="BA46" i="16" s="1"/>
  <c r="BJ46" i="16" s="1"/>
  <c r="BX40" i="15"/>
  <c r="BY40" i="15" s="1"/>
  <c r="CH40" i="15" s="1"/>
  <c r="AZ42" i="15"/>
  <c r="BA42" i="15" s="1"/>
  <c r="BJ42" i="15" s="1"/>
  <c r="AB45" i="15"/>
  <c r="AC45" i="15" s="1"/>
  <c r="AL45" i="15" s="1"/>
  <c r="AB51" i="14"/>
  <c r="AC51" i="14" s="1"/>
  <c r="AL51" i="14" s="1"/>
  <c r="CW50" i="13"/>
  <c r="DF50" i="13" s="1"/>
  <c r="AB40" i="16"/>
  <c r="AC40" i="16" s="1"/>
  <c r="AL40" i="16" s="1"/>
  <c r="BX52" i="15"/>
  <c r="BY52" i="15" s="1"/>
  <c r="CH52" i="15" s="1"/>
  <c r="BX41" i="14"/>
  <c r="BY41" i="14" s="1"/>
  <c r="CH41" i="14" s="1"/>
  <c r="BY50" i="13"/>
  <c r="CH50" i="13" s="1"/>
  <c r="CV44" i="14"/>
  <c r="CW44" i="14" s="1"/>
  <c r="DF44" i="14" s="1"/>
  <c r="CV46" i="15"/>
  <c r="CW46" i="15" s="1"/>
  <c r="DF46" i="15" s="1"/>
  <c r="BA52" i="13"/>
  <c r="BJ52" i="13" s="1"/>
  <c r="CV40" i="16"/>
  <c r="CW40" i="16" s="1"/>
  <c r="DF40" i="16" s="1"/>
  <c r="BX49" i="16"/>
  <c r="BY49" i="16" s="1"/>
  <c r="CH49" i="16" s="1"/>
  <c r="BX48" i="14"/>
  <c r="BY48" i="14" s="1"/>
  <c r="CH48" i="14" s="1"/>
  <c r="CW38" i="13"/>
  <c r="DF38" i="13" s="1"/>
  <c r="D38" i="15"/>
  <c r="E38" i="15" s="1"/>
  <c r="N38" i="15" s="1"/>
  <c r="CV52" i="16"/>
  <c r="CW52" i="16" s="1"/>
  <c r="DF52" i="16" s="1"/>
  <c r="AB49" i="16"/>
  <c r="AC49" i="16" s="1"/>
  <c r="AL49" i="16" s="1"/>
  <c r="AZ40" i="15"/>
  <c r="BA40" i="15" s="1"/>
  <c r="BJ40" i="15" s="1"/>
  <c r="BY38" i="13"/>
  <c r="CH38" i="13" s="1"/>
  <c r="D50" i="15"/>
  <c r="E50" i="15" s="1"/>
  <c r="N50" i="15" s="1"/>
  <c r="BX40" i="16"/>
  <c r="BY40" i="16" s="1"/>
  <c r="CH40" i="16" s="1"/>
  <c r="BX43" i="15"/>
  <c r="BY43" i="15" s="1"/>
  <c r="CH43" i="15" s="1"/>
  <c r="CV49" i="14"/>
  <c r="CW49" i="14" s="1"/>
  <c r="DF49" i="14" s="1"/>
  <c r="D50" i="16"/>
  <c r="E50" i="16" s="1"/>
  <c r="N50" i="16" s="1"/>
  <c r="BX46" i="16"/>
  <c r="BY46" i="16" s="1"/>
  <c r="CH46" i="16" s="1"/>
  <c r="AZ51" i="15"/>
  <c r="BA51" i="15" s="1"/>
  <c r="BJ51" i="15" s="1"/>
  <c r="D42" i="15"/>
  <c r="E42" i="15" s="1"/>
  <c r="N42" i="15" s="1"/>
  <c r="E94" i="10"/>
  <c r="F94" i="10" s="1"/>
  <c r="Z94" i="10" s="1"/>
  <c r="E102" i="10"/>
  <c r="F102" i="10" s="1"/>
  <c r="Z102" i="10" s="1"/>
  <c r="E105" i="10"/>
  <c r="F105" i="10" s="1"/>
  <c r="Z105" i="10" s="1"/>
  <c r="E106" i="10"/>
  <c r="F106" i="10" s="1"/>
  <c r="Z106" i="10" s="1"/>
  <c r="E95" i="10"/>
  <c r="F95" i="10" s="1"/>
  <c r="Z95" i="10" s="1"/>
  <c r="E103" i="10"/>
  <c r="F103" i="10" s="1"/>
  <c r="Z103" i="10" s="1"/>
  <c r="E97" i="10"/>
  <c r="F97" i="10" s="1"/>
  <c r="Z97" i="10" s="1"/>
  <c r="E101" i="10"/>
  <c r="F101" i="10" s="1"/>
  <c r="Z101" i="10" s="1"/>
  <c r="E96" i="10"/>
  <c r="F96" i="10" s="1"/>
  <c r="Z96" i="10" s="1"/>
  <c r="E104" i="10"/>
  <c r="F104" i="10" s="1"/>
  <c r="Z104" i="10" s="1"/>
  <c r="E98" i="10"/>
  <c r="F98" i="10" s="1"/>
  <c r="Z98" i="10" s="1"/>
  <c r="E99" i="10"/>
  <c r="F99" i="10" s="1"/>
  <c r="Z99" i="10" s="1"/>
  <c r="E91" i="10"/>
  <c r="F91" i="10" s="1"/>
  <c r="Z91" i="10" s="1"/>
  <c r="E92" i="10"/>
  <c r="F92" i="10" s="1"/>
  <c r="Z92" i="10" s="1"/>
  <c r="E100" i="10"/>
  <c r="F100" i="10" s="1"/>
  <c r="Z100" i="10" s="1"/>
  <c r="E93" i="10"/>
  <c r="F93" i="10" s="1"/>
  <c r="Z93" i="10" s="1"/>
  <c r="AD20" i="2"/>
  <c r="W20" i="2"/>
  <c r="P20" i="2"/>
  <c r="I20" i="2"/>
  <c r="CX53" i="15" l="1"/>
  <c r="DG53" i="15" s="1"/>
  <c r="DF53" i="15"/>
  <c r="D63" i="22"/>
  <c r="BO115" i="13"/>
  <c r="BO116" i="13" s="1"/>
  <c r="AQ114" i="13"/>
  <c r="S13" i="13"/>
  <c r="S14" i="13" s="1"/>
  <c r="S15" i="13" s="1"/>
  <c r="S16" i="13" s="1"/>
  <c r="S17" i="13" s="1"/>
  <c r="S18" i="13" s="1"/>
  <c r="S19" i="13" s="1"/>
  <c r="S20" i="13" s="1"/>
  <c r="S21" i="13" s="1"/>
  <c r="S22" i="13" s="1"/>
  <c r="S23" i="13" s="1"/>
  <c r="S24" i="13" s="1"/>
  <c r="S25" i="13" s="1"/>
  <c r="S26" i="13" s="1"/>
  <c r="S27" i="13" s="1"/>
  <c r="I160" i="13" s="1"/>
  <c r="CM89" i="13"/>
  <c r="CM90" i="13" s="1"/>
  <c r="AD24" i="10"/>
  <c r="D72" i="22"/>
  <c r="AD14" i="10"/>
  <c r="D62" i="22"/>
  <c r="AD21" i="10"/>
  <c r="D69" i="22"/>
  <c r="AD23" i="10"/>
  <c r="D71" i="22"/>
  <c r="AD17" i="10"/>
  <c r="D65" i="22"/>
  <c r="AD18" i="10"/>
  <c r="D66" i="22"/>
  <c r="D68" i="22"/>
  <c r="DK38" i="15"/>
  <c r="DK39" i="15" s="1"/>
  <c r="DK40" i="15" s="1"/>
  <c r="DK41" i="15" s="1"/>
  <c r="DK42" i="15" s="1"/>
  <c r="DK43" i="15" s="1"/>
  <c r="DK44" i="15" s="1"/>
  <c r="DK45" i="15" s="1"/>
  <c r="DK46" i="15" s="1"/>
  <c r="DK47" i="15" s="1"/>
  <c r="DK48" i="15" s="1"/>
  <c r="DK49" i="15" s="1"/>
  <c r="DK50" i="15" s="1"/>
  <c r="DK51" i="15" s="1"/>
  <c r="DK52" i="15" s="1"/>
  <c r="DL53" i="15" s="1"/>
  <c r="R160" i="15" s="1"/>
  <c r="DK38" i="13"/>
  <c r="DK39" i="13" s="1"/>
  <c r="DK40" i="13" s="1"/>
  <c r="DK41" i="13" s="1"/>
  <c r="DK42" i="13" s="1"/>
  <c r="DK43" i="13" s="1"/>
  <c r="DK44" i="13" s="1"/>
  <c r="DK45" i="13" s="1"/>
  <c r="DK46" i="13" s="1"/>
  <c r="DK47" i="13" s="1"/>
  <c r="DK48" i="13" s="1"/>
  <c r="DK49" i="13" s="1"/>
  <c r="DK50" i="13" s="1"/>
  <c r="DK51" i="13" s="1"/>
  <c r="DK52" i="13" s="1"/>
  <c r="DK53" i="13" s="1"/>
  <c r="R160" i="13" s="1"/>
  <c r="DK38" i="14"/>
  <c r="DK39" i="14" s="1"/>
  <c r="DK40" i="14" s="1"/>
  <c r="DK41" i="14" s="1"/>
  <c r="DK42" i="14" s="1"/>
  <c r="DK43" i="14" s="1"/>
  <c r="DK44" i="14" s="1"/>
  <c r="DK45" i="14" s="1"/>
  <c r="DK46" i="14" s="1"/>
  <c r="DK47" i="14" s="1"/>
  <c r="DK48" i="14" s="1"/>
  <c r="DK49" i="14" s="1"/>
  <c r="DK50" i="14" s="1"/>
  <c r="DK51" i="14" s="1"/>
  <c r="DK52" i="14" s="1"/>
  <c r="DK53" i="14" s="1"/>
  <c r="R160" i="14" s="1"/>
  <c r="AQ38" i="16"/>
  <c r="AQ39" i="16" s="1"/>
  <c r="AQ40" i="16" s="1"/>
  <c r="AQ41" i="16" s="1"/>
  <c r="AQ42" i="16" s="1"/>
  <c r="AQ43" i="16" s="1"/>
  <c r="AQ44" i="16" s="1"/>
  <c r="AQ45" i="16" s="1"/>
  <c r="AQ46" i="16" s="1"/>
  <c r="AQ47" i="16" s="1"/>
  <c r="AQ48" i="16" s="1"/>
  <c r="AQ49" i="16" s="1"/>
  <c r="AQ50" i="16" s="1"/>
  <c r="AQ51" i="16" s="1"/>
  <c r="AQ52" i="16" s="1"/>
  <c r="AQ53" i="16" s="1"/>
  <c r="N160" i="16" s="1"/>
  <c r="DK38" i="16"/>
  <c r="DK39" i="16" s="1"/>
  <c r="DK40" i="16" s="1"/>
  <c r="DK41" i="16" s="1"/>
  <c r="DK42" i="16" s="1"/>
  <c r="DK43" i="16" s="1"/>
  <c r="DK44" i="16" s="1"/>
  <c r="DK45" i="16" s="1"/>
  <c r="DK46" i="16" s="1"/>
  <c r="DK47" i="16" s="1"/>
  <c r="DK48" i="16" s="1"/>
  <c r="DK49" i="16" s="1"/>
  <c r="DK50" i="16" s="1"/>
  <c r="DK51" i="16" s="1"/>
  <c r="DK52" i="16" s="1"/>
  <c r="DK53" i="16" s="1"/>
  <c r="Q160" i="16" s="1"/>
  <c r="AQ38" i="14"/>
  <c r="AQ39" i="14" s="1"/>
  <c r="AQ40" i="14" s="1"/>
  <c r="AQ41" i="14" s="1"/>
  <c r="AQ42" i="14" s="1"/>
  <c r="AQ43" i="14" s="1"/>
  <c r="AQ44" i="14" s="1"/>
  <c r="AQ45" i="14" s="1"/>
  <c r="AQ46" i="14" s="1"/>
  <c r="AQ47" i="14" s="1"/>
  <c r="AQ48" i="14" s="1"/>
  <c r="AQ49" i="14" s="1"/>
  <c r="AQ50" i="14" s="1"/>
  <c r="AQ51" i="14" s="1"/>
  <c r="AQ52" i="14" s="1"/>
  <c r="AQ53" i="14" s="1"/>
  <c r="O160" i="14" s="1"/>
  <c r="S38" i="15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N160" i="15" s="1"/>
  <c r="CM38" i="13"/>
  <c r="CM39" i="13" s="1"/>
  <c r="CM40" i="13" s="1"/>
  <c r="CM41" i="13" s="1"/>
  <c r="CM42" i="13" s="1"/>
  <c r="CM43" i="13" s="1"/>
  <c r="CM44" i="13" s="1"/>
  <c r="CM45" i="13" s="1"/>
  <c r="CM46" i="13" s="1"/>
  <c r="CM47" i="13" s="1"/>
  <c r="CM48" i="13" s="1"/>
  <c r="CM49" i="13" s="1"/>
  <c r="CM50" i="13" s="1"/>
  <c r="CM51" i="13" s="1"/>
  <c r="CM52" i="13" s="1"/>
  <c r="CM53" i="13" s="1"/>
  <c r="Q160" i="13" s="1"/>
  <c r="S38" i="16"/>
  <c r="S39" i="16" s="1"/>
  <c r="S40" i="16" s="1"/>
  <c r="S41" i="16" s="1"/>
  <c r="S42" i="16" s="1"/>
  <c r="S43" i="16" s="1"/>
  <c r="S44" i="16" s="1"/>
  <c r="S45" i="16" s="1"/>
  <c r="S46" i="16" s="1"/>
  <c r="S47" i="16" s="1"/>
  <c r="S48" i="16" s="1"/>
  <c r="S49" i="16" s="1"/>
  <c r="S50" i="16" s="1"/>
  <c r="S51" i="16" s="1"/>
  <c r="S52" i="16" s="1"/>
  <c r="S53" i="16" s="1"/>
  <c r="M160" i="16" s="1"/>
  <c r="BO38" i="13"/>
  <c r="BO39" i="13" s="1"/>
  <c r="BO40" i="13" s="1"/>
  <c r="BO41" i="13" s="1"/>
  <c r="BO42" i="13" s="1"/>
  <c r="BO43" i="13" s="1"/>
  <c r="BO44" i="13" s="1"/>
  <c r="BO45" i="13" s="1"/>
  <c r="BO46" i="13" s="1"/>
  <c r="BO47" i="13" s="1"/>
  <c r="BO48" i="13" s="1"/>
  <c r="BO49" i="13" s="1"/>
  <c r="BO50" i="13" s="1"/>
  <c r="BO51" i="13" s="1"/>
  <c r="BO52" i="13" s="1"/>
  <c r="BO53" i="13" s="1"/>
  <c r="P160" i="13" s="1"/>
  <c r="BO38" i="15"/>
  <c r="BO39" i="15" s="1"/>
  <c r="BO40" i="15" s="1"/>
  <c r="BO41" i="15" s="1"/>
  <c r="BO42" i="15" s="1"/>
  <c r="BO43" i="15" s="1"/>
  <c r="BO44" i="15" s="1"/>
  <c r="BO45" i="15" s="1"/>
  <c r="BO46" i="15" s="1"/>
  <c r="BO47" i="15" s="1"/>
  <c r="BO48" i="15" s="1"/>
  <c r="BO49" i="15" s="1"/>
  <c r="BO50" i="15" s="1"/>
  <c r="BO51" i="15" s="1"/>
  <c r="BO52" i="15" s="1"/>
  <c r="BO53" i="15" s="1"/>
  <c r="P160" i="15" s="1"/>
  <c r="S13" i="14"/>
  <c r="S14" i="14" s="1"/>
  <c r="S15" i="14" s="1"/>
  <c r="S16" i="14" s="1"/>
  <c r="CM38" i="16"/>
  <c r="CM39" i="16" s="1"/>
  <c r="CM40" i="16" s="1"/>
  <c r="CM41" i="16" s="1"/>
  <c r="CM42" i="16" s="1"/>
  <c r="CM43" i="16" s="1"/>
  <c r="CM44" i="16" s="1"/>
  <c r="CM45" i="16" s="1"/>
  <c r="CM46" i="16" s="1"/>
  <c r="CM47" i="16" s="1"/>
  <c r="CM48" i="16" s="1"/>
  <c r="CM49" i="16" s="1"/>
  <c r="CM50" i="16" s="1"/>
  <c r="CM51" i="16" s="1"/>
  <c r="CM52" i="16" s="1"/>
  <c r="CM53" i="16" s="1"/>
  <c r="P160" i="16" s="1"/>
  <c r="BO38" i="14"/>
  <c r="BO39" i="14" s="1"/>
  <c r="BO40" i="14" s="1"/>
  <c r="BO41" i="14" s="1"/>
  <c r="BO42" i="14" s="1"/>
  <c r="BO43" i="14" s="1"/>
  <c r="BO44" i="14" s="1"/>
  <c r="BO45" i="14" s="1"/>
  <c r="BO46" i="14" s="1"/>
  <c r="BO47" i="14" s="1"/>
  <c r="BO48" i="14" s="1"/>
  <c r="BO49" i="14" s="1"/>
  <c r="BO50" i="14" s="1"/>
  <c r="BO51" i="14" s="1"/>
  <c r="BO52" i="14" s="1"/>
  <c r="BO53" i="14" s="1"/>
  <c r="P160" i="14" s="1"/>
  <c r="AQ38" i="15"/>
  <c r="AQ39" i="15" s="1"/>
  <c r="AQ40" i="15" s="1"/>
  <c r="AQ41" i="15" s="1"/>
  <c r="AQ42" i="15" s="1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O160" i="15" s="1"/>
  <c r="S38" i="14"/>
  <c r="S39" i="14" s="1"/>
  <c r="S40" i="14" s="1"/>
  <c r="S41" i="14" s="1"/>
  <c r="S42" i="14" s="1"/>
  <c r="S43" i="14" s="1"/>
  <c r="S44" i="14" s="1"/>
  <c r="S45" i="14" s="1"/>
  <c r="S46" i="14" s="1"/>
  <c r="S47" i="14" s="1"/>
  <c r="S48" i="14" s="1"/>
  <c r="S49" i="14" s="1"/>
  <c r="S50" i="14" s="1"/>
  <c r="S51" i="14" s="1"/>
  <c r="S52" i="14" s="1"/>
  <c r="S53" i="14" s="1"/>
  <c r="N160" i="14" s="1"/>
  <c r="S38" i="13"/>
  <c r="S39" i="13" s="1"/>
  <c r="S40" i="13" s="1"/>
  <c r="S41" i="13" s="1"/>
  <c r="S42" i="13" s="1"/>
  <c r="S43" i="13" s="1"/>
  <c r="S44" i="13" s="1"/>
  <c r="S45" i="13" s="1"/>
  <c r="S46" i="13" s="1"/>
  <c r="S47" i="13" s="1"/>
  <c r="S48" i="13" s="1"/>
  <c r="S49" i="13" s="1"/>
  <c r="S50" i="13" s="1"/>
  <c r="S51" i="13" s="1"/>
  <c r="S52" i="13" s="1"/>
  <c r="S53" i="13" s="1"/>
  <c r="N160" i="13" s="1"/>
  <c r="BO38" i="16"/>
  <c r="BO39" i="16" s="1"/>
  <c r="BO40" i="16" s="1"/>
  <c r="BO41" i="16" s="1"/>
  <c r="BO42" i="16" s="1"/>
  <c r="BO43" i="16" s="1"/>
  <c r="BO44" i="16" s="1"/>
  <c r="BO45" i="16" s="1"/>
  <c r="BO46" i="16" s="1"/>
  <c r="BO47" i="16" s="1"/>
  <c r="BO48" i="16" s="1"/>
  <c r="BO49" i="16" s="1"/>
  <c r="BO50" i="16" s="1"/>
  <c r="BO51" i="16" s="1"/>
  <c r="BO52" i="16" s="1"/>
  <c r="BO53" i="16" s="1"/>
  <c r="O160" i="16" s="1"/>
  <c r="CM38" i="14"/>
  <c r="CM39" i="14" s="1"/>
  <c r="CM40" i="14" s="1"/>
  <c r="CM41" i="14" s="1"/>
  <c r="CM42" i="14" s="1"/>
  <c r="CM43" i="14" s="1"/>
  <c r="CM44" i="14" s="1"/>
  <c r="CM45" i="14" s="1"/>
  <c r="CM46" i="14" s="1"/>
  <c r="CM47" i="14" s="1"/>
  <c r="CM48" i="14" s="1"/>
  <c r="CM49" i="14" s="1"/>
  <c r="CM50" i="14" s="1"/>
  <c r="CM51" i="14" s="1"/>
  <c r="CM52" i="14" s="1"/>
  <c r="CM53" i="14" s="1"/>
  <c r="Q160" i="14" s="1"/>
  <c r="CM38" i="15"/>
  <c r="CM39" i="15" s="1"/>
  <c r="CM40" i="15" s="1"/>
  <c r="CM41" i="15" s="1"/>
  <c r="CM42" i="15" s="1"/>
  <c r="CM43" i="15" s="1"/>
  <c r="CM44" i="15" s="1"/>
  <c r="CM45" i="15" s="1"/>
  <c r="CM46" i="15" s="1"/>
  <c r="CM47" i="15" s="1"/>
  <c r="CM48" i="15" s="1"/>
  <c r="CM49" i="15" s="1"/>
  <c r="CM50" i="15" s="1"/>
  <c r="CM51" i="15" s="1"/>
  <c r="CM52" i="15" s="1"/>
  <c r="CM53" i="15" s="1"/>
  <c r="Q160" i="15" s="1"/>
  <c r="AQ38" i="13"/>
  <c r="AQ39" i="13" s="1"/>
  <c r="AQ40" i="13" s="1"/>
  <c r="AQ41" i="13" s="1"/>
  <c r="AQ42" i="13" s="1"/>
  <c r="AQ43" i="13" s="1"/>
  <c r="AQ44" i="13" s="1"/>
  <c r="AQ45" i="13" s="1"/>
  <c r="AQ46" i="13" s="1"/>
  <c r="AQ47" i="13" s="1"/>
  <c r="AQ48" i="13" s="1"/>
  <c r="AQ49" i="13" s="1"/>
  <c r="AQ50" i="13" s="1"/>
  <c r="AQ51" i="13" s="1"/>
  <c r="AQ52" i="13" s="1"/>
  <c r="AQ53" i="13" s="1"/>
  <c r="O160" i="13" s="1"/>
  <c r="CU17" i="14"/>
  <c r="CW17" i="14" s="1"/>
  <c r="DF17" i="14" s="1"/>
  <c r="AY17" i="14"/>
  <c r="BA17" i="14" s="1"/>
  <c r="BW17" i="14"/>
  <c r="BY17" i="14" s="1"/>
  <c r="AA17" i="14"/>
  <c r="AC17" i="14" s="1"/>
  <c r="CU18" i="14"/>
  <c r="CW18" i="14" s="1"/>
  <c r="DF18" i="14" s="1"/>
  <c r="BW18" i="14"/>
  <c r="BY18" i="14" s="1"/>
  <c r="CH18" i="14" s="1"/>
  <c r="AY18" i="14"/>
  <c r="BA18" i="14" s="1"/>
  <c r="BJ18" i="14" s="1"/>
  <c r="AA18" i="14"/>
  <c r="AC18" i="14" s="1"/>
  <c r="AL18" i="14" s="1"/>
  <c r="DK17" i="14"/>
  <c r="CU20" i="14"/>
  <c r="CW20" i="14" s="1"/>
  <c r="DF20" i="14" s="1"/>
  <c r="BW20" i="14"/>
  <c r="BY20" i="14" s="1"/>
  <c r="CH20" i="14" s="1"/>
  <c r="AY20" i="14"/>
  <c r="BA20" i="14" s="1"/>
  <c r="BJ20" i="14" s="1"/>
  <c r="AA20" i="14"/>
  <c r="AC20" i="14" s="1"/>
  <c r="AL20" i="14" s="1"/>
  <c r="CU19" i="14"/>
  <c r="CW19" i="14" s="1"/>
  <c r="DF19" i="14" s="1"/>
  <c r="BW19" i="14"/>
  <c r="BY19" i="14" s="1"/>
  <c r="CH19" i="14" s="1"/>
  <c r="AY19" i="14"/>
  <c r="BA19" i="14" s="1"/>
  <c r="BJ19" i="14" s="1"/>
  <c r="AA19" i="14"/>
  <c r="AC19" i="14" s="1"/>
  <c r="AL19" i="14" s="1"/>
  <c r="AQ114" i="15"/>
  <c r="AQ115" i="15" s="1"/>
  <c r="AQ116" i="15" s="1"/>
  <c r="AQ117" i="15" s="1"/>
  <c r="AQ118" i="15" s="1"/>
  <c r="AQ119" i="15" s="1"/>
  <c r="AQ120" i="15" s="1"/>
  <c r="AQ121" i="15" s="1"/>
  <c r="AQ122" i="15" s="1"/>
  <c r="AQ123" i="15" s="1"/>
  <c r="AQ124" i="15" s="1"/>
  <c r="AQ125" i="15" s="1"/>
  <c r="AQ126" i="15" s="1"/>
  <c r="AQ127" i="15" s="1"/>
  <c r="AQ128" i="15" s="1"/>
  <c r="AD160" i="15" s="1"/>
  <c r="S89" i="13"/>
  <c r="S90" i="13" s="1"/>
  <c r="BO89" i="13"/>
  <c r="BO90" i="13" s="1"/>
  <c r="BO89" i="16"/>
  <c r="BO90" i="16" s="1"/>
  <c r="BO89" i="14"/>
  <c r="BO90" i="14" s="1"/>
  <c r="CM89" i="14"/>
  <c r="CM90" i="14" s="1"/>
  <c r="S114" i="15"/>
  <c r="S115" i="15" s="1"/>
  <c r="S116" i="15" s="1"/>
  <c r="S117" i="15" s="1"/>
  <c r="S118" i="15" s="1"/>
  <c r="S119" i="15" s="1"/>
  <c r="S120" i="15" s="1"/>
  <c r="S121" i="15" s="1"/>
  <c r="S122" i="15" s="1"/>
  <c r="S123" i="15" s="1"/>
  <c r="S124" i="15" s="1"/>
  <c r="S125" i="15" s="1"/>
  <c r="S126" i="15" s="1"/>
  <c r="S127" i="15" s="1"/>
  <c r="S128" i="15" s="1"/>
  <c r="AC160" i="15" s="1"/>
  <c r="BO117" i="13"/>
  <c r="BO118" i="13" s="1"/>
  <c r="BO119" i="13" s="1"/>
  <c r="BO120" i="13" s="1"/>
  <c r="BO121" i="13" s="1"/>
  <c r="BO122" i="13" s="1"/>
  <c r="BO123" i="13" s="1"/>
  <c r="BO124" i="13" s="1"/>
  <c r="BO125" i="13" s="1"/>
  <c r="BO126" i="13" s="1"/>
  <c r="BO127" i="13" s="1"/>
  <c r="BO128" i="13" s="1"/>
  <c r="AE160" i="13" s="1"/>
  <c r="CM114" i="15"/>
  <c r="CM115" i="15" s="1"/>
  <c r="CM116" i="15" s="1"/>
  <c r="CM117" i="15" s="1"/>
  <c r="CM118" i="15" s="1"/>
  <c r="CM119" i="15" s="1"/>
  <c r="CM120" i="15" s="1"/>
  <c r="CM121" i="15" s="1"/>
  <c r="CM122" i="15" s="1"/>
  <c r="CM123" i="15" s="1"/>
  <c r="CM124" i="15" s="1"/>
  <c r="CM125" i="15" s="1"/>
  <c r="CM126" i="15" s="1"/>
  <c r="CM127" i="15" s="1"/>
  <c r="CM128" i="15" s="1"/>
  <c r="AF160" i="15" s="1"/>
  <c r="AQ89" i="16"/>
  <c r="AQ90" i="16" s="1"/>
  <c r="S114" i="14"/>
  <c r="S115" i="14" s="1"/>
  <c r="S116" i="14" s="1"/>
  <c r="S117" i="14" s="1"/>
  <c r="S118" i="14" s="1"/>
  <c r="S119" i="14" s="1"/>
  <c r="S120" i="14" s="1"/>
  <c r="S121" i="14" s="1"/>
  <c r="S122" i="14" s="1"/>
  <c r="S123" i="14" s="1"/>
  <c r="S124" i="14" s="1"/>
  <c r="S125" i="14" s="1"/>
  <c r="S126" i="14" s="1"/>
  <c r="S127" i="14" s="1"/>
  <c r="S128" i="14" s="1"/>
  <c r="AC160" i="14" s="1"/>
  <c r="S89" i="14"/>
  <c r="S90" i="14" s="1"/>
  <c r="DK89" i="16"/>
  <c r="DK90" i="16" s="1"/>
  <c r="CM89" i="16"/>
  <c r="CM90" i="16" s="1"/>
  <c r="CM114" i="14"/>
  <c r="CM115" i="14" s="1"/>
  <c r="CM116" i="14" s="1"/>
  <c r="CM117" i="14" s="1"/>
  <c r="CM118" i="14" s="1"/>
  <c r="CM119" i="14" s="1"/>
  <c r="CM120" i="14" s="1"/>
  <c r="CM121" i="14" s="1"/>
  <c r="CM122" i="14" s="1"/>
  <c r="CM123" i="14" s="1"/>
  <c r="CM124" i="14" s="1"/>
  <c r="CM125" i="14" s="1"/>
  <c r="CM126" i="14" s="1"/>
  <c r="CM127" i="14" s="1"/>
  <c r="CM128" i="14" s="1"/>
  <c r="AF160" i="14" s="1"/>
  <c r="AQ114" i="14"/>
  <c r="AQ115" i="14" s="1"/>
  <c r="AQ116" i="14" s="1"/>
  <c r="AQ117" i="14" s="1"/>
  <c r="AQ118" i="14" s="1"/>
  <c r="AQ119" i="14" s="1"/>
  <c r="AQ120" i="14" s="1"/>
  <c r="AQ121" i="14" s="1"/>
  <c r="AQ122" i="14" s="1"/>
  <c r="AQ123" i="14" s="1"/>
  <c r="AQ124" i="14" s="1"/>
  <c r="AQ125" i="14" s="1"/>
  <c r="AQ126" i="14" s="1"/>
  <c r="AQ127" i="14" s="1"/>
  <c r="AQ128" i="14" s="1"/>
  <c r="AD160" i="14" s="1"/>
  <c r="DK114" i="13"/>
  <c r="DK115" i="13" s="1"/>
  <c r="DK116" i="13" s="1"/>
  <c r="DK117" i="13" s="1"/>
  <c r="DK118" i="13" s="1"/>
  <c r="DK119" i="13" s="1"/>
  <c r="DK120" i="13" s="1"/>
  <c r="DK121" i="13" s="1"/>
  <c r="DK122" i="13" s="1"/>
  <c r="DK123" i="13" s="1"/>
  <c r="DK124" i="13" s="1"/>
  <c r="DK125" i="13" s="1"/>
  <c r="DK126" i="13" s="1"/>
  <c r="DK127" i="13" s="1"/>
  <c r="DK128" i="13" s="1"/>
  <c r="AG160" i="13" s="1"/>
  <c r="CM114" i="13"/>
  <c r="CM115" i="13" s="1"/>
  <c r="CM116" i="13" s="1"/>
  <c r="CM117" i="13" s="1"/>
  <c r="CM118" i="13" s="1"/>
  <c r="CM119" i="13" s="1"/>
  <c r="CM120" i="13" s="1"/>
  <c r="CM121" i="13" s="1"/>
  <c r="CM122" i="13" s="1"/>
  <c r="CM123" i="13" s="1"/>
  <c r="CM124" i="13" s="1"/>
  <c r="CM125" i="13" s="1"/>
  <c r="CM126" i="13" s="1"/>
  <c r="CM127" i="13" s="1"/>
  <c r="CM128" i="13" s="1"/>
  <c r="AF160" i="13" s="1"/>
  <c r="S89" i="16"/>
  <c r="S90" i="16" s="1"/>
  <c r="CM89" i="15"/>
  <c r="CM90" i="15" s="1"/>
  <c r="S114" i="16"/>
  <c r="S115" i="16" s="1"/>
  <c r="S116" i="16" s="1"/>
  <c r="S117" i="16" s="1"/>
  <c r="S118" i="16" s="1"/>
  <c r="S119" i="16" s="1"/>
  <c r="S120" i="16" s="1"/>
  <c r="S121" i="16" s="1"/>
  <c r="S122" i="16" s="1"/>
  <c r="S123" i="16" s="1"/>
  <c r="S124" i="16" s="1"/>
  <c r="S125" i="16" s="1"/>
  <c r="S126" i="16" s="1"/>
  <c r="S127" i="16" s="1"/>
  <c r="S128" i="16" s="1"/>
  <c r="AB160" i="16" s="1"/>
  <c r="AQ89" i="14"/>
  <c r="AQ90" i="14" s="1"/>
  <c r="DK89" i="14"/>
  <c r="DK90" i="14" s="1"/>
  <c r="AQ117" i="16"/>
  <c r="AQ118" i="16" s="1"/>
  <c r="AQ119" i="16" s="1"/>
  <c r="AQ120" i="16" s="1"/>
  <c r="AQ121" i="16" s="1"/>
  <c r="AQ122" i="16" s="1"/>
  <c r="AQ123" i="16" s="1"/>
  <c r="AQ124" i="16" s="1"/>
  <c r="AQ125" i="16" s="1"/>
  <c r="AQ126" i="16" s="1"/>
  <c r="AQ127" i="16" s="1"/>
  <c r="AQ128" i="16" s="1"/>
  <c r="AC160" i="16" s="1"/>
  <c r="AQ115" i="13"/>
  <c r="AQ116" i="13" s="1"/>
  <c r="AQ117" i="13" s="1"/>
  <c r="AQ118" i="13" s="1"/>
  <c r="AQ119" i="13" s="1"/>
  <c r="AQ120" i="13" s="1"/>
  <c r="AQ121" i="13" s="1"/>
  <c r="AQ122" i="13" s="1"/>
  <c r="AQ123" i="13" s="1"/>
  <c r="AQ124" i="13" s="1"/>
  <c r="AQ125" i="13" s="1"/>
  <c r="AQ126" i="13" s="1"/>
  <c r="AQ127" i="13" s="1"/>
  <c r="CM115" i="16"/>
  <c r="CM116" i="16" s="1"/>
  <c r="CM117" i="16" s="1"/>
  <c r="CM118" i="16" s="1"/>
  <c r="CM119" i="16" s="1"/>
  <c r="CM120" i="16" s="1"/>
  <c r="CM121" i="16" s="1"/>
  <c r="CM122" i="16" s="1"/>
  <c r="CM123" i="16" s="1"/>
  <c r="CM124" i="16" s="1"/>
  <c r="CM125" i="16" s="1"/>
  <c r="CM126" i="16" s="1"/>
  <c r="CM127" i="16" s="1"/>
  <c r="CM128" i="16" s="1"/>
  <c r="AE160" i="16" s="1"/>
  <c r="DK114" i="15"/>
  <c r="DK115" i="15" s="1"/>
  <c r="DK116" i="15" s="1"/>
  <c r="DK117" i="15" s="1"/>
  <c r="DK118" i="15" s="1"/>
  <c r="DK119" i="15" s="1"/>
  <c r="DK120" i="15" s="1"/>
  <c r="DK121" i="15" s="1"/>
  <c r="DK122" i="15" s="1"/>
  <c r="DK123" i="15" s="1"/>
  <c r="DK124" i="15" s="1"/>
  <c r="DK125" i="15" s="1"/>
  <c r="DK126" i="15" s="1"/>
  <c r="DK127" i="15" s="1"/>
  <c r="DK128" i="15" s="1"/>
  <c r="AG160" i="15" s="1"/>
  <c r="BO114" i="15"/>
  <c r="BO115" i="15" s="1"/>
  <c r="BO116" i="15" s="1"/>
  <c r="BO117" i="15" s="1"/>
  <c r="BO118" i="15" s="1"/>
  <c r="BO119" i="15" s="1"/>
  <c r="BO120" i="15" s="1"/>
  <c r="BO121" i="15" s="1"/>
  <c r="BO122" i="15" s="1"/>
  <c r="BO123" i="15" s="1"/>
  <c r="BO124" i="15" s="1"/>
  <c r="BO125" i="15" s="1"/>
  <c r="BO126" i="15" s="1"/>
  <c r="BO127" i="15" s="1"/>
  <c r="BO128" i="15" s="1"/>
  <c r="AE160" i="15" s="1"/>
  <c r="BO89" i="15"/>
  <c r="BO90" i="15" s="1"/>
  <c r="AQ89" i="13"/>
  <c r="AQ90" i="13" s="1"/>
  <c r="BO114" i="14"/>
  <c r="BO115" i="14" s="1"/>
  <c r="BO116" i="14" s="1"/>
  <c r="BO117" i="14" s="1"/>
  <c r="BO118" i="14" s="1"/>
  <c r="BO119" i="14" s="1"/>
  <c r="BO120" i="14" s="1"/>
  <c r="BO121" i="14" s="1"/>
  <c r="BO122" i="14" s="1"/>
  <c r="BO123" i="14" s="1"/>
  <c r="BO124" i="14" s="1"/>
  <c r="BO125" i="14" s="1"/>
  <c r="BO126" i="14" s="1"/>
  <c r="BO127" i="14" s="1"/>
  <c r="BO128" i="14" s="1"/>
  <c r="AE160" i="14" s="1"/>
  <c r="DK114" i="16"/>
  <c r="DK115" i="16" s="1"/>
  <c r="DK116" i="16" s="1"/>
  <c r="DK117" i="16" s="1"/>
  <c r="DK118" i="16" s="1"/>
  <c r="DK119" i="16" s="1"/>
  <c r="DK120" i="16" s="1"/>
  <c r="DK121" i="16" s="1"/>
  <c r="DK122" i="16" s="1"/>
  <c r="DK123" i="16" s="1"/>
  <c r="DK124" i="16" s="1"/>
  <c r="DK125" i="16" s="1"/>
  <c r="DK126" i="16" s="1"/>
  <c r="DK127" i="16" s="1"/>
  <c r="DK128" i="16" s="1"/>
  <c r="AF160" i="16" s="1"/>
  <c r="DK89" i="15"/>
  <c r="DK90" i="15" s="1"/>
  <c r="BO114" i="16"/>
  <c r="BO115" i="16" s="1"/>
  <c r="BO116" i="16" s="1"/>
  <c r="BO117" i="16" s="1"/>
  <c r="BO118" i="16" s="1"/>
  <c r="BO119" i="16" s="1"/>
  <c r="BO120" i="16" s="1"/>
  <c r="BO121" i="16" s="1"/>
  <c r="BO122" i="16" s="1"/>
  <c r="BO123" i="16" s="1"/>
  <c r="BO124" i="16" s="1"/>
  <c r="BO125" i="16" s="1"/>
  <c r="BO126" i="16" s="1"/>
  <c r="BO127" i="16" s="1"/>
  <c r="BO128" i="16" s="1"/>
  <c r="AD160" i="16" s="1"/>
  <c r="DK89" i="13"/>
  <c r="DK90" i="13" s="1"/>
  <c r="AQ89" i="15"/>
  <c r="AQ90" i="15" s="1"/>
  <c r="DK114" i="14"/>
  <c r="DK115" i="14" s="1"/>
  <c r="DK116" i="14" s="1"/>
  <c r="DK117" i="14" s="1"/>
  <c r="DK118" i="14" s="1"/>
  <c r="DK119" i="14" s="1"/>
  <c r="DK120" i="14" s="1"/>
  <c r="DK121" i="14" s="1"/>
  <c r="DK122" i="14" s="1"/>
  <c r="DK123" i="14" s="1"/>
  <c r="DK124" i="14" s="1"/>
  <c r="DK125" i="14" s="1"/>
  <c r="DK126" i="14" s="1"/>
  <c r="DK127" i="14" s="1"/>
  <c r="DK128" i="14" s="1"/>
  <c r="AG160" i="14" s="1"/>
  <c r="S114" i="13"/>
  <c r="S115" i="13" s="1"/>
  <c r="S116" i="13" s="1"/>
  <c r="S117" i="13" s="1"/>
  <c r="S118" i="13" s="1"/>
  <c r="S119" i="13" s="1"/>
  <c r="S120" i="13" s="1"/>
  <c r="S121" i="13" s="1"/>
  <c r="S122" i="13" s="1"/>
  <c r="S123" i="13" s="1"/>
  <c r="S124" i="13" s="1"/>
  <c r="S125" i="13" s="1"/>
  <c r="S126" i="13" s="1"/>
  <c r="S127" i="13" s="1"/>
  <c r="S128" i="13" s="1"/>
  <c r="AC160" i="13" s="1"/>
  <c r="S89" i="15"/>
  <c r="S90" i="15" s="1"/>
  <c r="L6" i="11"/>
  <c r="D74" i="22"/>
  <c r="AD16" i="2"/>
  <c r="W16" i="2"/>
  <c r="AD10" i="2"/>
  <c r="W10" i="2"/>
  <c r="P16" i="2"/>
  <c r="P10" i="2"/>
  <c r="I16" i="2"/>
  <c r="I10" i="2"/>
  <c r="CH17" i="14" l="1"/>
  <c r="CM17" i="14" s="1"/>
  <c r="CM18" i="14" s="1"/>
  <c r="CM19" i="14" s="1"/>
  <c r="CM20" i="14" s="1"/>
  <c r="BJ17" i="14"/>
  <c r="BO17" i="14" s="1"/>
  <c r="BO18" i="14" s="1"/>
  <c r="BO19" i="14" s="1"/>
  <c r="BO20" i="14" s="1"/>
  <c r="AL17" i="14"/>
  <c r="AQ17" i="14" s="1"/>
  <c r="AQ18" i="14" s="1"/>
  <c r="AQ19" i="14" s="1"/>
  <c r="AQ20" i="14" s="1"/>
  <c r="AQ128" i="13"/>
  <c r="AD160" i="13" s="1"/>
  <c r="DK18" i="14"/>
  <c r="DK19" i="14" s="1"/>
  <c r="DK20" i="14" s="1"/>
  <c r="S17" i="14"/>
  <c r="S18" i="14" s="1"/>
  <c r="S19" i="14" s="1"/>
  <c r="S20" i="14" s="1"/>
  <c r="CU22" i="14"/>
  <c r="CW22" i="14" s="1"/>
  <c r="DF22" i="14" s="1"/>
  <c r="BW22" i="14"/>
  <c r="BY22" i="14" s="1"/>
  <c r="CH22" i="14" s="1"/>
  <c r="AY22" i="14"/>
  <c r="BA22" i="14" s="1"/>
  <c r="BJ22" i="14" s="1"/>
  <c r="AA22" i="14"/>
  <c r="AC22" i="14" s="1"/>
  <c r="AL22" i="14" s="1"/>
  <c r="E22" i="14"/>
  <c r="N22" i="14" s="1"/>
  <c r="CU24" i="14"/>
  <c r="CW24" i="14" s="1"/>
  <c r="DF24" i="14" s="1"/>
  <c r="BW24" i="14"/>
  <c r="BY24" i="14" s="1"/>
  <c r="CH24" i="14" s="1"/>
  <c r="AY24" i="14"/>
  <c r="BA24" i="14" s="1"/>
  <c r="BJ24" i="14" s="1"/>
  <c r="AA24" i="14"/>
  <c r="AC24" i="14" s="1"/>
  <c r="AL24" i="14" s="1"/>
  <c r="E24" i="14"/>
  <c r="N24" i="14" s="1"/>
  <c r="BW21" i="14"/>
  <c r="BY21" i="14" s="1"/>
  <c r="CH21" i="14" s="1"/>
  <c r="CU21" i="14"/>
  <c r="CW21" i="14" s="1"/>
  <c r="DF21" i="14" s="1"/>
  <c r="AY21" i="14"/>
  <c r="BA21" i="14" s="1"/>
  <c r="BJ21" i="14" s="1"/>
  <c r="AA21" i="14"/>
  <c r="AC21" i="14" s="1"/>
  <c r="AL21" i="14" s="1"/>
  <c r="E21" i="14"/>
  <c r="N21" i="14" s="1"/>
  <c r="CU23" i="14"/>
  <c r="CW23" i="14" s="1"/>
  <c r="DF23" i="14" s="1"/>
  <c r="BW23" i="14"/>
  <c r="BY23" i="14" s="1"/>
  <c r="CH23" i="14" s="1"/>
  <c r="AY23" i="14"/>
  <c r="BA23" i="14" s="1"/>
  <c r="BJ23" i="14" s="1"/>
  <c r="AA23" i="14"/>
  <c r="AC23" i="14" s="1"/>
  <c r="AL23" i="14" s="1"/>
  <c r="E23" i="14"/>
  <c r="N23" i="14" s="1"/>
  <c r="D75" i="22"/>
  <c r="X28" i="2"/>
  <c r="Y28" i="2" s="1"/>
  <c r="AE65" i="2"/>
  <c r="Q65" i="2"/>
  <c r="X65" i="2"/>
  <c r="J65" i="2"/>
  <c r="AE44" i="2"/>
  <c r="AE64" i="2" s="1"/>
  <c r="X44" i="2"/>
  <c r="X59" i="2"/>
  <c r="Y59" i="2" s="1"/>
  <c r="J59" i="2"/>
  <c r="X26" i="2"/>
  <c r="Y26" i="2" s="1"/>
  <c r="X29" i="2"/>
  <c r="Y29" i="2" s="1"/>
  <c r="AE24" i="2"/>
  <c r="X24" i="2"/>
  <c r="AE23" i="2"/>
  <c r="AF23" i="2" s="1"/>
  <c r="AE28" i="2"/>
  <c r="AF28" i="2" s="1"/>
  <c r="Q25" i="2"/>
  <c r="R25" i="2" s="1"/>
  <c r="AE29" i="2"/>
  <c r="AF29" i="2" s="1"/>
  <c r="AE26" i="2"/>
  <c r="AF26" i="2" s="1"/>
  <c r="AE25" i="2"/>
  <c r="AF25" i="2" s="1"/>
  <c r="X25" i="2"/>
  <c r="Y25" i="2" s="1"/>
  <c r="X23" i="2"/>
  <c r="Y23" i="2" s="1"/>
  <c r="J25" i="2"/>
  <c r="K25" i="2" s="1"/>
  <c r="J24" i="2"/>
  <c r="J29" i="2"/>
  <c r="K29" i="2" s="1"/>
  <c r="J26" i="2"/>
  <c r="K26" i="2" s="1"/>
  <c r="J20" i="2"/>
  <c r="AQ21" i="14" l="1"/>
  <c r="AQ22" i="14" s="1"/>
  <c r="AQ23" i="14" s="1"/>
  <c r="AQ24" i="14" s="1"/>
  <c r="BW94" i="14"/>
  <c r="BY94" i="14" s="1"/>
  <c r="CH94" i="14" s="1"/>
  <c r="AA94" i="14"/>
  <c r="AC94" i="14" s="1"/>
  <c r="AL94" i="14" s="1"/>
  <c r="AY94" i="14"/>
  <c r="BA94" i="14" s="1"/>
  <c r="BJ94" i="14" s="1"/>
  <c r="C94" i="14"/>
  <c r="E94" i="14" s="1"/>
  <c r="N94" i="14" s="1"/>
  <c r="CU94" i="14"/>
  <c r="CW94" i="14" s="1"/>
  <c r="DF94" i="14" s="1"/>
  <c r="CU91" i="14"/>
  <c r="CW91" i="14" s="1"/>
  <c r="DF91" i="14" s="1"/>
  <c r="BW91" i="14"/>
  <c r="BY91" i="14" s="1"/>
  <c r="CH91" i="14" s="1"/>
  <c r="AY91" i="14"/>
  <c r="BA91" i="14" s="1"/>
  <c r="BJ91" i="14" s="1"/>
  <c r="AA91" i="14"/>
  <c r="AC91" i="14" s="1"/>
  <c r="AL91" i="14" s="1"/>
  <c r="C91" i="14"/>
  <c r="E91" i="14" s="1"/>
  <c r="N91" i="14" s="1"/>
  <c r="CU100" i="14"/>
  <c r="CW100" i="14" s="1"/>
  <c r="DF100" i="14" s="1"/>
  <c r="BW100" i="14"/>
  <c r="BY100" i="14" s="1"/>
  <c r="CH100" i="14" s="1"/>
  <c r="AY100" i="14"/>
  <c r="BA100" i="14" s="1"/>
  <c r="BJ100" i="14" s="1"/>
  <c r="AA100" i="14"/>
  <c r="AC100" i="14" s="1"/>
  <c r="AL100" i="14" s="1"/>
  <c r="C100" i="14"/>
  <c r="E100" i="14" s="1"/>
  <c r="N100" i="14" s="1"/>
  <c r="CU97" i="14"/>
  <c r="CW97" i="14" s="1"/>
  <c r="DF97" i="14" s="1"/>
  <c r="BW97" i="14"/>
  <c r="BY97" i="14" s="1"/>
  <c r="CH97" i="14" s="1"/>
  <c r="AY97" i="14"/>
  <c r="BA97" i="14" s="1"/>
  <c r="BJ97" i="14" s="1"/>
  <c r="AA97" i="14"/>
  <c r="AC97" i="14" s="1"/>
  <c r="AL97" i="14" s="1"/>
  <c r="C97" i="14"/>
  <c r="E97" i="14" s="1"/>
  <c r="N97" i="14" s="1"/>
  <c r="CU103" i="14"/>
  <c r="CW103" i="14" s="1"/>
  <c r="DF103" i="14" s="1"/>
  <c r="BW103" i="14"/>
  <c r="BY103" i="14" s="1"/>
  <c r="CH103" i="14" s="1"/>
  <c r="AY103" i="14"/>
  <c r="BA103" i="14" s="1"/>
  <c r="BJ103" i="14" s="1"/>
  <c r="AA103" i="14"/>
  <c r="AC103" i="14" s="1"/>
  <c r="AL103" i="14" s="1"/>
  <c r="C103" i="14"/>
  <c r="E103" i="14" s="1"/>
  <c r="N103" i="14" s="1"/>
  <c r="DK21" i="14"/>
  <c r="DK22" i="14" s="1"/>
  <c r="DK23" i="14" s="1"/>
  <c r="DK24" i="14" s="1"/>
  <c r="CM21" i="14"/>
  <c r="CM22" i="14" s="1"/>
  <c r="CM23" i="14" s="1"/>
  <c r="CM24" i="14" s="1"/>
  <c r="S21" i="14"/>
  <c r="BO21" i="14"/>
  <c r="BO22" i="14" s="1"/>
  <c r="BO23" i="14" s="1"/>
  <c r="BO24" i="14" s="1"/>
  <c r="X64" i="2"/>
  <c r="T22" i="8" s="1"/>
  <c r="K59" i="2"/>
  <c r="K64" i="2" s="1"/>
  <c r="J64" i="2"/>
  <c r="K24" i="2"/>
  <c r="AF24" i="2"/>
  <c r="Y24" i="2"/>
  <c r="K20" i="2"/>
  <c r="J22" i="2"/>
  <c r="V22" i="8"/>
  <c r="Y44" i="2"/>
  <c r="CU94" i="16"/>
  <c r="CW94" i="16" s="1"/>
  <c r="DF94" i="16" s="1"/>
  <c r="BW94" i="16"/>
  <c r="BY94" i="16" s="1"/>
  <c r="CH94" i="16" s="1"/>
  <c r="AY94" i="16"/>
  <c r="BA94" i="16" s="1"/>
  <c r="BJ94" i="16" s="1"/>
  <c r="AA94" i="16"/>
  <c r="AC94" i="16" s="1"/>
  <c r="AL94" i="16" s="1"/>
  <c r="C94" i="16"/>
  <c r="E94" i="16" s="1"/>
  <c r="N94" i="16" s="1"/>
  <c r="CW94" i="15"/>
  <c r="DF94" i="15" s="1"/>
  <c r="BW94" i="15"/>
  <c r="BY94" i="15" s="1"/>
  <c r="CH94" i="15" s="1"/>
  <c r="AY94" i="15"/>
  <c r="BA94" i="15" s="1"/>
  <c r="BJ94" i="15" s="1"/>
  <c r="AA94" i="15"/>
  <c r="AC94" i="15" s="1"/>
  <c r="AL94" i="15" s="1"/>
  <c r="C94" i="15"/>
  <c r="E94" i="15" s="1"/>
  <c r="N94" i="15" s="1"/>
  <c r="CU94" i="13"/>
  <c r="CW94" i="13" s="1"/>
  <c r="DF94" i="13" s="1"/>
  <c r="BW94" i="13"/>
  <c r="BY94" i="13" s="1"/>
  <c r="CH94" i="13" s="1"/>
  <c r="AY94" i="13"/>
  <c r="BA94" i="13" s="1"/>
  <c r="BJ94" i="13" s="1"/>
  <c r="AA94" i="13"/>
  <c r="AC94" i="13" s="1"/>
  <c r="AL94" i="13" s="1"/>
  <c r="C94" i="13"/>
  <c r="E94" i="13" s="1"/>
  <c r="N94" i="13" s="1"/>
  <c r="CU91" i="16"/>
  <c r="CW91" i="16" s="1"/>
  <c r="DF91" i="16" s="1"/>
  <c r="AY91" i="16"/>
  <c r="BA91" i="16" s="1"/>
  <c r="BJ91" i="16" s="1"/>
  <c r="C91" i="16"/>
  <c r="E91" i="16" s="1"/>
  <c r="N91" i="16" s="1"/>
  <c r="BW91" i="15"/>
  <c r="BY91" i="15" s="1"/>
  <c r="CH91" i="15" s="1"/>
  <c r="AA91" i="15"/>
  <c r="AC91" i="15" s="1"/>
  <c r="AL91" i="15" s="1"/>
  <c r="CU91" i="13"/>
  <c r="CW91" i="13" s="1"/>
  <c r="DF91" i="13" s="1"/>
  <c r="AY91" i="13"/>
  <c r="BA91" i="13" s="1"/>
  <c r="BJ91" i="13" s="1"/>
  <c r="BW91" i="16"/>
  <c r="BY91" i="16" s="1"/>
  <c r="CH91" i="16" s="1"/>
  <c r="AA91" i="16"/>
  <c r="AC91" i="16" s="1"/>
  <c r="AL91" i="16" s="1"/>
  <c r="CW91" i="15"/>
  <c r="DF91" i="15" s="1"/>
  <c r="AY91" i="15"/>
  <c r="BA91" i="15" s="1"/>
  <c r="BJ91" i="15" s="1"/>
  <c r="C91" i="15"/>
  <c r="E91" i="15" s="1"/>
  <c r="N91" i="15" s="1"/>
  <c r="BW91" i="13"/>
  <c r="BY91" i="13" s="1"/>
  <c r="CH91" i="13" s="1"/>
  <c r="AA91" i="13"/>
  <c r="AC91" i="13" s="1"/>
  <c r="AL91" i="13" s="1"/>
  <c r="C91" i="13"/>
  <c r="E91" i="13" s="1"/>
  <c r="N91" i="13" s="1"/>
  <c r="CU100" i="16"/>
  <c r="CW100" i="16" s="1"/>
  <c r="DF100" i="16" s="1"/>
  <c r="BW100" i="16"/>
  <c r="BY100" i="16" s="1"/>
  <c r="CH100" i="16" s="1"/>
  <c r="AY100" i="16"/>
  <c r="BA100" i="16" s="1"/>
  <c r="BJ100" i="16" s="1"/>
  <c r="AA100" i="16"/>
  <c r="AC100" i="16" s="1"/>
  <c r="AL100" i="16" s="1"/>
  <c r="C100" i="16"/>
  <c r="E100" i="16" s="1"/>
  <c r="N100" i="16" s="1"/>
  <c r="CW100" i="15"/>
  <c r="DF100" i="15" s="1"/>
  <c r="BW100" i="15"/>
  <c r="BY100" i="15" s="1"/>
  <c r="CH100" i="15" s="1"/>
  <c r="AY100" i="15"/>
  <c r="BA100" i="15" s="1"/>
  <c r="BJ100" i="15" s="1"/>
  <c r="AA100" i="15"/>
  <c r="AC100" i="15" s="1"/>
  <c r="AL100" i="15" s="1"/>
  <c r="C100" i="15"/>
  <c r="E100" i="15" s="1"/>
  <c r="N100" i="15" s="1"/>
  <c r="CU100" i="13"/>
  <c r="CW100" i="13" s="1"/>
  <c r="DF100" i="13" s="1"/>
  <c r="BW100" i="13"/>
  <c r="BY100" i="13" s="1"/>
  <c r="CH100" i="13" s="1"/>
  <c r="AY100" i="13"/>
  <c r="BA100" i="13" s="1"/>
  <c r="BJ100" i="13" s="1"/>
  <c r="AA100" i="13"/>
  <c r="AC100" i="13" s="1"/>
  <c r="AL100" i="13" s="1"/>
  <c r="C100" i="13"/>
  <c r="E100" i="13" s="1"/>
  <c r="N100" i="13" s="1"/>
  <c r="C97" i="13"/>
  <c r="E97" i="13" s="1"/>
  <c r="N97" i="13" s="1"/>
  <c r="CU97" i="16"/>
  <c r="CW97" i="16" s="1"/>
  <c r="DF97" i="16" s="1"/>
  <c r="BW97" i="16"/>
  <c r="BY97" i="16" s="1"/>
  <c r="CH97" i="16" s="1"/>
  <c r="AY97" i="16"/>
  <c r="BA97" i="16" s="1"/>
  <c r="BJ97" i="16" s="1"/>
  <c r="AA97" i="16"/>
  <c r="AC97" i="16" s="1"/>
  <c r="AL97" i="16" s="1"/>
  <c r="C97" i="16"/>
  <c r="E97" i="16" s="1"/>
  <c r="N97" i="16" s="1"/>
  <c r="CW97" i="15"/>
  <c r="DF97" i="15" s="1"/>
  <c r="BW97" i="15"/>
  <c r="BY97" i="15" s="1"/>
  <c r="CH97" i="15" s="1"/>
  <c r="AY97" i="15"/>
  <c r="BA97" i="15" s="1"/>
  <c r="BJ97" i="15" s="1"/>
  <c r="AA97" i="15"/>
  <c r="AC97" i="15" s="1"/>
  <c r="AL97" i="15" s="1"/>
  <c r="C97" i="15"/>
  <c r="E97" i="15" s="1"/>
  <c r="N97" i="15" s="1"/>
  <c r="CU97" i="13"/>
  <c r="CW97" i="13" s="1"/>
  <c r="DF97" i="13" s="1"/>
  <c r="BW97" i="13"/>
  <c r="BY97" i="13" s="1"/>
  <c r="CH97" i="13" s="1"/>
  <c r="AY97" i="13"/>
  <c r="BA97" i="13" s="1"/>
  <c r="BJ97" i="13" s="1"/>
  <c r="AA97" i="13"/>
  <c r="AC97" i="13" s="1"/>
  <c r="AL97" i="13" s="1"/>
  <c r="C103" i="13"/>
  <c r="E103" i="13" s="1"/>
  <c r="N103" i="13" s="1"/>
  <c r="BW103" i="16"/>
  <c r="BY103" i="16" s="1"/>
  <c r="CH103" i="16" s="1"/>
  <c r="AA103" i="16"/>
  <c r="AC103" i="16" s="1"/>
  <c r="AL103" i="16" s="1"/>
  <c r="CW103" i="15"/>
  <c r="DF103" i="15" s="1"/>
  <c r="AY103" i="15"/>
  <c r="BA103" i="15" s="1"/>
  <c r="BJ103" i="15" s="1"/>
  <c r="C103" i="15"/>
  <c r="E103" i="15" s="1"/>
  <c r="N103" i="15" s="1"/>
  <c r="BW103" i="13"/>
  <c r="BY103" i="13" s="1"/>
  <c r="CH103" i="13" s="1"/>
  <c r="AA103" i="13"/>
  <c r="AC103" i="13" s="1"/>
  <c r="AL103" i="13" s="1"/>
  <c r="CU103" i="16"/>
  <c r="CW103" i="16" s="1"/>
  <c r="DF103" i="16" s="1"/>
  <c r="AY103" i="16"/>
  <c r="BA103" i="16" s="1"/>
  <c r="BJ103" i="16" s="1"/>
  <c r="C103" i="16"/>
  <c r="E103" i="16" s="1"/>
  <c r="N103" i="16" s="1"/>
  <c r="BW103" i="15"/>
  <c r="BY103" i="15" s="1"/>
  <c r="CH103" i="15" s="1"/>
  <c r="AA103" i="15"/>
  <c r="AC103" i="15" s="1"/>
  <c r="AL103" i="15" s="1"/>
  <c r="CU103" i="13"/>
  <c r="CW103" i="13" s="1"/>
  <c r="DF103" i="13" s="1"/>
  <c r="AY103" i="13"/>
  <c r="BA103" i="13" s="1"/>
  <c r="BJ103" i="13" s="1"/>
  <c r="E43" i="10"/>
  <c r="F43" i="10" s="1"/>
  <c r="Z43" i="10" s="1"/>
  <c r="E51" i="10"/>
  <c r="F51" i="10" s="1"/>
  <c r="Z51" i="10" s="1"/>
  <c r="E54" i="10"/>
  <c r="F54" i="10" s="1"/>
  <c r="Z54" i="10" s="1"/>
  <c r="E44" i="10"/>
  <c r="F44" i="10" s="1"/>
  <c r="Z44" i="10" s="1"/>
  <c r="E52" i="10"/>
  <c r="F52" i="10" s="1"/>
  <c r="Z52" i="10" s="1"/>
  <c r="E45" i="10"/>
  <c r="F45" i="10" s="1"/>
  <c r="Z45" i="10" s="1"/>
  <c r="E53" i="10"/>
  <c r="F53" i="10" s="1"/>
  <c r="Z53" i="10" s="1"/>
  <c r="E46" i="10"/>
  <c r="F46" i="10" s="1"/>
  <c r="Z46" i="10" s="1"/>
  <c r="E47" i="10"/>
  <c r="F47" i="10" s="1"/>
  <c r="Z47" i="10" s="1"/>
  <c r="E41" i="10"/>
  <c r="F41" i="10" s="1"/>
  <c r="Z41" i="10" s="1"/>
  <c r="E50" i="10"/>
  <c r="F50" i="10" s="1"/>
  <c r="Z50" i="10" s="1"/>
  <c r="E40" i="10"/>
  <c r="F40" i="10" s="1"/>
  <c r="Z40" i="10" s="1"/>
  <c r="E48" i="10"/>
  <c r="F48" i="10" s="1"/>
  <c r="Z48" i="10" s="1"/>
  <c r="E49" i="10"/>
  <c r="F49" i="10" s="1"/>
  <c r="Z49" i="10" s="1"/>
  <c r="E42" i="10"/>
  <c r="F42" i="10" s="1"/>
  <c r="Z42" i="10" s="1"/>
  <c r="K65" i="2"/>
  <c r="K67" i="2" s="1"/>
  <c r="J67" i="2"/>
  <c r="Y65" i="2"/>
  <c r="Y67" i="2" s="1"/>
  <c r="X67" i="2"/>
  <c r="F56" i="22" s="1"/>
  <c r="R65" i="2"/>
  <c r="R67" i="2" s="1"/>
  <c r="Q67" i="2"/>
  <c r="AF65" i="2"/>
  <c r="AF67" i="2" s="1"/>
  <c r="AE67" i="2"/>
  <c r="AH53" i="13" s="1"/>
  <c r="AI53" i="13" s="1"/>
  <c r="AN53" i="13" s="1"/>
  <c r="AF44" i="2"/>
  <c r="AF64" i="2" s="1"/>
  <c r="DD94" i="13" l="1"/>
  <c r="DI94" i="13" s="1"/>
  <c r="DD91" i="13"/>
  <c r="DI91" i="13" s="1"/>
  <c r="S22" i="14"/>
  <c r="S23" i="14" s="1"/>
  <c r="S24" i="14" s="1"/>
  <c r="CU25" i="14"/>
  <c r="CW25" i="14" s="1"/>
  <c r="AA25" i="14"/>
  <c r="AC25" i="14" s="1"/>
  <c r="BW25" i="14"/>
  <c r="BY25" i="14" s="1"/>
  <c r="AY25" i="14"/>
  <c r="BA25" i="14" s="1"/>
  <c r="E25" i="14"/>
  <c r="N25" i="14" s="1"/>
  <c r="CU26" i="14"/>
  <c r="CW26" i="14" s="1"/>
  <c r="DF26" i="14" s="1"/>
  <c r="BW26" i="14"/>
  <c r="BY26" i="14" s="1"/>
  <c r="CH26" i="14" s="1"/>
  <c r="AY26" i="14"/>
  <c r="BA26" i="14" s="1"/>
  <c r="BJ26" i="14" s="1"/>
  <c r="AA26" i="14"/>
  <c r="AC26" i="14" s="1"/>
  <c r="AL26" i="14" s="1"/>
  <c r="E26" i="14"/>
  <c r="N26" i="14" s="1"/>
  <c r="CU27" i="14"/>
  <c r="CW27" i="14" s="1"/>
  <c r="DF27" i="14" s="1"/>
  <c r="BW27" i="14"/>
  <c r="BY27" i="14" s="1"/>
  <c r="CH27" i="14" s="1"/>
  <c r="AY27" i="14"/>
  <c r="BA27" i="14" s="1"/>
  <c r="BJ27" i="14" s="1"/>
  <c r="AA27" i="14"/>
  <c r="AC27" i="14" s="1"/>
  <c r="AL27" i="14" s="1"/>
  <c r="E27" i="14"/>
  <c r="N27" i="14" s="1"/>
  <c r="Y64" i="2"/>
  <c r="U22" i="8" s="1"/>
  <c r="F39" i="22" s="1"/>
  <c r="Q22" i="8"/>
  <c r="K22" i="2"/>
  <c r="DB128" i="16"/>
  <c r="J128" i="16"/>
  <c r="AH128" i="15"/>
  <c r="BF128" i="14"/>
  <c r="CD128" i="13"/>
  <c r="CD128" i="16"/>
  <c r="DB128" i="15"/>
  <c r="J128" i="15"/>
  <c r="AH128" i="14"/>
  <c r="BF128" i="13"/>
  <c r="BF128" i="16"/>
  <c r="CD128" i="15"/>
  <c r="DB128" i="14"/>
  <c r="J128" i="14"/>
  <c r="AH128" i="16"/>
  <c r="J128" i="13"/>
  <c r="BF128" i="15"/>
  <c r="CD128" i="14"/>
  <c r="DB128" i="13"/>
  <c r="W22" i="8"/>
  <c r="S91" i="15"/>
  <c r="S92" i="15" s="1"/>
  <c r="S93" i="15" s="1"/>
  <c r="CM91" i="15"/>
  <c r="CM92" i="15" s="1"/>
  <c r="CM93" i="15" s="1"/>
  <c r="G56" i="22"/>
  <c r="DB103" i="16"/>
  <c r="J103" i="16"/>
  <c r="AH103" i="15"/>
  <c r="BF103" i="14"/>
  <c r="CD103" i="13"/>
  <c r="BF103" i="16"/>
  <c r="CD103" i="15"/>
  <c r="DB103" i="14"/>
  <c r="J103" i="14"/>
  <c r="CD103" i="16"/>
  <c r="J103" i="15"/>
  <c r="BF103" i="13"/>
  <c r="BG103" i="13" s="1"/>
  <c r="BL103" i="13" s="1"/>
  <c r="DB103" i="15"/>
  <c r="AH103" i="14"/>
  <c r="AH103" i="16"/>
  <c r="J103" i="13"/>
  <c r="CD103" i="14"/>
  <c r="DB103" i="13"/>
  <c r="BF103" i="15"/>
  <c r="AQ91" i="13"/>
  <c r="AQ92" i="13" s="1"/>
  <c r="AQ93" i="13" s="1"/>
  <c r="BO91" i="15"/>
  <c r="BO92" i="15" s="1"/>
  <c r="BO93" i="15" s="1"/>
  <c r="BO91" i="13"/>
  <c r="BO92" i="13" s="1"/>
  <c r="BO93" i="13" s="1"/>
  <c r="S91" i="16"/>
  <c r="S92" i="16" s="1"/>
  <c r="S93" i="16" s="1"/>
  <c r="S94" i="16" s="1"/>
  <c r="S95" i="16" s="1"/>
  <c r="S96" i="16" s="1"/>
  <c r="AQ91" i="14"/>
  <c r="AQ92" i="14" s="1"/>
  <c r="AQ93" i="14" s="1"/>
  <c r="CM91" i="13"/>
  <c r="CM92" i="13" s="1"/>
  <c r="CM93" i="13" s="1"/>
  <c r="DK91" i="15"/>
  <c r="DK92" i="15" s="1"/>
  <c r="DK93" i="15" s="1"/>
  <c r="DK91" i="13"/>
  <c r="DK92" i="13" s="1"/>
  <c r="DK93" i="13" s="1"/>
  <c r="BO91" i="16"/>
  <c r="BO92" i="16" s="1"/>
  <c r="BO93" i="16" s="1"/>
  <c r="BO91" i="14"/>
  <c r="BO92" i="14" s="1"/>
  <c r="BO93" i="14" s="1"/>
  <c r="S91" i="13"/>
  <c r="S92" i="13" s="1"/>
  <c r="S93" i="13" s="1"/>
  <c r="CM91" i="16"/>
  <c r="CM92" i="16" s="1"/>
  <c r="CM93" i="16" s="1"/>
  <c r="CM91" i="14"/>
  <c r="CM92" i="14" s="1"/>
  <c r="CM93" i="14" s="1"/>
  <c r="S91" i="14"/>
  <c r="S92" i="14" s="1"/>
  <c r="S93" i="14" s="1"/>
  <c r="AQ91" i="16"/>
  <c r="AQ92" i="16" s="1"/>
  <c r="AQ93" i="16" s="1"/>
  <c r="AQ91" i="15"/>
  <c r="AQ92" i="15" s="1"/>
  <c r="AQ93" i="15" s="1"/>
  <c r="DK91" i="16"/>
  <c r="DK92" i="16" s="1"/>
  <c r="DK93" i="16" s="1"/>
  <c r="DK91" i="14"/>
  <c r="DK92" i="14" s="1"/>
  <c r="DK93" i="14" s="1"/>
  <c r="F48" i="22"/>
  <c r="F50" i="22"/>
  <c r="V28" i="10"/>
  <c r="D56" i="22"/>
  <c r="V54" i="10"/>
  <c r="E56" i="22"/>
  <c r="J53" i="13"/>
  <c r="K53" i="13" s="1"/>
  <c r="P53" i="13" s="1"/>
  <c r="CD53" i="13"/>
  <c r="J53" i="14"/>
  <c r="DC53" i="15"/>
  <c r="DH53" i="15" s="1"/>
  <c r="DB53" i="14"/>
  <c r="J53" i="16"/>
  <c r="DB53" i="16"/>
  <c r="CD53" i="15"/>
  <c r="BF53" i="13"/>
  <c r="AH53" i="15"/>
  <c r="CD53" i="16"/>
  <c r="BF53" i="15"/>
  <c r="CD53" i="14"/>
  <c r="AH53" i="16"/>
  <c r="AH53" i="14"/>
  <c r="BF53" i="16"/>
  <c r="BF53" i="14"/>
  <c r="J53" i="15"/>
  <c r="DB53" i="13"/>
  <c r="V106" i="10"/>
  <c r="CD27" i="15"/>
  <c r="DB27" i="15"/>
  <c r="CD27" i="16"/>
  <c r="DB27" i="14"/>
  <c r="BF27" i="16"/>
  <c r="AH27" i="14"/>
  <c r="J27" i="13"/>
  <c r="K27" i="13" s="1"/>
  <c r="P27" i="13" s="1"/>
  <c r="CD27" i="14"/>
  <c r="J27" i="15"/>
  <c r="AH27" i="16"/>
  <c r="BF27" i="15"/>
  <c r="BG27" i="15" s="1"/>
  <c r="BL27" i="15" s="1"/>
  <c r="DB27" i="13"/>
  <c r="DB27" i="16"/>
  <c r="CD27" i="13"/>
  <c r="CE27" i="13" s="1"/>
  <c r="CJ27" i="13" s="1"/>
  <c r="BF27" i="14"/>
  <c r="J27" i="16"/>
  <c r="AH27" i="15"/>
  <c r="AI27" i="15" s="1"/>
  <c r="AN27" i="15" s="1"/>
  <c r="J27" i="14"/>
  <c r="AH27" i="13"/>
  <c r="AI27" i="13" s="1"/>
  <c r="AN27" i="13" s="1"/>
  <c r="BF27" i="13"/>
  <c r="BG27" i="13" s="1"/>
  <c r="BL27" i="13" s="1"/>
  <c r="V80" i="10"/>
  <c r="CE18" i="15"/>
  <c r="CJ18" i="15" s="1"/>
  <c r="DC21" i="15"/>
  <c r="DH21" i="15" s="1"/>
  <c r="DC17" i="15"/>
  <c r="DH17" i="15" s="1"/>
  <c r="DC22" i="15"/>
  <c r="DH22" i="15" s="1"/>
  <c r="CE16" i="16"/>
  <c r="CJ16" i="16" s="1"/>
  <c r="BG23" i="14"/>
  <c r="BL23" i="14" s="1"/>
  <c r="CE14" i="14"/>
  <c r="CJ14" i="14" s="1"/>
  <c r="AI26" i="16"/>
  <c r="AN26" i="16" s="1"/>
  <c r="AI25" i="13"/>
  <c r="AN25" i="13" s="1"/>
  <c r="DC15" i="14"/>
  <c r="DH15" i="14" s="1"/>
  <c r="DC18" i="16"/>
  <c r="DH18" i="16" s="1"/>
  <c r="CE21" i="14"/>
  <c r="CJ21" i="14" s="1"/>
  <c r="DC23" i="13"/>
  <c r="DH23" i="13" s="1"/>
  <c r="BG25" i="16"/>
  <c r="BL25" i="16" s="1"/>
  <c r="K17" i="16"/>
  <c r="P17" i="16" s="1"/>
  <c r="BG17" i="15"/>
  <c r="BL17" i="15" s="1"/>
  <c r="CE25" i="16"/>
  <c r="CJ25" i="16" s="1"/>
  <c r="CE13" i="14"/>
  <c r="CJ13" i="14" s="1"/>
  <c r="DC19" i="14"/>
  <c r="DH19" i="14" s="1"/>
  <c r="CE14" i="13"/>
  <c r="CJ14" i="13" s="1"/>
  <c r="AI16" i="16"/>
  <c r="AN16" i="16" s="1"/>
  <c r="BG24" i="15"/>
  <c r="BL24" i="15" s="1"/>
  <c r="BG14" i="14"/>
  <c r="BL14" i="14" s="1"/>
  <c r="DC13" i="14"/>
  <c r="DH13" i="14" s="1"/>
  <c r="DC22" i="13"/>
  <c r="DH22" i="13" s="1"/>
  <c r="K15" i="16"/>
  <c r="P15" i="16" s="1"/>
  <c r="AI13" i="15"/>
  <c r="AN13" i="15" s="1"/>
  <c r="DC20" i="16"/>
  <c r="DH20" i="16" s="1"/>
  <c r="DC18" i="14"/>
  <c r="DH18" i="14" s="1"/>
  <c r="CE22" i="14"/>
  <c r="CJ22" i="14" s="1"/>
  <c r="BG26" i="16"/>
  <c r="BL26" i="16" s="1"/>
  <c r="K14" i="16"/>
  <c r="P14" i="16" s="1"/>
  <c r="AI17" i="14"/>
  <c r="AN17" i="14" s="1"/>
  <c r="BG26" i="15"/>
  <c r="BL26" i="15" s="1"/>
  <c r="AI14" i="16"/>
  <c r="AN14" i="16" s="1"/>
  <c r="BG24" i="14"/>
  <c r="BL24" i="14" s="1"/>
  <c r="K20" i="16"/>
  <c r="P20" i="16" s="1"/>
  <c r="AI19" i="14"/>
  <c r="AN19" i="14" s="1"/>
  <c r="AI20" i="13"/>
  <c r="AN20" i="13" s="1"/>
  <c r="CE26" i="16"/>
  <c r="CJ26" i="16" s="1"/>
  <c r="K24" i="16"/>
  <c r="P24" i="16" s="1"/>
  <c r="K23" i="14"/>
  <c r="P23" i="14" s="1"/>
  <c r="CE24" i="16"/>
  <c r="CJ24" i="16" s="1"/>
  <c r="CE26" i="14"/>
  <c r="CJ26" i="14" s="1"/>
  <c r="K20" i="15"/>
  <c r="P20" i="15" s="1"/>
  <c r="CE16" i="13"/>
  <c r="CJ16" i="13" s="1"/>
  <c r="BG17" i="16"/>
  <c r="BL17" i="16" s="1"/>
  <c r="K26" i="13"/>
  <c r="P26" i="13" s="1"/>
  <c r="DC23" i="14"/>
  <c r="DH23" i="14" s="1"/>
  <c r="CE23" i="14"/>
  <c r="CJ23" i="14" s="1"/>
  <c r="CE18" i="14"/>
  <c r="CJ18" i="14" s="1"/>
  <c r="K22" i="16"/>
  <c r="P22" i="16" s="1"/>
  <c r="AI21" i="16"/>
  <c r="AN21" i="16" s="1"/>
  <c r="K25" i="14"/>
  <c r="P25" i="14" s="1"/>
  <c r="CE18" i="16"/>
  <c r="CJ18" i="16" s="1"/>
  <c r="K26" i="16"/>
  <c r="P26" i="16" s="1"/>
  <c r="K16" i="16"/>
  <c r="P16" i="16" s="1"/>
  <c r="BG22" i="15"/>
  <c r="BL22" i="15" s="1"/>
  <c r="K26" i="14"/>
  <c r="P26" i="14" s="1"/>
  <c r="DC16" i="16"/>
  <c r="DH16" i="16" s="1"/>
  <c r="W69" i="10"/>
  <c r="AB69" i="10" s="1"/>
  <c r="W72" i="10"/>
  <c r="AB72" i="10" s="1"/>
  <c r="W73" i="10"/>
  <c r="AB73" i="10" s="1"/>
  <c r="W71" i="10"/>
  <c r="AB71" i="10" s="1"/>
  <c r="W67" i="10"/>
  <c r="AB67" i="10" s="1"/>
  <c r="W75" i="10"/>
  <c r="AB75" i="10" s="1"/>
  <c r="AE16" i="10"/>
  <c r="AE17" i="10" s="1"/>
  <c r="AE18" i="10" s="1"/>
  <c r="AE39" i="10"/>
  <c r="AH103" i="13" l="1"/>
  <c r="AI103" i="13" s="1"/>
  <c r="AN103" i="13" s="1"/>
  <c r="K103" i="13"/>
  <c r="P103" i="13" s="1"/>
  <c r="DF25" i="14"/>
  <c r="DK25" i="14" s="1"/>
  <c r="DK26" i="14" s="1"/>
  <c r="DK27" i="14" s="1"/>
  <c r="M160" i="14" s="1"/>
  <c r="BJ25" i="14"/>
  <c r="BO25" i="14" s="1"/>
  <c r="BO26" i="14" s="1"/>
  <c r="BO27" i="14" s="1"/>
  <c r="K160" i="14" s="1"/>
  <c r="CH25" i="14"/>
  <c r="CM25" i="14" s="1"/>
  <c r="CM26" i="14" s="1"/>
  <c r="CM27" i="14" s="1"/>
  <c r="L160" i="14" s="1"/>
  <c r="AH128" i="13"/>
  <c r="AI128" i="13" s="1"/>
  <c r="K128" i="13"/>
  <c r="P128" i="13" s="1"/>
  <c r="AL25" i="14"/>
  <c r="AQ25" i="14" s="1"/>
  <c r="AQ26" i="14" s="1"/>
  <c r="AQ27" i="14" s="1"/>
  <c r="J160" i="14" s="1"/>
  <c r="AI19" i="15"/>
  <c r="AN19" i="15" s="1"/>
  <c r="K17" i="15"/>
  <c r="P17" i="15" s="1"/>
  <c r="CE15" i="15"/>
  <c r="CE26" i="15"/>
  <c r="F49" i="22"/>
  <c r="K21" i="15"/>
  <c r="AI16" i="15"/>
  <c r="AN16" i="15" s="1"/>
  <c r="AI17" i="15"/>
  <c r="AI18" i="15"/>
  <c r="AN18" i="15" s="1"/>
  <c r="K13" i="15"/>
  <c r="CE25" i="15"/>
  <c r="DC24" i="15"/>
  <c r="DH24" i="15" s="1"/>
  <c r="S25" i="14"/>
  <c r="S26" i="14" s="1"/>
  <c r="S27" i="14" s="1"/>
  <c r="I160" i="14" s="1"/>
  <c r="F51" i="22"/>
  <c r="F43" i="22"/>
  <c r="F38" i="22"/>
  <c r="F47" i="22"/>
  <c r="CE24" i="15"/>
  <c r="CJ24" i="15" s="1"/>
  <c r="CE16" i="15"/>
  <c r="CJ16" i="15" s="1"/>
  <c r="CE17" i="15"/>
  <c r="CJ17" i="15" s="1"/>
  <c r="CE21" i="15"/>
  <c r="CE14" i="16"/>
  <c r="CJ14" i="16" s="1"/>
  <c r="BG19" i="14"/>
  <c r="BL19" i="14" s="1"/>
  <c r="DC19" i="13"/>
  <c r="AI15" i="16"/>
  <c r="AN15" i="16" s="1"/>
  <c r="AI15" i="14"/>
  <c r="DC22" i="16"/>
  <c r="BG18" i="14"/>
  <c r="BL18" i="14" s="1"/>
  <c r="DC21" i="14"/>
  <c r="DH21" i="14" s="1"/>
  <c r="CE17" i="14"/>
  <c r="DC21" i="13"/>
  <c r="K25" i="16"/>
  <c r="BG14" i="16"/>
  <c r="BL14" i="16" s="1"/>
  <c r="K15" i="15"/>
  <c r="P15" i="15" s="1"/>
  <c r="K27" i="14"/>
  <c r="AI18" i="13"/>
  <c r="AN18" i="13" s="1"/>
  <c r="CE21" i="16"/>
  <c r="CJ21" i="16" s="1"/>
  <c r="DC19" i="16"/>
  <c r="DH19" i="16" s="1"/>
  <c r="DC17" i="14"/>
  <c r="DH17" i="14" s="1"/>
  <c r="BG22" i="16"/>
  <c r="BL22" i="16" s="1"/>
  <c r="BG13" i="16"/>
  <c r="BL13" i="16" s="1"/>
  <c r="K23" i="15"/>
  <c r="P23" i="15" s="1"/>
  <c r="AI19" i="13"/>
  <c r="AN19" i="13" s="1"/>
  <c r="CE16" i="14"/>
  <c r="CJ16" i="14" s="1"/>
  <c r="CE19" i="14"/>
  <c r="DC20" i="13"/>
  <c r="DH20" i="13" s="1"/>
  <c r="AI25" i="16"/>
  <c r="AN25" i="16" s="1"/>
  <c r="K13" i="16"/>
  <c r="P13" i="16" s="1"/>
  <c r="K18" i="15"/>
  <c r="P18" i="15" s="1"/>
  <c r="AI26" i="14"/>
  <c r="AN26" i="14" s="1"/>
  <c r="AI14" i="13"/>
  <c r="AN14" i="13" s="1"/>
  <c r="DC27" i="14"/>
  <c r="CE20" i="16"/>
  <c r="CE18" i="13"/>
  <c r="AI19" i="16"/>
  <c r="AN19" i="16" s="1"/>
  <c r="BG16" i="15"/>
  <c r="BL16" i="15" s="1"/>
  <c r="AI16" i="13"/>
  <c r="AN16" i="13" s="1"/>
  <c r="K22" i="14"/>
  <c r="P22" i="14" s="1"/>
  <c r="CE22" i="16"/>
  <c r="K18" i="16"/>
  <c r="K14" i="15"/>
  <c r="AI18" i="14"/>
  <c r="AN18" i="14" s="1"/>
  <c r="BG23" i="16"/>
  <c r="BL23" i="16" s="1"/>
  <c r="CE15" i="14"/>
  <c r="AI23" i="13"/>
  <c r="AN23" i="13" s="1"/>
  <c r="BG20" i="16"/>
  <c r="K21" i="14"/>
  <c r="CE15" i="16"/>
  <c r="CJ15" i="16" s="1"/>
  <c r="DC16" i="13"/>
  <c r="DC23" i="16"/>
  <c r="AI23" i="16"/>
  <c r="AN23" i="16" s="1"/>
  <c r="BG25" i="15"/>
  <c r="BL25" i="15" s="1"/>
  <c r="K24" i="13"/>
  <c r="BG20" i="14"/>
  <c r="BL20" i="14" s="1"/>
  <c r="DC15" i="13"/>
  <c r="BG23" i="15"/>
  <c r="BL23" i="15" s="1"/>
  <c r="K16" i="14"/>
  <c r="P16" i="14" s="1"/>
  <c r="BG17" i="14"/>
  <c r="BL17" i="14" s="1"/>
  <c r="K27" i="15"/>
  <c r="AI20" i="15"/>
  <c r="BH16" i="13"/>
  <c r="BM16" i="13" s="1"/>
  <c r="W77" i="10"/>
  <c r="W70" i="10"/>
  <c r="AB70" i="10" s="1"/>
  <c r="W66" i="10"/>
  <c r="AB66" i="10" s="1"/>
  <c r="W68" i="10"/>
  <c r="F52" i="22"/>
  <c r="F45" i="22"/>
  <c r="F44" i="22"/>
  <c r="DC16" i="15"/>
  <c r="DH16" i="15" s="1"/>
  <c r="DC13" i="15"/>
  <c r="DH13" i="15" s="1"/>
  <c r="CE27" i="15"/>
  <c r="CJ27" i="15" s="1"/>
  <c r="DC24" i="16"/>
  <c r="DH24" i="16" s="1"/>
  <c r="DC14" i="14"/>
  <c r="BG13" i="14"/>
  <c r="DC13" i="13"/>
  <c r="DH13" i="13" s="1"/>
  <c r="K24" i="15"/>
  <c r="AI14" i="14"/>
  <c r="AN14" i="14" s="1"/>
  <c r="CE20" i="14"/>
  <c r="CJ20" i="14" s="1"/>
  <c r="BG27" i="14"/>
  <c r="BL27" i="14" s="1"/>
  <c r="DC27" i="13"/>
  <c r="DH27" i="13" s="1"/>
  <c r="CE25" i="13"/>
  <c r="BG21" i="16"/>
  <c r="BL21" i="16" s="1"/>
  <c r="AI16" i="14"/>
  <c r="AI26" i="13"/>
  <c r="AN26" i="13" s="1"/>
  <c r="CE17" i="16"/>
  <c r="DC26" i="14"/>
  <c r="CE24" i="14"/>
  <c r="CJ24" i="14" s="1"/>
  <c r="K21" i="16"/>
  <c r="AJ27" i="15"/>
  <c r="AO27" i="15" s="1"/>
  <c r="AI24" i="14"/>
  <c r="AN24" i="14" s="1"/>
  <c r="AJ27" i="13"/>
  <c r="AO27" i="13" s="1"/>
  <c r="DC26" i="16"/>
  <c r="DH26" i="16" s="1"/>
  <c r="DC26" i="13"/>
  <c r="CE21" i="13"/>
  <c r="AI18" i="16"/>
  <c r="AN18" i="16" s="1"/>
  <c r="K24" i="14"/>
  <c r="AI22" i="13"/>
  <c r="AN22" i="13" s="1"/>
  <c r="DC25" i="14"/>
  <c r="DH25" i="14" s="1"/>
  <c r="BG22" i="14"/>
  <c r="BL22" i="14" s="1"/>
  <c r="CE15" i="13"/>
  <c r="AI17" i="16"/>
  <c r="AN17" i="16" s="1"/>
  <c r="AI23" i="14"/>
  <c r="AN23" i="14" s="1"/>
  <c r="K25" i="13"/>
  <c r="K23" i="16"/>
  <c r="BH20" i="13"/>
  <c r="BM20" i="13" s="1"/>
  <c r="K20" i="14"/>
  <c r="CE13" i="16"/>
  <c r="CE24" i="13"/>
  <c r="AI13" i="16"/>
  <c r="AN13" i="16" s="1"/>
  <c r="AI21" i="14"/>
  <c r="AN21" i="14" s="1"/>
  <c r="BH26" i="13"/>
  <c r="BM26" i="13" s="1"/>
  <c r="K23" i="13"/>
  <c r="BH18" i="13"/>
  <c r="BM18" i="13" s="1"/>
  <c r="CE26" i="13"/>
  <c r="CJ26" i="13" s="1"/>
  <c r="K22" i="15"/>
  <c r="P22" i="15" s="1"/>
  <c r="K19" i="14"/>
  <c r="DC22" i="14"/>
  <c r="DH22" i="14" s="1"/>
  <c r="DC14" i="13"/>
  <c r="DH14" i="13" s="1"/>
  <c r="DC14" i="16"/>
  <c r="DH14" i="16" s="1"/>
  <c r="BG19" i="16"/>
  <c r="BL19" i="16" s="1"/>
  <c r="K14" i="14"/>
  <c r="P14" i="14" s="1"/>
  <c r="K22" i="13"/>
  <c r="P22" i="13" s="1"/>
  <c r="BG15" i="14"/>
  <c r="BL15" i="14" s="1"/>
  <c r="BG24" i="16"/>
  <c r="BL24" i="16" s="1"/>
  <c r="K15" i="14"/>
  <c r="DC17" i="13"/>
  <c r="DH17" i="13" s="1"/>
  <c r="AI15" i="13"/>
  <c r="W79" i="10"/>
  <c r="AB79" i="10" s="1"/>
  <c r="W78" i="10"/>
  <c r="W74" i="10"/>
  <c r="AB74" i="10" s="1"/>
  <c r="W76" i="10"/>
  <c r="AB76" i="10" s="1"/>
  <c r="F40" i="22"/>
  <c r="F41" i="22"/>
  <c r="F42" i="22"/>
  <c r="F46" i="22"/>
  <c r="CE20" i="15"/>
  <c r="DC27" i="15"/>
  <c r="DH27" i="15" s="1"/>
  <c r="DC23" i="15"/>
  <c r="DH23" i="15" s="1"/>
  <c r="CE19" i="15"/>
  <c r="DC15" i="16"/>
  <c r="DH15" i="16" s="1"/>
  <c r="BG25" i="14"/>
  <c r="CE25" i="14"/>
  <c r="CJ25" i="14" s="1"/>
  <c r="CE20" i="13"/>
  <c r="BG21" i="15"/>
  <c r="BL21" i="15" s="1"/>
  <c r="K13" i="14"/>
  <c r="P13" i="14" s="1"/>
  <c r="AI17" i="13"/>
  <c r="AN17" i="13" s="1"/>
  <c r="CE23" i="16"/>
  <c r="CJ23" i="16" s="1"/>
  <c r="DC25" i="16"/>
  <c r="DH25" i="16" s="1"/>
  <c r="BG21" i="14"/>
  <c r="DC25" i="13"/>
  <c r="DH25" i="13" s="1"/>
  <c r="CE17" i="13"/>
  <c r="BG18" i="16"/>
  <c r="AI22" i="15"/>
  <c r="AN22" i="15" s="1"/>
  <c r="DC13" i="16"/>
  <c r="BG16" i="14"/>
  <c r="BL16" i="14" s="1"/>
  <c r="DC24" i="14"/>
  <c r="DH24" i="14" s="1"/>
  <c r="CE22" i="13"/>
  <c r="AI20" i="16"/>
  <c r="AN20" i="16" s="1"/>
  <c r="K26" i="15"/>
  <c r="P26" i="15" s="1"/>
  <c r="AI13" i="14"/>
  <c r="CE19" i="16"/>
  <c r="DC17" i="16"/>
  <c r="DH17" i="16" s="1"/>
  <c r="DC24" i="13"/>
  <c r="DH24" i="13" s="1"/>
  <c r="CE13" i="13"/>
  <c r="BG15" i="16"/>
  <c r="AI24" i="15"/>
  <c r="AN24" i="15" s="1"/>
  <c r="K17" i="14"/>
  <c r="P17" i="14" s="1"/>
  <c r="DC20" i="14"/>
  <c r="CE27" i="14"/>
  <c r="CJ27" i="14" s="1"/>
  <c r="AI27" i="16"/>
  <c r="AN27" i="16" s="1"/>
  <c r="BG16" i="16"/>
  <c r="BL16" i="16" s="1"/>
  <c r="AI22" i="14"/>
  <c r="K21" i="13"/>
  <c r="DC18" i="13"/>
  <c r="CE23" i="13"/>
  <c r="CJ23" i="13" s="1"/>
  <c r="K18" i="14"/>
  <c r="P18" i="14" s="1"/>
  <c r="DC16" i="14"/>
  <c r="DH16" i="14" s="1"/>
  <c r="AI24" i="16"/>
  <c r="AN24" i="16" s="1"/>
  <c r="AI23" i="15"/>
  <c r="AN23" i="15" s="1"/>
  <c r="AI20" i="14"/>
  <c r="BH23" i="13"/>
  <c r="BM23" i="13" s="1"/>
  <c r="AI21" i="13"/>
  <c r="AN21" i="13" s="1"/>
  <c r="AI21" i="15"/>
  <c r="AN21" i="15" s="1"/>
  <c r="AI25" i="14"/>
  <c r="AI24" i="13"/>
  <c r="BG26" i="14"/>
  <c r="AI22" i="16"/>
  <c r="CE19" i="13"/>
  <c r="CJ19" i="13" s="1"/>
  <c r="K19" i="16"/>
  <c r="AI13" i="13"/>
  <c r="AN13" i="13" s="1"/>
  <c r="DC21" i="16"/>
  <c r="DC103" i="16"/>
  <c r="DH103" i="16" s="1"/>
  <c r="CE102" i="16"/>
  <c r="CJ102" i="16" s="1"/>
  <c r="BG101" i="16"/>
  <c r="AI100" i="16"/>
  <c r="AN100" i="16" s="1"/>
  <c r="K99" i="16"/>
  <c r="DC98" i="15"/>
  <c r="CE97" i="15"/>
  <c r="CJ97" i="15" s="1"/>
  <c r="BG96" i="15"/>
  <c r="BL96" i="15" s="1"/>
  <c r="AI95" i="15"/>
  <c r="K94" i="15"/>
  <c r="P94" i="15" s="1"/>
  <c r="DC93" i="14"/>
  <c r="CE92" i="14"/>
  <c r="CJ92" i="14" s="1"/>
  <c r="BG91" i="14"/>
  <c r="BL91" i="14" s="1"/>
  <c r="AI90" i="14"/>
  <c r="AN90" i="14" s="1"/>
  <c r="K89" i="14"/>
  <c r="CE103" i="13"/>
  <c r="CJ103" i="13" s="1"/>
  <c r="K93" i="13"/>
  <c r="P93" i="13" s="1"/>
  <c r="DC97" i="16"/>
  <c r="DH97" i="16" s="1"/>
  <c r="CE96" i="16"/>
  <c r="CJ96" i="16" s="1"/>
  <c r="BG95" i="16"/>
  <c r="BL95" i="16" s="1"/>
  <c r="AI94" i="16"/>
  <c r="AN94" i="16" s="1"/>
  <c r="K93" i="16"/>
  <c r="P93" i="16" s="1"/>
  <c r="DC92" i="15"/>
  <c r="DH92" i="15" s="1"/>
  <c r="CE91" i="15"/>
  <c r="CJ91" i="15" s="1"/>
  <c r="BG90" i="15"/>
  <c r="BL90" i="15" s="1"/>
  <c r="AI89" i="15"/>
  <c r="AN89" i="15" s="1"/>
  <c r="DC103" i="14"/>
  <c r="DH103" i="14" s="1"/>
  <c r="CE102" i="14"/>
  <c r="BG101" i="14"/>
  <c r="BL101" i="14" s="1"/>
  <c r="AI100" i="14"/>
  <c r="AN100" i="14" s="1"/>
  <c r="K99" i="14"/>
  <c r="P99" i="14" s="1"/>
  <c r="DC98" i="13"/>
  <c r="DH98" i="13" s="1"/>
  <c r="CE97" i="13"/>
  <c r="CJ97" i="13" s="1"/>
  <c r="K99" i="13"/>
  <c r="CE97" i="16"/>
  <c r="CJ97" i="16" s="1"/>
  <c r="AI95" i="16"/>
  <c r="AN95" i="16" s="1"/>
  <c r="DC93" i="15"/>
  <c r="DH93" i="15" s="1"/>
  <c r="BG91" i="15"/>
  <c r="BL91" i="15" s="1"/>
  <c r="K89" i="15"/>
  <c r="P89" i="15" s="1"/>
  <c r="BG102" i="14"/>
  <c r="BL102" i="14" s="1"/>
  <c r="K100" i="14"/>
  <c r="P100" i="14" s="1"/>
  <c r="CE98" i="13"/>
  <c r="CJ98" i="13" s="1"/>
  <c r="DC94" i="16"/>
  <c r="DH94" i="16" s="1"/>
  <c r="BG92" i="16"/>
  <c r="BL92" i="16" s="1"/>
  <c r="K90" i="16"/>
  <c r="BG103" i="15"/>
  <c r="BL103" i="15" s="1"/>
  <c r="K101" i="15"/>
  <c r="P101" i="15" s="1"/>
  <c r="CE99" i="14"/>
  <c r="CJ99" i="14" s="1"/>
  <c r="AI97" i="14"/>
  <c r="AN97" i="14" s="1"/>
  <c r="K100" i="13"/>
  <c r="P100" i="13" s="1"/>
  <c r="K100" i="16"/>
  <c r="P100" i="16" s="1"/>
  <c r="AI96" i="15"/>
  <c r="AN96" i="15" s="1"/>
  <c r="BG92" i="14"/>
  <c r="BL92" i="14" s="1"/>
  <c r="BH103" i="13"/>
  <c r="BM103" i="13" s="1"/>
  <c r="CE95" i="16"/>
  <c r="CJ95" i="16" s="1"/>
  <c r="DC91" i="15"/>
  <c r="DH91" i="15" s="1"/>
  <c r="DC102" i="14"/>
  <c r="DH102" i="14" s="1"/>
  <c r="K98" i="14"/>
  <c r="P98" i="14" s="1"/>
  <c r="BG90" i="16"/>
  <c r="BL90" i="16" s="1"/>
  <c r="BG101" i="15"/>
  <c r="BL101" i="15" s="1"/>
  <c r="CE97" i="14"/>
  <c r="CJ97" i="14" s="1"/>
  <c r="K102" i="13"/>
  <c r="P102" i="13" s="1"/>
  <c r="CE100" i="13"/>
  <c r="CJ100" i="13" s="1"/>
  <c r="AI103" i="14"/>
  <c r="AN103" i="14" s="1"/>
  <c r="K91" i="15"/>
  <c r="P91" i="15" s="1"/>
  <c r="CE94" i="15"/>
  <c r="CJ94" i="15" s="1"/>
  <c r="DC99" i="16"/>
  <c r="DH99" i="16" s="1"/>
  <c r="CE98" i="16"/>
  <c r="CJ98" i="16" s="1"/>
  <c r="BG97" i="16"/>
  <c r="BL97" i="16" s="1"/>
  <c r="AI96" i="16"/>
  <c r="AN96" i="16" s="1"/>
  <c r="K95" i="16"/>
  <c r="DC94" i="15"/>
  <c r="DH94" i="15" s="1"/>
  <c r="CE93" i="15"/>
  <c r="CJ93" i="15" s="1"/>
  <c r="BG92" i="15"/>
  <c r="BL92" i="15" s="1"/>
  <c r="AI91" i="15"/>
  <c r="AN91" i="15" s="1"/>
  <c r="K90" i="15"/>
  <c r="P90" i="15" s="1"/>
  <c r="DC89" i="14"/>
  <c r="BG103" i="14"/>
  <c r="BL103" i="14" s="1"/>
  <c r="AI102" i="14"/>
  <c r="AN102" i="14" s="1"/>
  <c r="K101" i="14"/>
  <c r="P101" i="14" s="1"/>
  <c r="DC100" i="13"/>
  <c r="DH100" i="13" s="1"/>
  <c r="CE99" i="13"/>
  <c r="CJ99" i="13" s="1"/>
  <c r="K97" i="13"/>
  <c r="P97" i="13" s="1"/>
  <c r="DC93" i="16"/>
  <c r="DH93" i="16" s="1"/>
  <c r="CE92" i="16"/>
  <c r="CJ92" i="16" s="1"/>
  <c r="BG91" i="16"/>
  <c r="BL91" i="16" s="1"/>
  <c r="AI90" i="16"/>
  <c r="K89" i="16"/>
  <c r="CE103" i="15"/>
  <c r="CJ103" i="15" s="1"/>
  <c r="BG102" i="15"/>
  <c r="BL102" i="15" s="1"/>
  <c r="AI101" i="15"/>
  <c r="AN101" i="15" s="1"/>
  <c r="K100" i="15"/>
  <c r="P100" i="15" s="1"/>
  <c r="DC99" i="14"/>
  <c r="DH99" i="14" s="1"/>
  <c r="CE98" i="14"/>
  <c r="CJ98" i="14" s="1"/>
  <c r="BG97" i="14"/>
  <c r="BL97" i="14" s="1"/>
  <c r="AI96" i="14"/>
  <c r="AN96" i="14" s="1"/>
  <c r="K95" i="14"/>
  <c r="P95" i="14" s="1"/>
  <c r="CE93" i="13"/>
  <c r="CJ93" i="13" s="1"/>
  <c r="CE89" i="16"/>
  <c r="K102" i="16"/>
  <c r="CE100" i="15"/>
  <c r="CJ100" i="15" s="1"/>
  <c r="AI98" i="15"/>
  <c r="AN98" i="15" s="1"/>
  <c r="DC96" i="14"/>
  <c r="BG94" i="14"/>
  <c r="BL94" i="14" s="1"/>
  <c r="K92" i="14"/>
  <c r="P92" i="14" s="1"/>
  <c r="CE90" i="13"/>
  <c r="CJ90" i="13" s="1"/>
  <c r="K96" i="13"/>
  <c r="P96" i="13" s="1"/>
  <c r="CE101" i="16"/>
  <c r="AI99" i="16"/>
  <c r="AN99" i="16" s="1"/>
  <c r="DC97" i="15"/>
  <c r="DH97" i="15" s="1"/>
  <c r="BG95" i="15"/>
  <c r="BL95" i="15" s="1"/>
  <c r="K93" i="15"/>
  <c r="P93" i="15" s="1"/>
  <c r="CE91" i="14"/>
  <c r="CJ91" i="14" s="1"/>
  <c r="AI89" i="14"/>
  <c r="AN89" i="14" s="1"/>
  <c r="CE102" i="13"/>
  <c r="CE103" i="16"/>
  <c r="CJ103" i="16" s="1"/>
  <c r="DC99" i="15"/>
  <c r="K95" i="15"/>
  <c r="P95" i="15" s="1"/>
  <c r="AI91" i="14"/>
  <c r="AN91" i="14" s="1"/>
  <c r="BG94" i="16"/>
  <c r="BL94" i="16" s="1"/>
  <c r="CE90" i="15"/>
  <c r="CJ90" i="15" s="1"/>
  <c r="CE101" i="14"/>
  <c r="CJ101" i="14" s="1"/>
  <c r="DC97" i="13"/>
  <c r="DH97" i="13" s="1"/>
  <c r="K98" i="13"/>
  <c r="P98" i="13" s="1"/>
  <c r="AI89" i="16"/>
  <c r="AI100" i="15"/>
  <c r="AN100" i="15" s="1"/>
  <c r="BG96" i="14"/>
  <c r="BL96" i="14" s="1"/>
  <c r="CE92" i="13"/>
  <c r="CJ92" i="13" s="1"/>
  <c r="AI97" i="16"/>
  <c r="AN97" i="16" s="1"/>
  <c r="DC100" i="16"/>
  <c r="DH100" i="16" s="1"/>
  <c r="BH99" i="13"/>
  <c r="BM99" i="13" s="1"/>
  <c r="K102" i="14"/>
  <c r="P102" i="14" s="1"/>
  <c r="DC90" i="14"/>
  <c r="DC95" i="16"/>
  <c r="CE94" i="16"/>
  <c r="CJ94" i="16" s="1"/>
  <c r="BG93" i="16"/>
  <c r="AI92" i="16"/>
  <c r="K91" i="16"/>
  <c r="P91" i="16" s="1"/>
  <c r="DC90" i="15"/>
  <c r="CE89" i="15"/>
  <c r="CJ89" i="15" s="1"/>
  <c r="AI103" i="15"/>
  <c r="AN103" i="15" s="1"/>
  <c r="K102" i="15"/>
  <c r="P102" i="15" s="1"/>
  <c r="DC101" i="14"/>
  <c r="DH101" i="14" s="1"/>
  <c r="CE100" i="14"/>
  <c r="CJ100" i="14" s="1"/>
  <c r="BG99" i="14"/>
  <c r="BL99" i="14" s="1"/>
  <c r="AI98" i="14"/>
  <c r="AN98" i="14" s="1"/>
  <c r="K97" i="14"/>
  <c r="P97" i="14" s="1"/>
  <c r="CE95" i="13"/>
  <c r="AJ93" i="13"/>
  <c r="AO93" i="13" s="1"/>
  <c r="K101" i="13"/>
  <c r="DC89" i="16"/>
  <c r="BG103" i="16"/>
  <c r="BL103" i="16" s="1"/>
  <c r="AI102" i="16"/>
  <c r="AN102" i="16" s="1"/>
  <c r="K101" i="16"/>
  <c r="DC100" i="15"/>
  <c r="DH100" i="15" s="1"/>
  <c r="CE99" i="15"/>
  <c r="CJ99" i="15" s="1"/>
  <c r="BG98" i="15"/>
  <c r="AI97" i="15"/>
  <c r="AN97" i="15" s="1"/>
  <c r="K96" i="15"/>
  <c r="DC95" i="14"/>
  <c r="CE94" i="14"/>
  <c r="CJ94" i="14" s="1"/>
  <c r="BG93" i="14"/>
  <c r="AI92" i="14"/>
  <c r="K91" i="14"/>
  <c r="P91" i="14" s="1"/>
  <c r="CE89" i="13"/>
  <c r="K91" i="13"/>
  <c r="P91" i="13" s="1"/>
  <c r="DC98" i="16"/>
  <c r="DH98" i="16" s="1"/>
  <c r="BG96" i="16"/>
  <c r="K94" i="16"/>
  <c r="P94" i="16" s="1"/>
  <c r="CE92" i="15"/>
  <c r="CJ92" i="15" s="1"/>
  <c r="AI90" i="15"/>
  <c r="CE103" i="14"/>
  <c r="CJ103" i="14" s="1"/>
  <c r="AI101" i="14"/>
  <c r="DC99" i="13"/>
  <c r="K89" i="13"/>
  <c r="CE93" i="16"/>
  <c r="AI91" i="16"/>
  <c r="AN91" i="16" s="1"/>
  <c r="DC89" i="15"/>
  <c r="DH89" i="15" s="1"/>
  <c r="AI102" i="15"/>
  <c r="DC100" i="14"/>
  <c r="DH100" i="14" s="1"/>
  <c r="BG98" i="14"/>
  <c r="BL98" i="14" s="1"/>
  <c r="K96" i="14"/>
  <c r="CE94" i="13"/>
  <c r="CJ94" i="13" s="1"/>
  <c r="BG102" i="16"/>
  <c r="BL102" i="16" s="1"/>
  <c r="CE98" i="15"/>
  <c r="CJ98" i="15" s="1"/>
  <c r="DC94" i="14"/>
  <c r="DH94" i="14" s="1"/>
  <c r="K90" i="14"/>
  <c r="K90" i="13"/>
  <c r="P90" i="13" s="1"/>
  <c r="AI93" i="16"/>
  <c r="AN93" i="16" s="1"/>
  <c r="BG89" i="15"/>
  <c r="BG100" i="14"/>
  <c r="BL100" i="14" s="1"/>
  <c r="CE96" i="13"/>
  <c r="DC92" i="16"/>
  <c r="DC103" i="15"/>
  <c r="DH103" i="15" s="1"/>
  <c r="K99" i="15"/>
  <c r="AI95" i="14"/>
  <c r="AN95" i="14" s="1"/>
  <c r="BG93" i="15"/>
  <c r="BL93" i="15" s="1"/>
  <c r="K96" i="16"/>
  <c r="P96" i="16" s="1"/>
  <c r="CE99" i="16"/>
  <c r="CJ99" i="16" s="1"/>
  <c r="DC101" i="13"/>
  <c r="DH101" i="13" s="1"/>
  <c r="DC91" i="16"/>
  <c r="DH91" i="16" s="1"/>
  <c r="CE90" i="16"/>
  <c r="CJ90" i="16" s="1"/>
  <c r="BG89" i="16"/>
  <c r="K103" i="16"/>
  <c r="P103" i="16" s="1"/>
  <c r="DC102" i="15"/>
  <c r="CE101" i="15"/>
  <c r="CJ101" i="15" s="1"/>
  <c r="BG100" i="15"/>
  <c r="BL100" i="15" s="1"/>
  <c r="AI99" i="15"/>
  <c r="AN99" i="15" s="1"/>
  <c r="K98" i="15"/>
  <c r="DC97" i="14"/>
  <c r="DH97" i="14" s="1"/>
  <c r="CE96" i="14"/>
  <c r="CJ96" i="14" s="1"/>
  <c r="BG95" i="14"/>
  <c r="AI94" i="14"/>
  <c r="AN94" i="14" s="1"/>
  <c r="K93" i="14"/>
  <c r="P93" i="14" s="1"/>
  <c r="CE91" i="13"/>
  <c r="CJ91" i="13" s="1"/>
  <c r="BH90" i="13"/>
  <c r="BM90" i="13" s="1"/>
  <c r="DC101" i="16"/>
  <c r="DH101" i="16" s="1"/>
  <c r="CE100" i="16"/>
  <c r="CJ100" i="16" s="1"/>
  <c r="BG99" i="16"/>
  <c r="AI98" i="16"/>
  <c r="AN98" i="16" s="1"/>
  <c r="K97" i="16"/>
  <c r="P97" i="16" s="1"/>
  <c r="DC96" i="15"/>
  <c r="DH96" i="15" s="1"/>
  <c r="CE95" i="15"/>
  <c r="CJ95" i="15" s="1"/>
  <c r="BG94" i="15"/>
  <c r="BL94" i="15" s="1"/>
  <c r="AI93" i="15"/>
  <c r="AN93" i="15" s="1"/>
  <c r="K92" i="15"/>
  <c r="P92" i="15" s="1"/>
  <c r="DC91" i="14"/>
  <c r="DH91" i="14" s="1"/>
  <c r="CE90" i="14"/>
  <c r="CJ90" i="14" s="1"/>
  <c r="BG89" i="14"/>
  <c r="BL89" i="14" s="1"/>
  <c r="K103" i="14"/>
  <c r="P103" i="14" s="1"/>
  <c r="DC102" i="13"/>
  <c r="DH102" i="13" s="1"/>
  <c r="CE101" i="13"/>
  <c r="CJ101" i="13" s="1"/>
  <c r="K95" i="13"/>
  <c r="P95" i="13" s="1"/>
  <c r="DC90" i="16"/>
  <c r="DH90" i="16" s="1"/>
  <c r="AI103" i="16"/>
  <c r="AN103" i="16" s="1"/>
  <c r="DC101" i="15"/>
  <c r="DH101" i="15" s="1"/>
  <c r="BG99" i="15"/>
  <c r="K97" i="15"/>
  <c r="P97" i="15" s="1"/>
  <c r="CE95" i="14"/>
  <c r="CJ95" i="14" s="1"/>
  <c r="AI93" i="14"/>
  <c r="AN93" i="14" s="1"/>
  <c r="DC102" i="16"/>
  <c r="DH102" i="16" s="1"/>
  <c r="BG100" i="16"/>
  <c r="BL100" i="16" s="1"/>
  <c r="K98" i="16"/>
  <c r="P98" i="16" s="1"/>
  <c r="CE96" i="15"/>
  <c r="CJ96" i="15" s="1"/>
  <c r="AI94" i="15"/>
  <c r="AN94" i="15" s="1"/>
  <c r="DC92" i="14"/>
  <c r="DH92" i="14" s="1"/>
  <c r="BG90" i="14"/>
  <c r="DC103" i="13"/>
  <c r="DH103" i="13" s="1"/>
  <c r="K92" i="13"/>
  <c r="P92" i="13" s="1"/>
  <c r="AI101" i="16"/>
  <c r="BG97" i="15"/>
  <c r="BL97" i="15" s="1"/>
  <c r="CE93" i="14"/>
  <c r="CJ93" i="14" s="1"/>
  <c r="DC96" i="16"/>
  <c r="K92" i="16"/>
  <c r="K103" i="15"/>
  <c r="AI99" i="14"/>
  <c r="AN99" i="14" s="1"/>
  <c r="BH95" i="13"/>
  <c r="BM95" i="13" s="1"/>
  <c r="CE91" i="16"/>
  <c r="CJ91" i="16" s="1"/>
  <c r="CE102" i="15"/>
  <c r="CJ102" i="15" s="1"/>
  <c r="DC98" i="14"/>
  <c r="DH98" i="14" s="1"/>
  <c r="K94" i="14"/>
  <c r="P94" i="14" s="1"/>
  <c r="CE89" i="14"/>
  <c r="AI92" i="15"/>
  <c r="AN92" i="15" s="1"/>
  <c r="DC95" i="15"/>
  <c r="BG98" i="16"/>
  <c r="BL98" i="16" s="1"/>
  <c r="K94" i="13"/>
  <c r="P94" i="13" s="1"/>
  <c r="CE27" i="16"/>
  <c r="CJ27" i="16" s="1"/>
  <c r="W80" i="10"/>
  <c r="CM94" i="16"/>
  <c r="CM95" i="16" s="1"/>
  <c r="CM96" i="16" s="1"/>
  <c r="CM97" i="16" s="1"/>
  <c r="CM98" i="16" s="1"/>
  <c r="CM99" i="16" s="1"/>
  <c r="CM100" i="16" s="1"/>
  <c r="CM101" i="16" s="1"/>
  <c r="CM102" i="16" s="1"/>
  <c r="CM103" i="16" s="1"/>
  <c r="Z160" i="16" s="1"/>
  <c r="DK94" i="13"/>
  <c r="DK95" i="13" s="1"/>
  <c r="DK96" i="13" s="1"/>
  <c r="DK97" i="13" s="1"/>
  <c r="DK98" i="13" s="1"/>
  <c r="DK99" i="13" s="1"/>
  <c r="DK100" i="13" s="1"/>
  <c r="DK101" i="13" s="1"/>
  <c r="DK102" i="13" s="1"/>
  <c r="DK103" i="13" s="1"/>
  <c r="AB160" i="13" s="1"/>
  <c r="K27" i="16"/>
  <c r="G51" i="22"/>
  <c r="G41" i="22"/>
  <c r="G48" i="22"/>
  <c r="G45" i="22"/>
  <c r="DC44" i="14"/>
  <c r="DH44" i="14" s="1"/>
  <c r="CE42" i="14"/>
  <c r="DC45" i="13"/>
  <c r="BE43" i="13"/>
  <c r="BG43" i="13" s="1"/>
  <c r="K42" i="16"/>
  <c r="P42" i="16" s="1"/>
  <c r="AI49" i="14"/>
  <c r="AN49" i="14" s="1"/>
  <c r="K41" i="14"/>
  <c r="BG41" i="16"/>
  <c r="BL41" i="16" s="1"/>
  <c r="CE51" i="13"/>
  <c r="DC53" i="14"/>
  <c r="DC42" i="13"/>
  <c r="BE40" i="13"/>
  <c r="BG40" i="13" s="1"/>
  <c r="BL40" i="13" s="1"/>
  <c r="AI47" i="14"/>
  <c r="DC48" i="14"/>
  <c r="DC51" i="16"/>
  <c r="DH51" i="16" s="1"/>
  <c r="DC43" i="16"/>
  <c r="CE46" i="16"/>
  <c r="BG47" i="16"/>
  <c r="DC46" i="14"/>
  <c r="DC52" i="13"/>
  <c r="DH52" i="13" s="1"/>
  <c r="K52" i="16"/>
  <c r="K50" i="14"/>
  <c r="K42" i="14"/>
  <c r="P42" i="14" s="1"/>
  <c r="DC41" i="16"/>
  <c r="DH41" i="16" s="1"/>
  <c r="DC49" i="13"/>
  <c r="DH49" i="13" s="1"/>
  <c r="CE43" i="14"/>
  <c r="CJ43" i="14" s="1"/>
  <c r="DC51" i="13"/>
  <c r="DH51" i="13" s="1"/>
  <c r="BE51" i="13"/>
  <c r="BG51" i="13" s="1"/>
  <c r="BL51" i="13" s="1"/>
  <c r="K44" i="16"/>
  <c r="P44" i="16" s="1"/>
  <c r="DC48" i="16"/>
  <c r="DH48" i="16" s="1"/>
  <c r="CE51" i="16"/>
  <c r="CE43" i="16"/>
  <c r="CJ43" i="16" s="1"/>
  <c r="BG39" i="16"/>
  <c r="CE46" i="14"/>
  <c r="CJ46" i="14" s="1"/>
  <c r="BE44" i="13"/>
  <c r="BG44" i="13" s="1"/>
  <c r="BL44" i="13" s="1"/>
  <c r="AI39" i="16"/>
  <c r="AN39" i="16" s="1"/>
  <c r="AI51" i="14"/>
  <c r="K46" i="13"/>
  <c r="AI41" i="15"/>
  <c r="AN41" i="15" s="1"/>
  <c r="AI42" i="16"/>
  <c r="AN42" i="16" s="1"/>
  <c r="AI40" i="14"/>
  <c r="BG50" i="14"/>
  <c r="K50" i="16"/>
  <c r="K46" i="14"/>
  <c r="K40" i="16"/>
  <c r="K47" i="13"/>
  <c r="BE48" i="13"/>
  <c r="BG48" i="13" s="1"/>
  <c r="BL48" i="13" s="1"/>
  <c r="BG51" i="16"/>
  <c r="BG53" i="14"/>
  <c r="BL53" i="14" s="1"/>
  <c r="AI51" i="16"/>
  <c r="AN51" i="16" s="1"/>
  <c r="K49" i="14"/>
  <c r="P49" i="14" s="1"/>
  <c r="BG49" i="16"/>
  <c r="BL49" i="16" s="1"/>
  <c r="DC43" i="13"/>
  <c r="W99" i="10"/>
  <c r="AB99" i="10" s="1"/>
  <c r="W95" i="10"/>
  <c r="W105" i="10"/>
  <c r="G39" i="22"/>
  <c r="G49" i="22"/>
  <c r="G42" i="22"/>
  <c r="DC40" i="16"/>
  <c r="DH40" i="16" s="1"/>
  <c r="DC42" i="14"/>
  <c r="DH42" i="14" s="1"/>
  <c r="BG47" i="14"/>
  <c r="BL47" i="14" s="1"/>
  <c r="DC40" i="13"/>
  <c r="DH40" i="13" s="1"/>
  <c r="K53" i="16"/>
  <c r="AI48" i="14"/>
  <c r="K40" i="14"/>
  <c r="P40" i="14" s="1"/>
  <c r="CE44" i="13"/>
  <c r="CE47" i="14"/>
  <c r="CJ47" i="14" s="1"/>
  <c r="CE42" i="13"/>
  <c r="K48" i="16"/>
  <c r="K43" i="14"/>
  <c r="P43" i="14" s="1"/>
  <c r="BG46" i="14"/>
  <c r="BL46" i="14" s="1"/>
  <c r="DC49" i="16"/>
  <c r="DH49" i="16" s="1"/>
  <c r="CE52" i="16"/>
  <c r="CE44" i="16"/>
  <c r="CJ44" i="16" s="1"/>
  <c r="BG40" i="16"/>
  <c r="BL40" i="16" s="1"/>
  <c r="CE44" i="14"/>
  <c r="CJ44" i="14" s="1"/>
  <c r="DC47" i="13"/>
  <c r="DH47" i="13" s="1"/>
  <c r="K47" i="16"/>
  <c r="K53" i="14"/>
  <c r="P53" i="14" s="1"/>
  <c r="AI46" i="14"/>
  <c r="K39" i="14"/>
  <c r="P39" i="14" s="1"/>
  <c r="BG50" i="16"/>
  <c r="BL50" i="16" s="1"/>
  <c r="DC50" i="14"/>
  <c r="DC44" i="13"/>
  <c r="DH44" i="13" s="1"/>
  <c r="BG48" i="14"/>
  <c r="BL48" i="14" s="1"/>
  <c r="DC46" i="13"/>
  <c r="AI48" i="16"/>
  <c r="AN48" i="16" s="1"/>
  <c r="DC46" i="16"/>
  <c r="DH46" i="16" s="1"/>
  <c r="CE49" i="16"/>
  <c r="CJ49" i="16" s="1"/>
  <c r="CE41" i="16"/>
  <c r="CE40" i="14"/>
  <c r="CJ40" i="14" s="1"/>
  <c r="AI49" i="16"/>
  <c r="K39" i="16"/>
  <c r="P39" i="16" s="1"/>
  <c r="AI43" i="14"/>
  <c r="K52" i="13"/>
  <c r="K44" i="13"/>
  <c r="P44" i="13" s="1"/>
  <c r="AI39" i="14"/>
  <c r="AN39" i="14" s="1"/>
  <c r="AJ39" i="13"/>
  <c r="AO39" i="13" s="1"/>
  <c r="CE41" i="13"/>
  <c r="CJ41" i="13" s="1"/>
  <c r="AI41" i="16"/>
  <c r="AN41" i="16" s="1"/>
  <c r="DC41" i="13"/>
  <c r="DH41" i="13" s="1"/>
  <c r="BG41" i="14"/>
  <c r="BL41" i="14" s="1"/>
  <c r="CE51" i="14"/>
  <c r="CJ51" i="14" s="1"/>
  <c r="K43" i="13"/>
  <c r="P43" i="13" s="1"/>
  <c r="DC52" i="14"/>
  <c r="DH52" i="14" s="1"/>
  <c r="AI50" i="16"/>
  <c r="AN50" i="16" s="1"/>
  <c r="BG42" i="16"/>
  <c r="BL42" i="16" s="1"/>
  <c r="BE42" i="13"/>
  <c r="BG42" i="13" s="1"/>
  <c r="BL42" i="13" s="1"/>
  <c r="K48" i="14"/>
  <c r="CE45" i="13"/>
  <c r="CJ45" i="13" s="1"/>
  <c r="W98" i="10"/>
  <c r="AB98" i="10" s="1"/>
  <c r="W92" i="10"/>
  <c r="AB92" i="10" s="1"/>
  <c r="W103" i="10"/>
  <c r="AB103" i="10" s="1"/>
  <c r="W96" i="10"/>
  <c r="G46" i="22"/>
  <c r="G47" i="22"/>
  <c r="G43" i="22"/>
  <c r="G44" i="22"/>
  <c r="BG52" i="16"/>
  <c r="BL52" i="16" s="1"/>
  <c r="DC40" i="14"/>
  <c r="DH40" i="14" s="1"/>
  <c r="BG44" i="14"/>
  <c r="CE52" i="13"/>
  <c r="CJ52" i="13" s="1"/>
  <c r="K49" i="16"/>
  <c r="AI45" i="14"/>
  <c r="DC39" i="14"/>
  <c r="DH39" i="14" s="1"/>
  <c r="BG53" i="16"/>
  <c r="BG52" i="14"/>
  <c r="BL52" i="14" s="1"/>
  <c r="BE50" i="13"/>
  <c r="BG50" i="13" s="1"/>
  <c r="BL50" i="13" s="1"/>
  <c r="AI44" i="16"/>
  <c r="AN44" i="16" s="1"/>
  <c r="DC39" i="13"/>
  <c r="DH39" i="13" s="1"/>
  <c r="DC47" i="16"/>
  <c r="DH47" i="16" s="1"/>
  <c r="CE50" i="16"/>
  <c r="CJ50" i="16" s="1"/>
  <c r="CE42" i="16"/>
  <c r="BG43" i="14"/>
  <c r="BL43" i="14" s="1"/>
  <c r="CE49" i="13"/>
  <c r="CJ49" i="13" s="1"/>
  <c r="AI43" i="16"/>
  <c r="K52" i="14"/>
  <c r="K45" i="14"/>
  <c r="CE49" i="14"/>
  <c r="CJ49" i="14" s="1"/>
  <c r="CE39" i="13"/>
  <c r="DC45" i="14"/>
  <c r="BG45" i="14"/>
  <c r="BL45" i="14" s="1"/>
  <c r="CE48" i="13"/>
  <c r="CJ48" i="13" s="1"/>
  <c r="AI47" i="16"/>
  <c r="DC52" i="16"/>
  <c r="DH52" i="16" s="1"/>
  <c r="DC44" i="16"/>
  <c r="DH44" i="16" s="1"/>
  <c r="CE47" i="16"/>
  <c r="CE39" i="16"/>
  <c r="CJ39" i="16" s="1"/>
  <c r="DC51" i="14"/>
  <c r="DH51" i="14" s="1"/>
  <c r="DC53" i="13"/>
  <c r="DH53" i="13" s="1"/>
  <c r="K46" i="16"/>
  <c r="AI42" i="14"/>
  <c r="AN42" i="14" s="1"/>
  <c r="K50" i="13"/>
  <c r="K42" i="13"/>
  <c r="DC42" i="16"/>
  <c r="DH42" i="16" s="1"/>
  <c r="K49" i="13"/>
  <c r="BE41" i="13"/>
  <c r="BG41" i="13" s="1"/>
  <c r="BL41" i="13" s="1"/>
  <c r="CE45" i="14"/>
  <c r="CJ45" i="14" s="1"/>
  <c r="CE40" i="13"/>
  <c r="CJ40" i="13" s="1"/>
  <c r="K51" i="13"/>
  <c r="CE53" i="13"/>
  <c r="CJ53" i="13" s="1"/>
  <c r="AI53" i="14"/>
  <c r="CE50" i="13"/>
  <c r="CJ50" i="13" s="1"/>
  <c r="DC48" i="13"/>
  <c r="K47" i="14"/>
  <c r="BG44" i="16"/>
  <c r="BL44" i="16" s="1"/>
  <c r="CE41" i="14"/>
  <c r="AI46" i="16"/>
  <c r="AN46" i="16" s="1"/>
  <c r="AI50" i="14"/>
  <c r="DC47" i="14"/>
  <c r="DH47" i="14" s="1"/>
  <c r="BE39" i="13"/>
  <c r="BG39" i="13" s="1"/>
  <c r="AI41" i="14"/>
  <c r="DC49" i="14"/>
  <c r="DH49" i="14" s="1"/>
  <c r="AI52" i="16"/>
  <c r="W106" i="10"/>
  <c r="AB106" i="10" s="1"/>
  <c r="W93" i="10"/>
  <c r="AB93" i="10" s="1"/>
  <c r="W97" i="10"/>
  <c r="W104" i="10"/>
  <c r="AB104" i="10" s="1"/>
  <c r="G50" i="22"/>
  <c r="G38" i="22"/>
  <c r="G40" i="22"/>
  <c r="G52" i="22"/>
  <c r="BG43" i="16"/>
  <c r="BL43" i="16" s="1"/>
  <c r="CE52" i="14"/>
  <c r="CJ52" i="14" s="1"/>
  <c r="DC50" i="13"/>
  <c r="DH50" i="13" s="1"/>
  <c r="CE47" i="13"/>
  <c r="CJ47" i="13" s="1"/>
  <c r="AI45" i="16"/>
  <c r="AN45" i="16" s="1"/>
  <c r="AI44" i="14"/>
  <c r="AN44" i="14" s="1"/>
  <c r="BG51" i="14"/>
  <c r="BL51" i="14" s="1"/>
  <c r="BG46" i="16"/>
  <c r="BL46" i="16" s="1"/>
  <c r="BG49" i="14"/>
  <c r="BL49" i="14" s="1"/>
  <c r="BE45" i="13"/>
  <c r="BG45" i="13" s="1"/>
  <c r="BL45" i="13" s="1"/>
  <c r="K41" i="16"/>
  <c r="P41" i="16" s="1"/>
  <c r="DC53" i="16"/>
  <c r="DH53" i="16" s="1"/>
  <c r="DC45" i="16"/>
  <c r="DH45" i="16" s="1"/>
  <c r="CE48" i="16"/>
  <c r="CE40" i="16"/>
  <c r="CJ40" i="16" s="1"/>
  <c r="BG40" i="14"/>
  <c r="BL40" i="14" s="1"/>
  <c r="BE52" i="13"/>
  <c r="BG52" i="13" s="1"/>
  <c r="BL52" i="13" s="1"/>
  <c r="K51" i="14"/>
  <c r="P51" i="14" s="1"/>
  <c r="K44" i="14"/>
  <c r="P44" i="14" s="1"/>
  <c r="CE39" i="14"/>
  <c r="CJ39" i="14" s="1"/>
  <c r="BG45" i="16"/>
  <c r="BL45" i="16" s="1"/>
  <c r="CE53" i="14"/>
  <c r="BG42" i="14"/>
  <c r="BL42" i="14" s="1"/>
  <c r="BE53" i="13"/>
  <c r="BG53" i="13" s="1"/>
  <c r="K45" i="16"/>
  <c r="P45" i="16" s="1"/>
  <c r="AI42" i="15"/>
  <c r="AN42" i="15" s="1"/>
  <c r="DC50" i="16"/>
  <c r="DH50" i="16" s="1"/>
  <c r="CE53" i="16"/>
  <c r="CE45" i="16"/>
  <c r="CJ45" i="16" s="1"/>
  <c r="BG48" i="16"/>
  <c r="CE48" i="14"/>
  <c r="CJ48" i="14" s="1"/>
  <c r="DC43" i="14"/>
  <c r="DH43" i="14" s="1"/>
  <c r="BE47" i="13"/>
  <c r="BG47" i="13" s="1"/>
  <c r="BL47" i="13" s="1"/>
  <c r="AI40" i="16"/>
  <c r="AN40" i="16" s="1"/>
  <c r="K48" i="13"/>
  <c r="K40" i="13"/>
  <c r="CE43" i="13"/>
  <c r="CJ43" i="13" s="1"/>
  <c r="K45" i="13"/>
  <c r="P45" i="13" s="1"/>
  <c r="K51" i="16"/>
  <c r="BE46" i="13"/>
  <c r="BG46" i="13" s="1"/>
  <c r="BL46" i="13" s="1"/>
  <c r="K43" i="16"/>
  <c r="K41" i="13"/>
  <c r="P41" i="13" s="1"/>
  <c r="BE49" i="13"/>
  <c r="BG49" i="13" s="1"/>
  <c r="BL49" i="13" s="1"/>
  <c r="AI52" i="14"/>
  <c r="AI40" i="15"/>
  <c r="AN40" i="15" s="1"/>
  <c r="CE46" i="13"/>
  <c r="CJ46" i="13" s="1"/>
  <c r="BG39" i="14"/>
  <c r="K39" i="13"/>
  <c r="P39" i="13" s="1"/>
  <c r="CE50" i="14"/>
  <c r="AI53" i="16"/>
  <c r="AN53" i="16" s="1"/>
  <c r="DC39" i="16"/>
  <c r="DC41" i="14"/>
  <c r="W101" i="10"/>
  <c r="W100" i="10"/>
  <c r="AB100" i="10" s="1"/>
  <c r="W102" i="10"/>
  <c r="AB102" i="10" s="1"/>
  <c r="W94" i="10"/>
  <c r="I22" i="23"/>
  <c r="CM94" i="14"/>
  <c r="CM95" i="14" s="1"/>
  <c r="CM96" i="14" s="1"/>
  <c r="CM97" i="14" s="1"/>
  <c r="CM98" i="14" s="1"/>
  <c r="CM99" i="14" s="1"/>
  <c r="CM100" i="14" s="1"/>
  <c r="CM101" i="14" s="1"/>
  <c r="CM102" i="14" s="1"/>
  <c r="CM103" i="14" s="1"/>
  <c r="AA160" i="14" s="1"/>
  <c r="S94" i="13"/>
  <c r="S95" i="13" s="1"/>
  <c r="S96" i="13" s="1"/>
  <c r="S97" i="13" s="1"/>
  <c r="S98" i="13" s="1"/>
  <c r="S99" i="13" s="1"/>
  <c r="S100" i="13" s="1"/>
  <c r="S101" i="13" s="1"/>
  <c r="S102" i="13" s="1"/>
  <c r="BO94" i="13"/>
  <c r="BO95" i="13" s="1"/>
  <c r="BO96" i="13" s="1"/>
  <c r="BO97" i="13" s="1"/>
  <c r="BO98" i="13" s="1"/>
  <c r="BO99" i="13" s="1"/>
  <c r="BO100" i="13" s="1"/>
  <c r="BO101" i="13" s="1"/>
  <c r="BO102" i="13" s="1"/>
  <c r="BO103" i="13" s="1"/>
  <c r="Z160" i="13" s="1"/>
  <c r="CM94" i="15"/>
  <c r="CM95" i="15" s="1"/>
  <c r="CM96" i="15" s="1"/>
  <c r="CM97" i="15" s="1"/>
  <c r="CM98" i="15" s="1"/>
  <c r="CM99" i="15" s="1"/>
  <c r="CM100" i="15" s="1"/>
  <c r="CM101" i="15" s="1"/>
  <c r="CM102" i="15" s="1"/>
  <c r="CM103" i="15" s="1"/>
  <c r="AA160" i="15" s="1"/>
  <c r="DK94" i="16"/>
  <c r="DK95" i="16" s="1"/>
  <c r="DK96" i="16" s="1"/>
  <c r="DK97" i="16" s="1"/>
  <c r="DK98" i="16" s="1"/>
  <c r="DK99" i="16" s="1"/>
  <c r="DK100" i="16" s="1"/>
  <c r="DK101" i="16" s="1"/>
  <c r="DK102" i="16" s="1"/>
  <c r="DK103" i="16" s="1"/>
  <c r="AA160" i="16" s="1"/>
  <c r="DK94" i="15"/>
  <c r="DK95" i="15" s="1"/>
  <c r="DK96" i="15" s="1"/>
  <c r="DK97" i="15" s="1"/>
  <c r="DK98" i="15" s="1"/>
  <c r="DK99" i="15" s="1"/>
  <c r="DK100" i="15" s="1"/>
  <c r="DK101" i="15" s="1"/>
  <c r="DK102" i="15" s="1"/>
  <c r="DK103" i="15" s="1"/>
  <c r="AB160" i="15" s="1"/>
  <c r="AQ94" i="15"/>
  <c r="AQ95" i="15" s="1"/>
  <c r="AQ96" i="15" s="1"/>
  <c r="AQ97" i="15" s="1"/>
  <c r="AQ98" i="15" s="1"/>
  <c r="AQ99" i="15" s="1"/>
  <c r="AQ100" i="15" s="1"/>
  <c r="AQ101" i="15" s="1"/>
  <c r="AQ102" i="15" s="1"/>
  <c r="AQ103" i="15" s="1"/>
  <c r="Y160" i="15" s="1"/>
  <c r="S97" i="16"/>
  <c r="S98" i="16" s="1"/>
  <c r="S99" i="16" s="1"/>
  <c r="S100" i="16" s="1"/>
  <c r="S101" i="16" s="1"/>
  <c r="S102" i="16" s="1"/>
  <c r="S103" i="16" s="1"/>
  <c r="W160" i="16" s="1"/>
  <c r="AQ94" i="14"/>
  <c r="AQ95" i="14" s="1"/>
  <c r="AQ96" i="14" s="1"/>
  <c r="AQ97" i="14" s="1"/>
  <c r="AQ98" i="14" s="1"/>
  <c r="AQ99" i="14" s="1"/>
  <c r="AQ100" i="14" s="1"/>
  <c r="AQ101" i="14" s="1"/>
  <c r="AQ102" i="14" s="1"/>
  <c r="AQ103" i="14" s="1"/>
  <c r="Y160" i="14" s="1"/>
  <c r="S94" i="14"/>
  <c r="S95" i="14" s="1"/>
  <c r="S96" i="14" s="1"/>
  <c r="S97" i="14" s="1"/>
  <c r="S98" i="14" s="1"/>
  <c r="S99" i="14" s="1"/>
  <c r="S100" i="14" s="1"/>
  <c r="S101" i="14" s="1"/>
  <c r="S102" i="14" s="1"/>
  <c r="S103" i="14" s="1"/>
  <c r="X160" i="14" s="1"/>
  <c r="S94" i="15"/>
  <c r="S95" i="15" s="1"/>
  <c r="S96" i="15" s="1"/>
  <c r="S97" i="15" s="1"/>
  <c r="S98" i="15" s="1"/>
  <c r="S99" i="15" s="1"/>
  <c r="S100" i="15" s="1"/>
  <c r="S101" i="15" s="1"/>
  <c r="S102" i="15" s="1"/>
  <c r="S103" i="15" s="1"/>
  <c r="X160" i="15" s="1"/>
  <c r="BH95" i="16"/>
  <c r="BM95" i="16" s="1"/>
  <c r="CM94" i="13"/>
  <c r="CM95" i="13" s="1"/>
  <c r="CM96" i="13" s="1"/>
  <c r="CM97" i="13" s="1"/>
  <c r="CM98" i="13" s="1"/>
  <c r="CM99" i="13" s="1"/>
  <c r="CM100" i="13" s="1"/>
  <c r="CM101" i="13" s="1"/>
  <c r="CM102" i="13" s="1"/>
  <c r="CM103" i="13" s="1"/>
  <c r="AA160" i="13" s="1"/>
  <c r="DK94" i="14"/>
  <c r="DK95" i="14" s="1"/>
  <c r="DK96" i="14" s="1"/>
  <c r="DK97" i="14" s="1"/>
  <c r="DK98" i="14" s="1"/>
  <c r="DK99" i="14" s="1"/>
  <c r="DK100" i="14" s="1"/>
  <c r="DK101" i="14" s="1"/>
  <c r="DK102" i="14" s="1"/>
  <c r="DK103" i="14" s="1"/>
  <c r="AB160" i="14" s="1"/>
  <c r="BO94" i="16"/>
  <c r="BO95" i="16" s="1"/>
  <c r="BO96" i="16" s="1"/>
  <c r="BO97" i="16" s="1"/>
  <c r="BO98" i="16" s="1"/>
  <c r="BO99" i="16" s="1"/>
  <c r="BO100" i="16" s="1"/>
  <c r="BO101" i="16" s="1"/>
  <c r="BO102" i="16" s="1"/>
  <c r="BO103" i="16" s="1"/>
  <c r="Y160" i="16" s="1"/>
  <c r="BH95" i="15"/>
  <c r="BM95" i="15" s="1"/>
  <c r="AE19" i="10"/>
  <c r="AE20" i="10" s="1"/>
  <c r="AE21" i="10" s="1"/>
  <c r="AE22" i="10" s="1"/>
  <c r="AE23" i="10" s="1"/>
  <c r="AE24" i="10" s="1"/>
  <c r="AE25" i="10" s="1"/>
  <c r="AE26" i="10" s="1"/>
  <c r="AE27" i="10" s="1"/>
  <c r="AE28" i="10" s="1"/>
  <c r="J6" i="11" s="1"/>
  <c r="AQ94" i="16"/>
  <c r="AQ95" i="16" s="1"/>
  <c r="AQ96" i="16" s="1"/>
  <c r="AQ97" i="16" s="1"/>
  <c r="AQ98" i="16" s="1"/>
  <c r="AQ99" i="16" s="1"/>
  <c r="AQ100" i="16" s="1"/>
  <c r="AQ101" i="16" s="1"/>
  <c r="AQ102" i="16" s="1"/>
  <c r="AQ103" i="16" s="1"/>
  <c r="X160" i="16" s="1"/>
  <c r="BO94" i="14"/>
  <c r="BO95" i="14" s="1"/>
  <c r="BO96" i="14" s="1"/>
  <c r="BO97" i="14" s="1"/>
  <c r="BO98" i="14" s="1"/>
  <c r="BO99" i="14" s="1"/>
  <c r="BO100" i="14" s="1"/>
  <c r="BO101" i="14" s="1"/>
  <c r="BO102" i="14" s="1"/>
  <c r="BO103" i="14" s="1"/>
  <c r="Z160" i="14" s="1"/>
  <c r="AQ94" i="13"/>
  <c r="AQ95" i="13" s="1"/>
  <c r="AQ96" i="13" s="1"/>
  <c r="AQ97" i="13" s="1"/>
  <c r="AQ98" i="13" s="1"/>
  <c r="AQ99" i="13" s="1"/>
  <c r="AQ100" i="13" s="1"/>
  <c r="AQ101" i="13" s="1"/>
  <c r="AQ102" i="13" s="1"/>
  <c r="AQ103" i="13" s="1"/>
  <c r="Y160" i="13" s="1"/>
  <c r="BO94" i="15"/>
  <c r="BO95" i="15" s="1"/>
  <c r="BO96" i="15" s="1"/>
  <c r="BO97" i="15" s="1"/>
  <c r="BO98" i="15" s="1"/>
  <c r="BO99" i="15" s="1"/>
  <c r="BO100" i="15" s="1"/>
  <c r="BO101" i="15" s="1"/>
  <c r="BO102" i="15" s="1"/>
  <c r="BO103" i="15" s="1"/>
  <c r="Z160" i="15" s="1"/>
  <c r="AI27" i="14"/>
  <c r="AN27" i="14" s="1"/>
  <c r="DC27" i="16"/>
  <c r="X67" i="10"/>
  <c r="L26" i="16"/>
  <c r="Q26" i="16" s="1"/>
  <c r="L23" i="15"/>
  <c r="Q23" i="15" s="1"/>
  <c r="L15" i="15"/>
  <c r="Q15" i="15" s="1"/>
  <c r="CF16" i="15"/>
  <c r="CK16" i="15" s="1"/>
  <c r="X69" i="10"/>
  <c r="CF18" i="16"/>
  <c r="CK18" i="16" s="1"/>
  <c r="AJ21" i="16"/>
  <c r="AO21" i="16" s="1"/>
  <c r="DD23" i="14"/>
  <c r="DI23" i="14" s="1"/>
  <c r="L26" i="13"/>
  <c r="Q26" i="13" s="1"/>
  <c r="CF16" i="13"/>
  <c r="CK16" i="13" s="1"/>
  <c r="CF26" i="14"/>
  <c r="CK26" i="14" s="1"/>
  <c r="L23" i="14"/>
  <c r="Q23" i="14" s="1"/>
  <c r="AJ19" i="14"/>
  <c r="AO19" i="14" s="1"/>
  <c r="L20" i="16"/>
  <c r="Q20" i="16" s="1"/>
  <c r="BH25" i="13"/>
  <c r="BM25" i="13" s="1"/>
  <c r="BH26" i="15"/>
  <c r="BM26" i="15" s="1"/>
  <c r="AJ17" i="14"/>
  <c r="AO17" i="14" s="1"/>
  <c r="BH26" i="16"/>
  <c r="BM26" i="16" s="1"/>
  <c r="DD18" i="14"/>
  <c r="DI18" i="14" s="1"/>
  <c r="BH14" i="13"/>
  <c r="BM14" i="13" s="1"/>
  <c r="AJ19" i="15"/>
  <c r="AO19" i="15" s="1"/>
  <c r="BG27" i="16"/>
  <c r="BL27" i="16" s="1"/>
  <c r="DD13" i="14"/>
  <c r="DI13" i="14" s="1"/>
  <c r="BH17" i="13"/>
  <c r="BM17" i="13" s="1"/>
  <c r="BH24" i="15"/>
  <c r="BM24" i="15" s="1"/>
  <c r="CF14" i="13"/>
  <c r="CK14" i="13" s="1"/>
  <c r="CF13" i="14"/>
  <c r="CK13" i="14" s="1"/>
  <c r="BH15" i="13"/>
  <c r="BM15" i="13" s="1"/>
  <c r="BH17" i="15"/>
  <c r="BM17" i="15" s="1"/>
  <c r="BH25" i="16"/>
  <c r="BM25" i="16" s="1"/>
  <c r="CF21" i="14"/>
  <c r="CK21" i="14" s="1"/>
  <c r="DD15" i="14"/>
  <c r="DI15" i="14" s="1"/>
  <c r="AJ26" i="16"/>
  <c r="AO26" i="16" s="1"/>
  <c r="BH23" i="14"/>
  <c r="BM23" i="14" s="1"/>
  <c r="DD22" i="15"/>
  <c r="DI22" i="15" s="1"/>
  <c r="DD17" i="15"/>
  <c r="DI17" i="15" s="1"/>
  <c r="DD21" i="15"/>
  <c r="DI21" i="15" s="1"/>
  <c r="CF18" i="15"/>
  <c r="CK18" i="15" s="1"/>
  <c r="L26" i="14"/>
  <c r="Q26" i="14" s="1"/>
  <c r="AJ17" i="16"/>
  <c r="AO17" i="16" s="1"/>
  <c r="X71" i="10"/>
  <c r="BH19" i="13"/>
  <c r="BM19" i="13" s="1"/>
  <c r="L22" i="15"/>
  <c r="Q22" i="15" s="1"/>
  <c r="X72" i="10"/>
  <c r="CF23" i="14"/>
  <c r="CK23" i="14" s="1"/>
  <c r="DD16" i="16"/>
  <c r="DI16" i="16" s="1"/>
  <c r="L22" i="16"/>
  <c r="Q22" i="16" s="1"/>
  <c r="X70" i="10"/>
  <c r="BH22" i="15"/>
  <c r="BM22" i="15" s="1"/>
  <c r="X75" i="10"/>
  <c r="X73" i="10"/>
  <c r="BH21" i="13"/>
  <c r="BM21" i="13" s="1"/>
  <c r="L16" i="16"/>
  <c r="Q16" i="16" s="1"/>
  <c r="L25" i="14"/>
  <c r="Q25" i="14" s="1"/>
  <c r="CF18" i="14"/>
  <c r="CK18" i="14" s="1"/>
  <c r="BH17" i="16"/>
  <c r="BM17" i="16" s="1"/>
  <c r="L20" i="15"/>
  <c r="Q20" i="15" s="1"/>
  <c r="CF24" i="16"/>
  <c r="CK24" i="16" s="1"/>
  <c r="L24" i="16"/>
  <c r="Q24" i="16" s="1"/>
  <c r="CF26" i="16"/>
  <c r="CK26" i="16" s="1"/>
  <c r="AJ20" i="13"/>
  <c r="AO20" i="13" s="1"/>
  <c r="BH24" i="14"/>
  <c r="BM24" i="14" s="1"/>
  <c r="AJ14" i="16"/>
  <c r="AO14" i="16" s="1"/>
  <c r="L14" i="16"/>
  <c r="Q14" i="16" s="1"/>
  <c r="CF22" i="14"/>
  <c r="CK22" i="14" s="1"/>
  <c r="DD20" i="16"/>
  <c r="DI20" i="16" s="1"/>
  <c r="AJ13" i="15"/>
  <c r="AO13" i="15" s="1"/>
  <c r="L15" i="16"/>
  <c r="Q15" i="16" s="1"/>
  <c r="DD22" i="13"/>
  <c r="DI22" i="13" s="1"/>
  <c r="BH14" i="14"/>
  <c r="BM14" i="14" s="1"/>
  <c r="AJ16" i="16"/>
  <c r="AO16" i="16" s="1"/>
  <c r="DD19" i="14"/>
  <c r="DI19" i="14" s="1"/>
  <c r="CF25" i="16"/>
  <c r="CK25" i="16" s="1"/>
  <c r="L17" i="16"/>
  <c r="Q17" i="16" s="1"/>
  <c r="DD23" i="13"/>
  <c r="DI23" i="13" s="1"/>
  <c r="DD18" i="16"/>
  <c r="DI18" i="16" s="1"/>
  <c r="AJ25" i="13"/>
  <c r="AO25" i="13" s="1"/>
  <c r="CF14" i="14"/>
  <c r="CK14" i="14" s="1"/>
  <c r="CF16" i="16"/>
  <c r="CK16" i="16" s="1"/>
  <c r="AE40" i="10"/>
  <c r="AE41" i="10" s="1"/>
  <c r="AE42" i="10" s="1"/>
  <c r="AE43" i="10" s="1"/>
  <c r="AE44" i="10" s="1"/>
  <c r="AE45" i="10" s="1"/>
  <c r="AE46" i="10" s="1"/>
  <c r="AE47" i="10" s="1"/>
  <c r="AE48" i="10" s="1"/>
  <c r="AE49" i="10" s="1"/>
  <c r="AE50" i="10" s="1"/>
  <c r="AE51" i="10" s="1"/>
  <c r="AE52" i="10" s="1"/>
  <c r="AE53" i="10" s="1"/>
  <c r="AE54" i="10" s="1"/>
  <c r="K6" i="11" s="1"/>
  <c r="AC75" i="10" l="1"/>
  <c r="F71" i="22" s="1"/>
  <c r="S103" i="13"/>
  <c r="X160" i="13" s="1"/>
  <c r="DD39" i="16"/>
  <c r="DI39" i="16" s="1"/>
  <c r="DH39" i="16"/>
  <c r="BH39" i="14"/>
  <c r="BM39" i="14" s="1"/>
  <c r="BL39" i="14"/>
  <c r="L51" i="16"/>
  <c r="Q51" i="16" s="1"/>
  <c r="P51" i="16"/>
  <c r="L48" i="13"/>
  <c r="Q48" i="13" s="1"/>
  <c r="P48" i="13"/>
  <c r="AJ50" i="14"/>
  <c r="AO50" i="14" s="1"/>
  <c r="AN50" i="14"/>
  <c r="L47" i="14"/>
  <c r="Q47" i="14" s="1"/>
  <c r="P47" i="14"/>
  <c r="L50" i="13"/>
  <c r="Q50" i="13" s="1"/>
  <c r="P50" i="13"/>
  <c r="DD45" i="14"/>
  <c r="DI45" i="14" s="1"/>
  <c r="DH45" i="14"/>
  <c r="L52" i="14"/>
  <c r="Q52" i="14" s="1"/>
  <c r="P52" i="14"/>
  <c r="CF42" i="16"/>
  <c r="CK42" i="16" s="1"/>
  <c r="CJ42" i="16"/>
  <c r="BH44" i="14"/>
  <c r="BM44" i="14" s="1"/>
  <c r="BL44" i="14"/>
  <c r="L48" i="14"/>
  <c r="Q48" i="14" s="1"/>
  <c r="P48" i="14"/>
  <c r="CF52" i="16"/>
  <c r="CK52" i="16" s="1"/>
  <c r="CJ52" i="16"/>
  <c r="L48" i="16"/>
  <c r="Q48" i="16" s="1"/>
  <c r="P48" i="16"/>
  <c r="L47" i="13"/>
  <c r="Q47" i="13" s="1"/>
  <c r="P47" i="13"/>
  <c r="BH50" i="14"/>
  <c r="BM50" i="14" s="1"/>
  <c r="BL50" i="14"/>
  <c r="L46" i="13"/>
  <c r="Q46" i="13" s="1"/>
  <c r="P46" i="13"/>
  <c r="L50" i="14"/>
  <c r="Q50" i="14" s="1"/>
  <c r="P50" i="14"/>
  <c r="BH47" i="16"/>
  <c r="BM47" i="16" s="1"/>
  <c r="BL47" i="16"/>
  <c r="DD48" i="14"/>
  <c r="DI48" i="14" s="1"/>
  <c r="DH48" i="14"/>
  <c r="DD53" i="14"/>
  <c r="DI53" i="14" s="1"/>
  <c r="DH53" i="14"/>
  <c r="CF42" i="14"/>
  <c r="CK42" i="14" s="1"/>
  <c r="CJ42" i="14"/>
  <c r="DD96" i="16"/>
  <c r="DI96" i="16" s="1"/>
  <c r="DH96" i="16"/>
  <c r="BH99" i="15"/>
  <c r="BM99" i="15" s="1"/>
  <c r="BL99" i="15"/>
  <c r="L98" i="15"/>
  <c r="Q98" i="15" s="1"/>
  <c r="P98" i="15"/>
  <c r="DD102" i="15"/>
  <c r="DI102" i="15" s="1"/>
  <c r="DH102" i="15"/>
  <c r="DD92" i="16"/>
  <c r="DI92" i="16" s="1"/>
  <c r="DH92" i="16"/>
  <c r="AJ101" i="14"/>
  <c r="AO101" i="14" s="1"/>
  <c r="AN101" i="14"/>
  <c r="CF89" i="13"/>
  <c r="CK89" i="13" s="1"/>
  <c r="CJ89" i="13"/>
  <c r="BH98" i="15"/>
  <c r="BM98" i="15" s="1"/>
  <c r="BL98" i="15"/>
  <c r="AJ92" i="16"/>
  <c r="AO92" i="16" s="1"/>
  <c r="AN92" i="16"/>
  <c r="DD90" i="14"/>
  <c r="DI90" i="14" s="1"/>
  <c r="DH90" i="14"/>
  <c r="AJ89" i="16"/>
  <c r="AO89" i="16" s="1"/>
  <c r="AN89" i="16"/>
  <c r="DD99" i="15"/>
  <c r="DI99" i="15" s="1"/>
  <c r="DH99" i="15"/>
  <c r="DD89" i="14"/>
  <c r="DI89" i="14" s="1"/>
  <c r="DH89" i="14"/>
  <c r="L90" i="16"/>
  <c r="Q90" i="16" s="1"/>
  <c r="P90" i="16"/>
  <c r="AJ95" i="15"/>
  <c r="AO95" i="15" s="1"/>
  <c r="AN95" i="15"/>
  <c r="L99" i="16"/>
  <c r="Q99" i="16" s="1"/>
  <c r="P99" i="16"/>
  <c r="AJ25" i="14"/>
  <c r="AO25" i="14" s="1"/>
  <c r="AN25" i="14"/>
  <c r="AJ20" i="14"/>
  <c r="AO20" i="14" s="1"/>
  <c r="AN20" i="14"/>
  <c r="AJ22" i="14"/>
  <c r="AO22" i="14" s="1"/>
  <c r="AN22" i="14"/>
  <c r="DD20" i="14"/>
  <c r="DI20" i="14" s="1"/>
  <c r="DH20" i="14"/>
  <c r="CF13" i="13"/>
  <c r="CK13" i="13" s="1"/>
  <c r="CJ13" i="13"/>
  <c r="AJ13" i="14"/>
  <c r="AO13" i="14" s="1"/>
  <c r="AN13" i="14"/>
  <c r="BH18" i="16"/>
  <c r="BM18" i="16" s="1"/>
  <c r="BL18" i="16"/>
  <c r="CF20" i="15"/>
  <c r="CK20" i="15" s="1"/>
  <c r="CJ20" i="15"/>
  <c r="L19" i="14"/>
  <c r="Q19" i="14" s="1"/>
  <c r="P19" i="14"/>
  <c r="L23" i="13"/>
  <c r="Q23" i="13" s="1"/>
  <c r="P23" i="13"/>
  <c r="CF24" i="13"/>
  <c r="CK24" i="13" s="1"/>
  <c r="CJ24" i="13"/>
  <c r="L23" i="16"/>
  <c r="Q23" i="16" s="1"/>
  <c r="P23" i="16"/>
  <c r="CF15" i="13"/>
  <c r="CK15" i="13" s="1"/>
  <c r="CJ15" i="13"/>
  <c r="L24" i="14"/>
  <c r="Q24" i="14" s="1"/>
  <c r="P24" i="14"/>
  <c r="L21" i="16"/>
  <c r="Q21" i="16" s="1"/>
  <c r="P21" i="16"/>
  <c r="L24" i="15"/>
  <c r="Q24" i="15" s="1"/>
  <c r="P24" i="15"/>
  <c r="AJ20" i="15"/>
  <c r="AO20" i="15" s="1"/>
  <c r="AN20" i="15"/>
  <c r="CF15" i="14"/>
  <c r="CK15" i="14" s="1"/>
  <c r="CJ15" i="14"/>
  <c r="L18" i="16"/>
  <c r="Q18" i="16" s="1"/>
  <c r="P18" i="16"/>
  <c r="DD27" i="14"/>
  <c r="DI27" i="14" s="1"/>
  <c r="DH27" i="14"/>
  <c r="L25" i="16"/>
  <c r="Q25" i="16" s="1"/>
  <c r="P25" i="16"/>
  <c r="DD19" i="13"/>
  <c r="DI19" i="13" s="1"/>
  <c r="DH19" i="13"/>
  <c r="AJ17" i="15"/>
  <c r="AO17" i="15" s="1"/>
  <c r="AN17" i="15"/>
  <c r="CF26" i="15"/>
  <c r="CK26" i="15" s="1"/>
  <c r="CJ26" i="15"/>
  <c r="F67" i="22"/>
  <c r="AC71" i="10"/>
  <c r="AC69" i="10"/>
  <c r="F65" i="22" s="1"/>
  <c r="BH48" i="16"/>
  <c r="BM48" i="16" s="1"/>
  <c r="BL48" i="16"/>
  <c r="CF53" i="14"/>
  <c r="CK53" i="14" s="1"/>
  <c r="CJ53" i="14"/>
  <c r="CF48" i="16"/>
  <c r="CK48" i="16" s="1"/>
  <c r="CJ48" i="16"/>
  <c r="AJ41" i="14"/>
  <c r="AO41" i="14" s="1"/>
  <c r="AN41" i="14"/>
  <c r="DD48" i="13"/>
  <c r="DI48" i="13" s="1"/>
  <c r="DH48" i="13"/>
  <c r="L51" i="13"/>
  <c r="Q51" i="13" s="1"/>
  <c r="P51" i="13"/>
  <c r="L49" i="13"/>
  <c r="Q49" i="13" s="1"/>
  <c r="P49" i="13"/>
  <c r="AJ47" i="16"/>
  <c r="AO47" i="16" s="1"/>
  <c r="AN47" i="16"/>
  <c r="CF39" i="13"/>
  <c r="CK39" i="13" s="1"/>
  <c r="CJ39" i="13"/>
  <c r="AJ43" i="16"/>
  <c r="AO43" i="16" s="1"/>
  <c r="AN43" i="16"/>
  <c r="AJ45" i="14"/>
  <c r="AO45" i="14" s="1"/>
  <c r="AN45" i="14"/>
  <c r="AJ49" i="16"/>
  <c r="AO49" i="16" s="1"/>
  <c r="AN49" i="16"/>
  <c r="AJ46" i="14"/>
  <c r="AO46" i="14" s="1"/>
  <c r="AN46" i="14"/>
  <c r="CF42" i="13"/>
  <c r="CK42" i="13" s="1"/>
  <c r="CJ42" i="13"/>
  <c r="AJ48" i="14"/>
  <c r="AO48" i="14" s="1"/>
  <c r="AN48" i="14"/>
  <c r="DD43" i="13"/>
  <c r="DI43" i="13" s="1"/>
  <c r="DH43" i="13"/>
  <c r="L40" i="16"/>
  <c r="Q40" i="16" s="1"/>
  <c r="P40" i="16"/>
  <c r="AJ40" i="14"/>
  <c r="AO40" i="14" s="1"/>
  <c r="AN40" i="14"/>
  <c r="AJ51" i="14"/>
  <c r="AO51" i="14" s="1"/>
  <c r="AN51" i="14"/>
  <c r="BH39" i="16"/>
  <c r="BM39" i="16" s="1"/>
  <c r="BL39" i="16"/>
  <c r="L52" i="16"/>
  <c r="Q52" i="16" s="1"/>
  <c r="P52" i="16"/>
  <c r="CF46" i="16"/>
  <c r="CK46" i="16" s="1"/>
  <c r="CJ46" i="16"/>
  <c r="AJ47" i="14"/>
  <c r="AO47" i="14" s="1"/>
  <c r="AN47" i="14"/>
  <c r="CF51" i="13"/>
  <c r="CK51" i="13" s="1"/>
  <c r="CJ51" i="13"/>
  <c r="DD95" i="15"/>
  <c r="DI95" i="15" s="1"/>
  <c r="DH95" i="15"/>
  <c r="BH95" i="14"/>
  <c r="BM95" i="14" s="1"/>
  <c r="BL95" i="14"/>
  <c r="CF96" i="13"/>
  <c r="CK96" i="13" s="1"/>
  <c r="CJ96" i="13"/>
  <c r="CF93" i="16"/>
  <c r="CK93" i="16" s="1"/>
  <c r="CJ93" i="16"/>
  <c r="BH96" i="16"/>
  <c r="BM96" i="16" s="1"/>
  <c r="BL96" i="16"/>
  <c r="DD95" i="14"/>
  <c r="DI95" i="14" s="1"/>
  <c r="DH95" i="14"/>
  <c r="CF95" i="13"/>
  <c r="CK95" i="13" s="1"/>
  <c r="CJ95" i="13"/>
  <c r="BH93" i="16"/>
  <c r="BM93" i="16" s="1"/>
  <c r="BL93" i="16"/>
  <c r="CF101" i="16"/>
  <c r="CK101" i="16" s="1"/>
  <c r="CJ101" i="16"/>
  <c r="L102" i="16"/>
  <c r="Q102" i="16" s="1"/>
  <c r="P102" i="16"/>
  <c r="L89" i="16"/>
  <c r="Q89" i="16" s="1"/>
  <c r="P89" i="16"/>
  <c r="CF102" i="14"/>
  <c r="CK102" i="14" s="1"/>
  <c r="CJ102" i="14"/>
  <c r="DD21" i="16"/>
  <c r="DI21" i="16" s="1"/>
  <c r="DH21" i="16"/>
  <c r="AJ22" i="16"/>
  <c r="AO22" i="16" s="1"/>
  <c r="AN22" i="16"/>
  <c r="CF17" i="13"/>
  <c r="CK17" i="13" s="1"/>
  <c r="CJ17" i="13"/>
  <c r="CF20" i="13"/>
  <c r="CK20" i="13" s="1"/>
  <c r="CJ20" i="13"/>
  <c r="CF19" i="15"/>
  <c r="CK19" i="15" s="1"/>
  <c r="CJ19" i="15"/>
  <c r="AJ15" i="13"/>
  <c r="AO15" i="13" s="1"/>
  <c r="AN15" i="13"/>
  <c r="CF13" i="16"/>
  <c r="CK13" i="16" s="1"/>
  <c r="CJ13" i="16"/>
  <c r="L25" i="13"/>
  <c r="Q25" i="13" s="1"/>
  <c r="P25" i="13"/>
  <c r="AJ16" i="14"/>
  <c r="AO16" i="14" s="1"/>
  <c r="AN16" i="14"/>
  <c r="L27" i="15"/>
  <c r="Q27" i="15" s="1"/>
  <c r="P27" i="15"/>
  <c r="DD15" i="13"/>
  <c r="DI15" i="13" s="1"/>
  <c r="DH15" i="13"/>
  <c r="L21" i="14"/>
  <c r="Q21" i="14" s="1"/>
  <c r="P21" i="14"/>
  <c r="CF22" i="16"/>
  <c r="CK22" i="16" s="1"/>
  <c r="CJ22" i="16"/>
  <c r="L27" i="14"/>
  <c r="Q27" i="14" s="1"/>
  <c r="P27" i="14"/>
  <c r="DD21" i="13"/>
  <c r="DI21" i="13" s="1"/>
  <c r="DH21" i="13"/>
  <c r="DD22" i="16"/>
  <c r="DI22" i="16" s="1"/>
  <c r="DH22" i="16"/>
  <c r="CF25" i="15"/>
  <c r="CK25" i="15" s="1"/>
  <c r="CJ25" i="15"/>
  <c r="CF15" i="15"/>
  <c r="CK15" i="15" s="1"/>
  <c r="CJ15" i="15"/>
  <c r="F66" i="22"/>
  <c r="AC70" i="10"/>
  <c r="AC72" i="10"/>
  <c r="F68" i="22" s="1"/>
  <c r="F63" i="22"/>
  <c r="AC67" i="10"/>
  <c r="CF50" i="14"/>
  <c r="CK50" i="14" s="1"/>
  <c r="CJ50" i="14"/>
  <c r="L43" i="16"/>
  <c r="Q43" i="16" s="1"/>
  <c r="P43" i="16"/>
  <c r="BH39" i="13"/>
  <c r="BM39" i="13" s="1"/>
  <c r="BL39" i="13"/>
  <c r="CF41" i="14"/>
  <c r="CK41" i="14" s="1"/>
  <c r="CJ41" i="14"/>
  <c r="L46" i="16"/>
  <c r="Q46" i="16" s="1"/>
  <c r="P46" i="16"/>
  <c r="CF47" i="16"/>
  <c r="CK47" i="16" s="1"/>
  <c r="CJ47" i="16"/>
  <c r="L49" i="16"/>
  <c r="Q49" i="16" s="1"/>
  <c r="P49" i="16"/>
  <c r="L52" i="13"/>
  <c r="Q52" i="13" s="1"/>
  <c r="P52" i="13"/>
  <c r="DD50" i="14"/>
  <c r="DI50" i="14" s="1"/>
  <c r="DH50" i="14"/>
  <c r="L53" i="16"/>
  <c r="Q53" i="16" s="1"/>
  <c r="P53" i="16"/>
  <c r="BH51" i="16"/>
  <c r="BM51" i="16" s="1"/>
  <c r="BL51" i="16"/>
  <c r="L46" i="14"/>
  <c r="Q46" i="14" s="1"/>
  <c r="P46" i="14"/>
  <c r="DD43" i="16"/>
  <c r="DI43" i="16" s="1"/>
  <c r="DH43" i="16"/>
  <c r="BH43" i="13"/>
  <c r="BM43" i="13" s="1"/>
  <c r="BL43" i="13"/>
  <c r="L27" i="16"/>
  <c r="Q27" i="16" s="1"/>
  <c r="P27" i="16"/>
  <c r="L103" i="15"/>
  <c r="Q103" i="15" s="1"/>
  <c r="P103" i="15"/>
  <c r="BH90" i="14"/>
  <c r="BM90" i="14" s="1"/>
  <c r="BL90" i="14"/>
  <c r="BH99" i="16"/>
  <c r="BM99" i="16" s="1"/>
  <c r="BL99" i="16"/>
  <c r="BH89" i="16"/>
  <c r="BM89" i="16" s="1"/>
  <c r="BL89" i="16"/>
  <c r="L99" i="15"/>
  <c r="Q99" i="15" s="1"/>
  <c r="P99" i="15"/>
  <c r="L90" i="14"/>
  <c r="Q90" i="14" s="1"/>
  <c r="P90" i="14"/>
  <c r="AJ102" i="15"/>
  <c r="AO102" i="15" s="1"/>
  <c r="AN102" i="15"/>
  <c r="L89" i="13"/>
  <c r="Q89" i="13" s="1"/>
  <c r="P89" i="13"/>
  <c r="AJ90" i="15"/>
  <c r="AO90" i="15" s="1"/>
  <c r="AN90" i="15"/>
  <c r="AJ92" i="14"/>
  <c r="AO92" i="14" s="1"/>
  <c r="AN92" i="14"/>
  <c r="L96" i="15"/>
  <c r="Q96" i="15" s="1"/>
  <c r="P96" i="15"/>
  <c r="DD89" i="16"/>
  <c r="DI89" i="16" s="1"/>
  <c r="DH89" i="16"/>
  <c r="DD90" i="15"/>
  <c r="DI90" i="15" s="1"/>
  <c r="DH90" i="15"/>
  <c r="CF102" i="13"/>
  <c r="CK102" i="13" s="1"/>
  <c r="CJ102" i="13"/>
  <c r="DD96" i="14"/>
  <c r="DI96" i="14" s="1"/>
  <c r="DH96" i="14"/>
  <c r="CF89" i="16"/>
  <c r="CK89" i="16" s="1"/>
  <c r="CJ89" i="16"/>
  <c r="AJ90" i="16"/>
  <c r="AO90" i="16" s="1"/>
  <c r="AN90" i="16"/>
  <c r="L95" i="16"/>
  <c r="Q95" i="16" s="1"/>
  <c r="P95" i="16"/>
  <c r="L89" i="14"/>
  <c r="Q89" i="14" s="1"/>
  <c r="P89" i="14"/>
  <c r="DD93" i="14"/>
  <c r="DI93" i="14" s="1"/>
  <c r="DH93" i="14"/>
  <c r="BH101" i="16"/>
  <c r="BM101" i="16" s="1"/>
  <c r="BL101" i="16"/>
  <c r="BH26" i="14"/>
  <c r="BM26" i="14" s="1"/>
  <c r="BL26" i="14"/>
  <c r="DD18" i="13"/>
  <c r="DI18" i="13" s="1"/>
  <c r="DH18" i="13"/>
  <c r="DD13" i="16"/>
  <c r="DI13" i="16" s="1"/>
  <c r="DH13" i="16"/>
  <c r="L20" i="14"/>
  <c r="Q20" i="14" s="1"/>
  <c r="P20" i="14"/>
  <c r="CF21" i="13"/>
  <c r="CK21" i="13" s="1"/>
  <c r="CJ21" i="13"/>
  <c r="DD26" i="14"/>
  <c r="DI26" i="14" s="1"/>
  <c r="DH26" i="14"/>
  <c r="BH13" i="14"/>
  <c r="BM13" i="14" s="1"/>
  <c r="BL13" i="14"/>
  <c r="DD23" i="16"/>
  <c r="DI23" i="16" s="1"/>
  <c r="DH23" i="16"/>
  <c r="BH20" i="16"/>
  <c r="BM20" i="16" s="1"/>
  <c r="BL20" i="16"/>
  <c r="CF18" i="13"/>
  <c r="CK18" i="13" s="1"/>
  <c r="CJ18" i="13"/>
  <c r="CF17" i="14"/>
  <c r="CK17" i="14" s="1"/>
  <c r="CJ17" i="14"/>
  <c r="AJ15" i="14"/>
  <c r="AO15" i="14" s="1"/>
  <c r="AN15" i="14"/>
  <c r="L13" i="15"/>
  <c r="Q13" i="15" s="1"/>
  <c r="P13" i="15"/>
  <c r="L21" i="15"/>
  <c r="Q21" i="15" s="1"/>
  <c r="P21" i="15"/>
  <c r="AC73" i="10"/>
  <c r="F69" i="22" s="1"/>
  <c r="DD27" i="16"/>
  <c r="DI27" i="16" s="1"/>
  <c r="DH27" i="16"/>
  <c r="DD41" i="14"/>
  <c r="DI41" i="14" s="1"/>
  <c r="DH41" i="14"/>
  <c r="AJ52" i="14"/>
  <c r="AO52" i="14" s="1"/>
  <c r="AN52" i="14"/>
  <c r="L40" i="13"/>
  <c r="Q40" i="13" s="1"/>
  <c r="P40" i="13"/>
  <c r="CF53" i="16"/>
  <c r="CK53" i="16" s="1"/>
  <c r="CJ53" i="16"/>
  <c r="BH53" i="13"/>
  <c r="BM53" i="13" s="1"/>
  <c r="BL53" i="13"/>
  <c r="AJ52" i="16"/>
  <c r="AO52" i="16" s="1"/>
  <c r="AN52" i="16"/>
  <c r="AJ53" i="14"/>
  <c r="AO53" i="14" s="1"/>
  <c r="AN53" i="14"/>
  <c r="L42" i="13"/>
  <c r="Q42" i="13" s="1"/>
  <c r="P42" i="13"/>
  <c r="L45" i="14"/>
  <c r="Q45" i="14" s="1"/>
  <c r="P45" i="14"/>
  <c r="BH53" i="16"/>
  <c r="BM53" i="16" s="1"/>
  <c r="BL53" i="16"/>
  <c r="AJ43" i="14"/>
  <c r="AO43" i="14" s="1"/>
  <c r="AN43" i="14"/>
  <c r="CF41" i="16"/>
  <c r="CK41" i="16" s="1"/>
  <c r="CJ41" i="16"/>
  <c r="DD46" i="13"/>
  <c r="DI46" i="13" s="1"/>
  <c r="DH46" i="13"/>
  <c r="L47" i="16"/>
  <c r="Q47" i="16" s="1"/>
  <c r="P47" i="16"/>
  <c r="CF44" i="13"/>
  <c r="CK44" i="13" s="1"/>
  <c r="CJ44" i="13"/>
  <c r="L50" i="16"/>
  <c r="Q50" i="16" s="1"/>
  <c r="P50" i="16"/>
  <c r="CF51" i="16"/>
  <c r="CK51" i="16" s="1"/>
  <c r="CJ51" i="16"/>
  <c r="DD46" i="14"/>
  <c r="DI46" i="14" s="1"/>
  <c r="DH46" i="14"/>
  <c r="DD42" i="13"/>
  <c r="DI42" i="13" s="1"/>
  <c r="DH42" i="13"/>
  <c r="L41" i="14"/>
  <c r="Q41" i="14" s="1"/>
  <c r="P41" i="14"/>
  <c r="DD45" i="13"/>
  <c r="DI45" i="13" s="1"/>
  <c r="DH45" i="13"/>
  <c r="CF89" i="14"/>
  <c r="CK89" i="14" s="1"/>
  <c r="CJ89" i="14"/>
  <c r="L92" i="16"/>
  <c r="Q92" i="16" s="1"/>
  <c r="P92" i="16"/>
  <c r="AJ101" i="16"/>
  <c r="AO101" i="16" s="1"/>
  <c r="AN101" i="16"/>
  <c r="BH89" i="15"/>
  <c r="BM89" i="15" s="1"/>
  <c r="BL89" i="15"/>
  <c r="L96" i="14"/>
  <c r="Q96" i="14" s="1"/>
  <c r="P96" i="14"/>
  <c r="DD99" i="13"/>
  <c r="DI99" i="13" s="1"/>
  <c r="DH99" i="13"/>
  <c r="BH93" i="14"/>
  <c r="BM93" i="14" s="1"/>
  <c r="BL93" i="14"/>
  <c r="L101" i="16"/>
  <c r="Q101" i="16" s="1"/>
  <c r="P101" i="16"/>
  <c r="L101" i="13"/>
  <c r="Q101" i="13" s="1"/>
  <c r="P101" i="13"/>
  <c r="DD95" i="16"/>
  <c r="DI95" i="16" s="1"/>
  <c r="DH95" i="16"/>
  <c r="L99" i="13"/>
  <c r="Q99" i="13" s="1"/>
  <c r="P99" i="13"/>
  <c r="DD98" i="15"/>
  <c r="DI98" i="15" s="1"/>
  <c r="DH98" i="15"/>
  <c r="L19" i="16"/>
  <c r="Q19" i="16" s="1"/>
  <c r="P19" i="16"/>
  <c r="AJ24" i="13"/>
  <c r="AO24" i="13" s="1"/>
  <c r="AN24" i="13"/>
  <c r="L21" i="13"/>
  <c r="Q21" i="13" s="1"/>
  <c r="P21" i="13"/>
  <c r="BH15" i="16"/>
  <c r="BM15" i="16" s="1"/>
  <c r="BL15" i="16"/>
  <c r="CF19" i="16"/>
  <c r="CK19" i="16" s="1"/>
  <c r="CJ19" i="16"/>
  <c r="CF22" i="13"/>
  <c r="CK22" i="13" s="1"/>
  <c r="CJ22" i="13"/>
  <c r="BH21" i="14"/>
  <c r="BM21" i="14" s="1"/>
  <c r="BL21" i="14"/>
  <c r="BH25" i="14"/>
  <c r="BM25" i="14" s="1"/>
  <c r="BL25" i="14"/>
  <c r="L15" i="14"/>
  <c r="Q15" i="14" s="1"/>
  <c r="P15" i="14"/>
  <c r="DD26" i="13"/>
  <c r="DI26" i="13" s="1"/>
  <c r="DH26" i="13"/>
  <c r="CF17" i="16"/>
  <c r="CK17" i="16" s="1"/>
  <c r="CJ17" i="16"/>
  <c r="CF25" i="13"/>
  <c r="CK25" i="13" s="1"/>
  <c r="CJ25" i="13"/>
  <c r="DD14" i="14"/>
  <c r="DI14" i="14" s="1"/>
  <c r="DH14" i="14"/>
  <c r="L24" i="13"/>
  <c r="Q24" i="13" s="1"/>
  <c r="P24" i="13"/>
  <c r="DD16" i="13"/>
  <c r="DI16" i="13" s="1"/>
  <c r="DH16" i="13"/>
  <c r="L14" i="15"/>
  <c r="Q14" i="15" s="1"/>
  <c r="P14" i="15"/>
  <c r="CF20" i="16"/>
  <c r="CK20" i="16" s="1"/>
  <c r="CJ20" i="16"/>
  <c r="CF19" i="14"/>
  <c r="CK19" i="14" s="1"/>
  <c r="CJ19" i="14"/>
  <c r="CF21" i="15"/>
  <c r="CK21" i="15" s="1"/>
  <c r="CJ21" i="15"/>
  <c r="AN128" i="13"/>
  <c r="AJ128" i="13"/>
  <c r="AO128" i="13" s="1"/>
  <c r="DD17" i="16"/>
  <c r="DI17" i="16" s="1"/>
  <c r="X79" i="10"/>
  <c r="X66" i="10"/>
  <c r="AC66" i="10" s="1"/>
  <c r="AJ18" i="16"/>
  <c r="AO18" i="16" s="1"/>
  <c r="DD19" i="16"/>
  <c r="DI19" i="16" s="1"/>
  <c r="DD14" i="16"/>
  <c r="DI14" i="16" s="1"/>
  <c r="AJ20" i="16"/>
  <c r="AO20" i="16" s="1"/>
  <c r="DD25" i="16"/>
  <c r="DI25" i="16" s="1"/>
  <c r="BH97" i="16"/>
  <c r="BM97" i="16" s="1"/>
  <c r="BH19" i="16"/>
  <c r="BM19" i="16" s="1"/>
  <c r="L91" i="15"/>
  <c r="Q91" i="15" s="1"/>
  <c r="DD24" i="15"/>
  <c r="DI24" i="15" s="1"/>
  <c r="L18" i="15"/>
  <c r="Q18" i="15" s="1"/>
  <c r="CF98" i="13"/>
  <c r="CK98" i="13" s="1"/>
  <c r="BH21" i="16"/>
  <c r="BM21" i="16" s="1"/>
  <c r="BH13" i="16"/>
  <c r="BM13" i="16" s="1"/>
  <c r="BH14" i="16"/>
  <c r="BM14" i="16" s="1"/>
  <c r="AJ13" i="16"/>
  <c r="AO13" i="16" s="1"/>
  <c r="L26" i="15"/>
  <c r="Q26" i="15" s="1"/>
  <c r="L17" i="15"/>
  <c r="Q17" i="15" s="1"/>
  <c r="BH25" i="15"/>
  <c r="BM25" i="15" s="1"/>
  <c r="BH23" i="15"/>
  <c r="BM23" i="15" s="1"/>
  <c r="AJ22" i="15"/>
  <c r="AO22" i="15" s="1"/>
  <c r="AJ24" i="15"/>
  <c r="AO24" i="15" s="1"/>
  <c r="AJ23" i="15"/>
  <c r="AO23" i="15" s="1"/>
  <c r="BH16" i="15"/>
  <c r="BM16" i="15" s="1"/>
  <c r="DD13" i="15"/>
  <c r="DI13" i="15" s="1"/>
  <c r="AJ18" i="15"/>
  <c r="AO18" i="15" s="1"/>
  <c r="CF17" i="15"/>
  <c r="CK17" i="15" s="1"/>
  <c r="BH21" i="15"/>
  <c r="BM21" i="15" s="1"/>
  <c r="DD23" i="15"/>
  <c r="DI23" i="15" s="1"/>
  <c r="X76" i="10"/>
  <c r="CF24" i="15"/>
  <c r="CK24" i="15" s="1"/>
  <c r="CF14" i="16"/>
  <c r="CK14" i="16" s="1"/>
  <c r="CF21" i="16"/>
  <c r="CK21" i="16" s="1"/>
  <c r="L13" i="16"/>
  <c r="Q13" i="16" s="1"/>
  <c r="L22" i="14"/>
  <c r="Q22" i="14" s="1"/>
  <c r="CF15" i="16"/>
  <c r="CK15" i="16" s="1"/>
  <c r="AJ21" i="15"/>
  <c r="AO21" i="15" s="1"/>
  <c r="DD15" i="16"/>
  <c r="DI15" i="16" s="1"/>
  <c r="DD24" i="16"/>
  <c r="DI24" i="16" s="1"/>
  <c r="AJ16" i="15"/>
  <c r="AO16" i="15" s="1"/>
  <c r="L18" i="14"/>
  <c r="Q18" i="14" s="1"/>
  <c r="DD16" i="15"/>
  <c r="DI16" i="15" s="1"/>
  <c r="CF16" i="14"/>
  <c r="CK16" i="14" s="1"/>
  <c r="AJ18" i="14"/>
  <c r="AO18" i="14" s="1"/>
  <c r="DD25" i="14"/>
  <c r="DI25" i="14" s="1"/>
  <c r="DD21" i="14"/>
  <c r="DI21" i="14" s="1"/>
  <c r="BH19" i="14"/>
  <c r="BM19" i="14" s="1"/>
  <c r="L13" i="14"/>
  <c r="Q13" i="14" s="1"/>
  <c r="AJ24" i="14"/>
  <c r="AO24" i="14" s="1"/>
  <c r="BH15" i="14"/>
  <c r="BM15" i="14" s="1"/>
  <c r="BH16" i="14"/>
  <c r="BM16" i="14" s="1"/>
  <c r="CF20" i="14"/>
  <c r="CK20" i="14" s="1"/>
  <c r="CF24" i="14"/>
  <c r="CK24" i="14" s="1"/>
  <c r="DD13" i="13"/>
  <c r="DI13" i="13" s="1"/>
  <c r="AJ22" i="13"/>
  <c r="AO22" i="13" s="1"/>
  <c r="DD17" i="13"/>
  <c r="DI17" i="13" s="1"/>
  <c r="AJ94" i="13"/>
  <c r="AO94" i="13" s="1"/>
  <c r="AJ101" i="13"/>
  <c r="AO101" i="13" s="1"/>
  <c r="AJ16" i="13"/>
  <c r="AO16" i="13" s="1"/>
  <c r="BH22" i="13"/>
  <c r="BM22" i="13" s="1"/>
  <c r="DD98" i="13"/>
  <c r="DI98" i="13" s="1"/>
  <c r="F62" i="22"/>
  <c r="CF23" i="13"/>
  <c r="CK23" i="13" s="1"/>
  <c r="L16" i="14"/>
  <c r="Q16" i="14" s="1"/>
  <c r="AJ13" i="13"/>
  <c r="AO13" i="13" s="1"/>
  <c r="X68" i="10"/>
  <c r="AC68" i="10" s="1"/>
  <c r="AB68" i="10"/>
  <c r="AJ101" i="15"/>
  <c r="AO101" i="15" s="1"/>
  <c r="DD102" i="13"/>
  <c r="DI102" i="13" s="1"/>
  <c r="L97" i="13"/>
  <c r="Q97" i="13" s="1"/>
  <c r="CF93" i="15"/>
  <c r="CK93" i="15" s="1"/>
  <c r="X97" i="10"/>
  <c r="AC97" i="10" s="1"/>
  <c r="AB97" i="10"/>
  <c r="X78" i="10"/>
  <c r="AC78" i="10" s="1"/>
  <c r="AB78" i="10"/>
  <c r="X94" i="10"/>
  <c r="AC94" i="10" s="1"/>
  <c r="AB94" i="10"/>
  <c r="X105" i="10"/>
  <c r="AC105" i="10" s="1"/>
  <c r="AB105" i="10"/>
  <c r="AJ14" i="14"/>
  <c r="AO14" i="14" s="1"/>
  <c r="AJ21" i="13"/>
  <c r="AO21" i="13" s="1"/>
  <c r="BH99" i="14"/>
  <c r="BM99" i="14" s="1"/>
  <c r="AJ92" i="13"/>
  <c r="AO92" i="13" s="1"/>
  <c r="CF95" i="16"/>
  <c r="CK95" i="16" s="1"/>
  <c r="L98" i="16"/>
  <c r="Q98" i="16" s="1"/>
  <c r="CF102" i="16"/>
  <c r="CK102" i="16" s="1"/>
  <c r="AJ90" i="14"/>
  <c r="AO90" i="14" s="1"/>
  <c r="L96" i="13"/>
  <c r="Q96" i="13" s="1"/>
  <c r="BH91" i="15"/>
  <c r="BM91" i="15" s="1"/>
  <c r="X95" i="10"/>
  <c r="AC95" i="10" s="1"/>
  <c r="AB95" i="10"/>
  <c r="X80" i="10"/>
  <c r="AC80" i="10" s="1"/>
  <c r="AB80" i="10"/>
  <c r="X101" i="10"/>
  <c r="AC101" i="10" s="1"/>
  <c r="AB101" i="10"/>
  <c r="DD100" i="15"/>
  <c r="DI100" i="15" s="1"/>
  <c r="L96" i="16"/>
  <c r="Q96" i="16" s="1"/>
  <c r="AJ97" i="14"/>
  <c r="AO97" i="14" s="1"/>
  <c r="BH102" i="13"/>
  <c r="BM102" i="13" s="1"/>
  <c r="L94" i="16"/>
  <c r="Q94" i="16" s="1"/>
  <c r="X96" i="10"/>
  <c r="AC96" i="10" s="1"/>
  <c r="AB96" i="10"/>
  <c r="X77" i="10"/>
  <c r="AC77" i="10" s="1"/>
  <c r="AB77" i="10"/>
  <c r="BH16" i="16"/>
  <c r="BM16" i="16" s="1"/>
  <c r="AJ17" i="13"/>
  <c r="AO17" i="13" s="1"/>
  <c r="K45" i="15"/>
  <c r="CE45" i="15"/>
  <c r="CJ45" i="15" s="1"/>
  <c r="AI47" i="15"/>
  <c r="DC40" i="15"/>
  <c r="AI50" i="15"/>
  <c r="AN50" i="15" s="1"/>
  <c r="K48" i="15"/>
  <c r="P48" i="15" s="1"/>
  <c r="CE41" i="15"/>
  <c r="CE44" i="15"/>
  <c r="CJ44" i="15" s="1"/>
  <c r="BG44" i="15"/>
  <c r="BL44" i="15" s="1"/>
  <c r="K51" i="15"/>
  <c r="AI44" i="15"/>
  <c r="K44" i="15"/>
  <c r="K49" i="15"/>
  <c r="P49" i="15" s="1"/>
  <c r="DC49" i="15"/>
  <c r="DH49" i="15" s="1"/>
  <c r="BG14" i="15"/>
  <c r="BL14" i="15" s="1"/>
  <c r="K19" i="15"/>
  <c r="P19" i="15" s="1"/>
  <c r="BG13" i="15"/>
  <c r="BL13" i="15" s="1"/>
  <c r="CE23" i="15"/>
  <c r="CJ23" i="15" s="1"/>
  <c r="AI26" i="15"/>
  <c r="AN26" i="15" s="1"/>
  <c r="K25" i="15"/>
  <c r="AI25" i="15"/>
  <c r="AN25" i="15" s="1"/>
  <c r="DC14" i="15"/>
  <c r="DH14" i="15" s="1"/>
  <c r="CE22" i="15"/>
  <c r="CJ22" i="15" s="1"/>
  <c r="BG15" i="15"/>
  <c r="BL15" i="15" s="1"/>
  <c r="DC20" i="15"/>
  <c r="DC19" i="15"/>
  <c r="AI46" i="15"/>
  <c r="CE52" i="15"/>
  <c r="CE39" i="15"/>
  <c r="BG53" i="15"/>
  <c r="AI39" i="15"/>
  <c r="AN39" i="15" s="1"/>
  <c r="CE48" i="15"/>
  <c r="CJ48" i="15" s="1"/>
  <c r="DC50" i="15"/>
  <c r="DH50" i="15" s="1"/>
  <c r="BG49" i="15"/>
  <c r="BL49" i="15" s="1"/>
  <c r="K39" i="15"/>
  <c r="P39" i="15" s="1"/>
  <c r="BG39" i="15"/>
  <c r="CF95" i="15"/>
  <c r="CK95" i="15" s="1"/>
  <c r="L95" i="15"/>
  <c r="Q95" i="15" s="1"/>
  <c r="AI53" i="15"/>
  <c r="AN53" i="15" s="1"/>
  <c r="BG50" i="15"/>
  <c r="BL50" i="15" s="1"/>
  <c r="BG47" i="15"/>
  <c r="BL47" i="15" s="1"/>
  <c r="K53" i="15"/>
  <c r="P53" i="15" s="1"/>
  <c r="K43" i="15"/>
  <c r="DC45" i="15"/>
  <c r="DH45" i="15" s="1"/>
  <c r="K41" i="15"/>
  <c r="BG46" i="15"/>
  <c r="BL46" i="15" s="1"/>
  <c r="DC47" i="15"/>
  <c r="DH47" i="15" s="1"/>
  <c r="CE49" i="15"/>
  <c r="AI43" i="15"/>
  <c r="AN43" i="15" s="1"/>
  <c r="K50" i="15"/>
  <c r="BG48" i="15"/>
  <c r="BL48" i="15" s="1"/>
  <c r="CE42" i="15"/>
  <c r="CJ42" i="15" s="1"/>
  <c r="DC46" i="15"/>
  <c r="DH46" i="15" s="1"/>
  <c r="BG40" i="15"/>
  <c r="BL40" i="15" s="1"/>
  <c r="CE50" i="15"/>
  <c r="CJ50" i="15" s="1"/>
  <c r="CE46" i="15"/>
  <c r="CJ46" i="15" s="1"/>
  <c r="BG52" i="15"/>
  <c r="BL52" i="15" s="1"/>
  <c r="AI45" i="15"/>
  <c r="AN45" i="15" s="1"/>
  <c r="K46" i="15"/>
  <c r="P46" i="15" s="1"/>
  <c r="DC44" i="15"/>
  <c r="K47" i="15"/>
  <c r="BG43" i="15"/>
  <c r="BL43" i="15" s="1"/>
  <c r="K42" i="15"/>
  <c r="P42" i="15" s="1"/>
  <c r="DC52" i="15"/>
  <c r="DH52" i="15" s="1"/>
  <c r="CE51" i="15"/>
  <c r="CJ51" i="15" s="1"/>
  <c r="BG45" i="15"/>
  <c r="BL45" i="15" s="1"/>
  <c r="AI48" i="15"/>
  <c r="AN48" i="15" s="1"/>
  <c r="BG51" i="15"/>
  <c r="BL51" i="15" s="1"/>
  <c r="DC42" i="15"/>
  <c r="K40" i="15"/>
  <c r="P40" i="15" s="1"/>
  <c r="BG41" i="15"/>
  <c r="BL41" i="15" s="1"/>
  <c r="DC39" i="15"/>
  <c r="DH39" i="15" s="1"/>
  <c r="CE47" i="15"/>
  <c r="CJ47" i="15" s="1"/>
  <c r="AI49" i="15"/>
  <c r="CE40" i="15"/>
  <c r="CJ40" i="15" s="1"/>
  <c r="DC41" i="15"/>
  <c r="DH41" i="15" s="1"/>
  <c r="AI52" i="15"/>
  <c r="AN52" i="15" s="1"/>
  <c r="DC43" i="15"/>
  <c r="DC51" i="15"/>
  <c r="AI51" i="15"/>
  <c r="BG42" i="15"/>
  <c r="BL42" i="15" s="1"/>
  <c r="DC48" i="15"/>
  <c r="DH48" i="15" s="1"/>
  <c r="DD53" i="15"/>
  <c r="DI53" i="15" s="1"/>
  <c r="K52" i="15"/>
  <c r="P52" i="15" s="1"/>
  <c r="CE43" i="15"/>
  <c r="CJ43" i="15" s="1"/>
  <c r="CE53" i="15"/>
  <c r="CJ53" i="15" s="1"/>
  <c r="DC25" i="15"/>
  <c r="DC26" i="15"/>
  <c r="DH26" i="15" s="1"/>
  <c r="K16" i="15"/>
  <c r="BG18" i="15"/>
  <c r="BL18" i="15" s="1"/>
  <c r="AI15" i="15"/>
  <c r="AN15" i="15" s="1"/>
  <c r="BG19" i="15"/>
  <c r="BL19" i="15" s="1"/>
  <c r="AI14" i="15"/>
  <c r="AN14" i="15" s="1"/>
  <c r="DC15" i="15"/>
  <c r="CE14" i="15"/>
  <c r="CJ14" i="15" s="1"/>
  <c r="BG20" i="15"/>
  <c r="BL20" i="15" s="1"/>
  <c r="CE13" i="15"/>
  <c r="CJ13" i="15" s="1"/>
  <c r="DC18" i="15"/>
  <c r="DH18" i="15" s="1"/>
  <c r="AJ26" i="13"/>
  <c r="AO26" i="13" s="1"/>
  <c r="AJ23" i="13"/>
  <c r="AO23" i="13" s="1"/>
  <c r="CF93" i="13"/>
  <c r="CK93" i="13" s="1"/>
  <c r="DD24" i="13"/>
  <c r="DI24" i="13" s="1"/>
  <c r="AJ23" i="14"/>
  <c r="AO23" i="14" s="1"/>
  <c r="L14" i="14"/>
  <c r="Q14" i="14" s="1"/>
  <c r="DD16" i="14"/>
  <c r="DI16" i="14" s="1"/>
  <c r="DD24" i="14"/>
  <c r="DI24" i="14" s="1"/>
  <c r="DD25" i="13"/>
  <c r="DI25" i="13" s="1"/>
  <c r="AJ21" i="14"/>
  <c r="AO21" i="14" s="1"/>
  <c r="DD17" i="14"/>
  <c r="DI17" i="14" s="1"/>
  <c r="DD20" i="13"/>
  <c r="DI20" i="13" s="1"/>
  <c r="AJ26" i="14"/>
  <c r="AO26" i="14" s="1"/>
  <c r="DD22" i="14"/>
  <c r="DI22" i="14" s="1"/>
  <c r="CF25" i="14"/>
  <c r="CK25" i="14" s="1"/>
  <c r="DD26" i="16"/>
  <c r="DI26" i="16" s="1"/>
  <c r="BH24" i="16"/>
  <c r="BM24" i="16" s="1"/>
  <c r="L17" i="14"/>
  <c r="Q17" i="14" s="1"/>
  <c r="L22" i="13"/>
  <c r="Q22" i="13" s="1"/>
  <c r="X74" i="10"/>
  <c r="BH24" i="13"/>
  <c r="BM24" i="13" s="1"/>
  <c r="CF23" i="16"/>
  <c r="CK23" i="16" s="1"/>
  <c r="AJ24" i="16"/>
  <c r="AO24" i="16" s="1"/>
  <c r="CF19" i="13"/>
  <c r="CK19" i="13" s="1"/>
  <c r="BH13" i="13"/>
  <c r="BM13" i="13" s="1"/>
  <c r="BH22" i="14"/>
  <c r="BM22" i="14" s="1"/>
  <c r="DD14" i="13"/>
  <c r="DI14" i="13" s="1"/>
  <c r="AJ15" i="16"/>
  <c r="AO15" i="16" s="1"/>
  <c r="BH18" i="14"/>
  <c r="BM18" i="14" s="1"/>
  <c r="AJ18" i="13"/>
  <c r="AO18" i="13" s="1"/>
  <c r="BH22" i="16"/>
  <c r="BM22" i="16" s="1"/>
  <c r="AJ19" i="13"/>
  <c r="AO19" i="13" s="1"/>
  <c r="AJ25" i="16"/>
  <c r="AO25" i="16" s="1"/>
  <c r="AJ14" i="13"/>
  <c r="AO14" i="13" s="1"/>
  <c r="AJ19" i="16"/>
  <c r="AO19" i="16" s="1"/>
  <c r="BH23" i="16"/>
  <c r="BM23" i="16" s="1"/>
  <c r="AJ23" i="16"/>
  <c r="AO23" i="16" s="1"/>
  <c r="BH20" i="14"/>
  <c r="BM20" i="14" s="1"/>
  <c r="BH17" i="14"/>
  <c r="BM17" i="14" s="1"/>
  <c r="CF26" i="13"/>
  <c r="CK26" i="13" s="1"/>
  <c r="L94" i="14"/>
  <c r="Q94" i="14" s="1"/>
  <c r="BH91" i="16"/>
  <c r="BM91" i="16" s="1"/>
  <c r="BH91" i="14"/>
  <c r="BM91" i="14" s="1"/>
  <c r="AJ97" i="15"/>
  <c r="AO97" i="15" s="1"/>
  <c r="CF96" i="16"/>
  <c r="CK96" i="16" s="1"/>
  <c r="BH97" i="14"/>
  <c r="BM97" i="14" s="1"/>
  <c r="CF91" i="15"/>
  <c r="CK91" i="15" s="1"/>
  <c r="L95" i="13"/>
  <c r="Q95" i="13" s="1"/>
  <c r="L100" i="16"/>
  <c r="Q100" i="16" s="1"/>
  <c r="DD100" i="13"/>
  <c r="DI100" i="13" s="1"/>
  <c r="L94" i="15"/>
  <c r="Q94" i="15" s="1"/>
  <c r="CF90" i="15"/>
  <c r="CK90" i="15" s="1"/>
  <c r="AJ97" i="16"/>
  <c r="AO97" i="16" s="1"/>
  <c r="AJ97" i="13"/>
  <c r="AO97" i="13" s="1"/>
  <c r="AJ96" i="13"/>
  <c r="AO96" i="13" s="1"/>
  <c r="L99" i="14"/>
  <c r="Q99" i="14" s="1"/>
  <c r="AJ95" i="13"/>
  <c r="AO95" i="13" s="1"/>
  <c r="DD92" i="15"/>
  <c r="DI92" i="15" s="1"/>
  <c r="CF90" i="13"/>
  <c r="CK90" i="13" s="1"/>
  <c r="BH93" i="15"/>
  <c r="BM93" i="15" s="1"/>
  <c r="L89" i="15"/>
  <c r="Q89" i="15" s="1"/>
  <c r="DD91" i="15"/>
  <c r="DI91" i="15" s="1"/>
  <c r="AJ94" i="16"/>
  <c r="AO94" i="16" s="1"/>
  <c r="CF92" i="15"/>
  <c r="CK92" i="15" s="1"/>
  <c r="BH89" i="13"/>
  <c r="BM89" i="13" s="1"/>
  <c r="L91" i="16"/>
  <c r="Q91" i="16" s="1"/>
  <c r="BH102" i="16"/>
  <c r="BM102" i="16" s="1"/>
  <c r="BH92" i="15"/>
  <c r="BM92" i="15" s="1"/>
  <c r="CF99" i="13"/>
  <c r="CK99" i="13" s="1"/>
  <c r="L93" i="13"/>
  <c r="Q93" i="13" s="1"/>
  <c r="BH101" i="14"/>
  <c r="BM101" i="14" s="1"/>
  <c r="L102" i="15"/>
  <c r="Q102" i="15" s="1"/>
  <c r="BH90" i="15"/>
  <c r="BM90" i="15" s="1"/>
  <c r="AJ96" i="15"/>
  <c r="AO96" i="15" s="1"/>
  <c r="BH100" i="14"/>
  <c r="BM100" i="14" s="1"/>
  <c r="CF97" i="16"/>
  <c r="CK97" i="16" s="1"/>
  <c r="DD91" i="14"/>
  <c r="DI91" i="14" s="1"/>
  <c r="DD101" i="13"/>
  <c r="DI101" i="13" s="1"/>
  <c r="AJ98" i="15"/>
  <c r="AO98" i="15" s="1"/>
  <c r="CF97" i="14"/>
  <c r="CK97" i="14" s="1"/>
  <c r="L92" i="15"/>
  <c r="Q92" i="15" s="1"/>
  <c r="CF94" i="13"/>
  <c r="CK94" i="13" s="1"/>
  <c r="DD97" i="15"/>
  <c r="DI97" i="15" s="1"/>
  <c r="CF98" i="16"/>
  <c r="CK98" i="16" s="1"/>
  <c r="CF98" i="14"/>
  <c r="CK98" i="14" s="1"/>
  <c r="CF100" i="14"/>
  <c r="CK100" i="14" s="1"/>
  <c r="AJ99" i="14"/>
  <c r="AO99" i="14" s="1"/>
  <c r="L90" i="15"/>
  <c r="Q90" i="15" s="1"/>
  <c r="L97" i="15"/>
  <c r="Q97" i="15" s="1"/>
  <c r="BH94" i="13"/>
  <c r="BM94" i="13" s="1"/>
  <c r="CF99" i="15"/>
  <c r="CK99" i="15" s="1"/>
  <c r="L90" i="13"/>
  <c r="Q90" i="13" s="1"/>
  <c r="AJ98" i="16"/>
  <c r="AO98" i="16" s="1"/>
  <c r="DD100" i="16"/>
  <c r="DI100" i="16" s="1"/>
  <c r="CF97" i="13"/>
  <c r="CK97" i="13" s="1"/>
  <c r="CF27" i="16"/>
  <c r="CK27" i="16" s="1"/>
  <c r="AJ100" i="13"/>
  <c r="AO100" i="13" s="1"/>
  <c r="L100" i="15"/>
  <c r="Q100" i="15" s="1"/>
  <c r="DD90" i="16"/>
  <c r="DI90" i="16" s="1"/>
  <c r="CF96" i="15"/>
  <c r="CK96" i="15" s="1"/>
  <c r="BH92" i="13"/>
  <c r="BM92" i="13" s="1"/>
  <c r="CF97" i="15"/>
  <c r="CK97" i="15" s="1"/>
  <c r="DD91" i="16"/>
  <c r="DI91" i="16" s="1"/>
  <c r="DD100" i="14"/>
  <c r="DI100" i="14" s="1"/>
  <c r="AJ94" i="14"/>
  <c r="AO94" i="14" s="1"/>
  <c r="BH98" i="14"/>
  <c r="BM98" i="14" s="1"/>
  <c r="AJ95" i="14"/>
  <c r="AO95" i="14" s="1"/>
  <c r="BH94" i="14"/>
  <c r="BM94" i="14" s="1"/>
  <c r="L93" i="14"/>
  <c r="Q93" i="14" s="1"/>
  <c r="CF90" i="14"/>
  <c r="CK90" i="14" s="1"/>
  <c r="AJ98" i="14"/>
  <c r="AO98" i="14" s="1"/>
  <c r="AJ96" i="14"/>
  <c r="AO96" i="14" s="1"/>
  <c r="CF101" i="14"/>
  <c r="CK101" i="14" s="1"/>
  <c r="BH103" i="14"/>
  <c r="BM103" i="14" s="1"/>
  <c r="AJ89" i="13"/>
  <c r="AO89" i="13" s="1"/>
  <c r="L102" i="13"/>
  <c r="Q102" i="13" s="1"/>
  <c r="CF101" i="13"/>
  <c r="CK101" i="13" s="1"/>
  <c r="AJ90" i="13"/>
  <c r="AO90" i="13" s="1"/>
  <c r="CF99" i="16"/>
  <c r="CK99" i="16" s="1"/>
  <c r="CF101" i="15"/>
  <c r="CK101" i="15" s="1"/>
  <c r="L91" i="13"/>
  <c r="Q91" i="13" s="1"/>
  <c r="BH90" i="16"/>
  <c r="BM90" i="16" s="1"/>
  <c r="AJ96" i="16"/>
  <c r="AO96" i="16" s="1"/>
  <c r="L91" i="14"/>
  <c r="Q91" i="14" s="1"/>
  <c r="CF90" i="16"/>
  <c r="CK90" i="16" s="1"/>
  <c r="AJ100" i="15"/>
  <c r="AO100" i="15" s="1"/>
  <c r="L93" i="15"/>
  <c r="Q93" i="15" s="1"/>
  <c r="AJ91" i="16"/>
  <c r="AO91" i="16" s="1"/>
  <c r="DD97" i="14"/>
  <c r="DI97" i="14" s="1"/>
  <c r="BH94" i="15"/>
  <c r="BM94" i="15" s="1"/>
  <c r="BH98" i="16"/>
  <c r="BM98" i="16" s="1"/>
  <c r="DD93" i="16"/>
  <c r="DI93" i="16" s="1"/>
  <c r="CF91" i="16"/>
  <c r="CK91" i="16" s="1"/>
  <c r="AJ91" i="14"/>
  <c r="AO91" i="14" s="1"/>
  <c r="CF94" i="15"/>
  <c r="CK94" i="15" s="1"/>
  <c r="AJ98" i="13"/>
  <c r="AO98" i="13" s="1"/>
  <c r="AJ94" i="15"/>
  <c r="AO94" i="15" s="1"/>
  <c r="BH100" i="13"/>
  <c r="BM100" i="13" s="1"/>
  <c r="AJ92" i="15"/>
  <c r="AO92" i="15" s="1"/>
  <c r="AJ99" i="13"/>
  <c r="AO99" i="13" s="1"/>
  <c r="DD98" i="14"/>
  <c r="DI98" i="14" s="1"/>
  <c r="BH94" i="16"/>
  <c r="BM94" i="16" s="1"/>
  <c r="L101" i="14"/>
  <c r="Q101" i="14" s="1"/>
  <c r="AJ89" i="14"/>
  <c r="AO89" i="14" s="1"/>
  <c r="CF92" i="13"/>
  <c r="CK92" i="13" s="1"/>
  <c r="AJ99" i="15"/>
  <c r="AO99" i="15" s="1"/>
  <c r="DD96" i="15"/>
  <c r="DI96" i="15" s="1"/>
  <c r="DD92" i="14"/>
  <c r="DI92" i="14" s="1"/>
  <c r="DD93" i="15"/>
  <c r="DI93" i="15" s="1"/>
  <c r="BH92" i="16"/>
  <c r="BM92" i="16" s="1"/>
  <c r="CF99" i="14"/>
  <c r="CK99" i="14" s="1"/>
  <c r="L98" i="14"/>
  <c r="Q98" i="14" s="1"/>
  <c r="L102" i="14"/>
  <c r="Q102" i="14" s="1"/>
  <c r="CF100" i="16"/>
  <c r="CK100" i="16" s="1"/>
  <c r="L103" i="14"/>
  <c r="Q103" i="14" s="1"/>
  <c r="CF91" i="13"/>
  <c r="CK91" i="13" s="1"/>
  <c r="DD94" i="15"/>
  <c r="DI94" i="15" s="1"/>
  <c r="DD101" i="15"/>
  <c r="DI101" i="15" s="1"/>
  <c r="AJ93" i="14"/>
  <c r="AO93" i="14" s="1"/>
  <c r="L92" i="13"/>
  <c r="Q92" i="13" s="1"/>
  <c r="BH102" i="15"/>
  <c r="BM102" i="15" s="1"/>
  <c r="L98" i="13"/>
  <c r="Q98" i="13" s="1"/>
  <c r="DD94" i="14"/>
  <c r="DI94" i="14" s="1"/>
  <c r="L100" i="14"/>
  <c r="Q100" i="14" s="1"/>
  <c r="BH100" i="16"/>
  <c r="BM100" i="16" s="1"/>
  <c r="L100" i="13"/>
  <c r="Q100" i="13" s="1"/>
  <c r="BH100" i="15"/>
  <c r="BM100" i="15" s="1"/>
  <c r="AJ89" i="15"/>
  <c r="AO89" i="15" s="1"/>
  <c r="BH101" i="13"/>
  <c r="BM101" i="13" s="1"/>
  <c r="BH96" i="15"/>
  <c r="BM96" i="15" s="1"/>
  <c r="BH97" i="15"/>
  <c r="BM97" i="15" s="1"/>
  <c r="BH89" i="14"/>
  <c r="BM89" i="14" s="1"/>
  <c r="AJ102" i="14"/>
  <c r="AO102" i="14" s="1"/>
  <c r="BH98" i="13"/>
  <c r="BM98" i="13" s="1"/>
  <c r="DD102" i="14"/>
  <c r="DI102" i="14" s="1"/>
  <c r="BH91" i="13"/>
  <c r="BM91" i="13" s="1"/>
  <c r="AJ91" i="13"/>
  <c r="AO91" i="13" s="1"/>
  <c r="L97" i="14"/>
  <c r="Q97" i="14" s="1"/>
  <c r="AJ100" i="16"/>
  <c r="AO100" i="16" s="1"/>
  <c r="BH92" i="14"/>
  <c r="BM92" i="14" s="1"/>
  <c r="CF95" i="14"/>
  <c r="CK95" i="14" s="1"/>
  <c r="BH102" i="14"/>
  <c r="BM102" i="14" s="1"/>
  <c r="DD94" i="16"/>
  <c r="DI94" i="16" s="1"/>
  <c r="DD101" i="14"/>
  <c r="DI101" i="14" s="1"/>
  <c r="DD89" i="15"/>
  <c r="DI89" i="15" s="1"/>
  <c r="CF98" i="15"/>
  <c r="CK98" i="15" s="1"/>
  <c r="DD99" i="14"/>
  <c r="DI99" i="14" s="1"/>
  <c r="L92" i="14"/>
  <c r="Q92" i="14" s="1"/>
  <c r="CF96" i="14"/>
  <c r="CK96" i="14" s="1"/>
  <c r="DD101" i="16"/>
  <c r="DI101" i="16" s="1"/>
  <c r="BH96" i="14"/>
  <c r="BM96" i="14" s="1"/>
  <c r="AJ102" i="16"/>
  <c r="AO102" i="16" s="1"/>
  <c r="DD98" i="16"/>
  <c r="DI98" i="16" s="1"/>
  <c r="AJ93" i="16"/>
  <c r="AO93" i="16" s="1"/>
  <c r="AJ91" i="15"/>
  <c r="AO91" i="15" s="1"/>
  <c r="BH101" i="15"/>
  <c r="BM101" i="15" s="1"/>
  <c r="BH97" i="13"/>
  <c r="BM97" i="13" s="1"/>
  <c r="L97" i="16"/>
  <c r="Q97" i="16" s="1"/>
  <c r="AJ93" i="15"/>
  <c r="AO93" i="15" s="1"/>
  <c r="DD102" i="16"/>
  <c r="DI102" i="16" s="1"/>
  <c r="CF93" i="14"/>
  <c r="CK93" i="14" s="1"/>
  <c r="CF102" i="15"/>
  <c r="CK102" i="15" s="1"/>
  <c r="CF94" i="14"/>
  <c r="CK94" i="14" s="1"/>
  <c r="CF92" i="14"/>
  <c r="CK92" i="14" s="1"/>
  <c r="L93" i="16"/>
  <c r="Q93" i="16" s="1"/>
  <c r="BH96" i="13"/>
  <c r="BM96" i="13" s="1"/>
  <c r="AJ95" i="16"/>
  <c r="AO95" i="16" s="1"/>
  <c r="L101" i="15"/>
  <c r="Q101" i="15" s="1"/>
  <c r="BH93" i="13"/>
  <c r="BM93" i="13" s="1"/>
  <c r="DD99" i="16"/>
  <c r="DI99" i="16" s="1"/>
  <c r="CF92" i="16"/>
  <c r="CK92" i="16" s="1"/>
  <c r="AJ99" i="16"/>
  <c r="AO99" i="16" s="1"/>
  <c r="AJ102" i="13"/>
  <c r="AO102" i="13" s="1"/>
  <c r="L95" i="14"/>
  <c r="Q95" i="14" s="1"/>
  <c r="DD97" i="13"/>
  <c r="DI97" i="13" s="1"/>
  <c r="AJ100" i="14"/>
  <c r="AO100" i="14" s="1"/>
  <c r="L94" i="13"/>
  <c r="Q94" i="13" s="1"/>
  <c r="DD97" i="16"/>
  <c r="DI97" i="16" s="1"/>
  <c r="CF100" i="15"/>
  <c r="CK100" i="15" s="1"/>
  <c r="CF94" i="16"/>
  <c r="CK94" i="16" s="1"/>
  <c r="CF100" i="13"/>
  <c r="CK100" i="13" s="1"/>
  <c r="CF91" i="14"/>
  <c r="CK91" i="14" s="1"/>
  <c r="AJ48" i="13"/>
  <c r="AO48" i="13" s="1"/>
  <c r="X98" i="10"/>
  <c r="AJ50" i="16"/>
  <c r="AO50" i="16" s="1"/>
  <c r="L53" i="14"/>
  <c r="Q53" i="14" s="1"/>
  <c r="L42" i="14"/>
  <c r="Q42" i="14" s="1"/>
  <c r="CF103" i="16"/>
  <c r="CK103" i="16" s="1"/>
  <c r="CF103" i="15"/>
  <c r="CK103" i="15" s="1"/>
  <c r="BH52" i="16"/>
  <c r="BM52" i="16" s="1"/>
  <c r="AJ44" i="16"/>
  <c r="AO44" i="16" s="1"/>
  <c r="DD51" i="13"/>
  <c r="DI51" i="13" s="1"/>
  <c r="AJ45" i="16"/>
  <c r="AO45" i="16" s="1"/>
  <c r="L45" i="13"/>
  <c r="Q45" i="13" s="1"/>
  <c r="DD103" i="14"/>
  <c r="DI103" i="14" s="1"/>
  <c r="DD42" i="16"/>
  <c r="DI42" i="16" s="1"/>
  <c r="BH46" i="14"/>
  <c r="BM46" i="14" s="1"/>
  <c r="L44" i="13"/>
  <c r="Q44" i="13" s="1"/>
  <c r="BH40" i="16"/>
  <c r="BM40" i="16" s="1"/>
  <c r="AJ41" i="16"/>
  <c r="AO41" i="16" s="1"/>
  <c r="AJ47" i="13"/>
  <c r="AO47" i="13" s="1"/>
  <c r="BH43" i="14"/>
  <c r="BM43" i="14" s="1"/>
  <c r="DD52" i="16"/>
  <c r="DI52" i="16" s="1"/>
  <c r="L103" i="13"/>
  <c r="Q103" i="13" s="1"/>
  <c r="X102" i="10"/>
  <c r="DD103" i="16"/>
  <c r="DI103" i="16" s="1"/>
  <c r="CF103" i="13"/>
  <c r="CK103" i="13" s="1"/>
  <c r="DD45" i="16"/>
  <c r="DI45" i="16" s="1"/>
  <c r="AJ51" i="13"/>
  <c r="AO51" i="13" s="1"/>
  <c r="BH48" i="13"/>
  <c r="BM48" i="13" s="1"/>
  <c r="L51" i="14"/>
  <c r="Q51" i="14" s="1"/>
  <c r="BH103" i="15"/>
  <c r="BM103" i="15" s="1"/>
  <c r="AJ44" i="14"/>
  <c r="AO44" i="14" s="1"/>
  <c r="DD42" i="14"/>
  <c r="DI42" i="14" s="1"/>
  <c r="BH46" i="13"/>
  <c r="BM46" i="13" s="1"/>
  <c r="L49" i="14"/>
  <c r="Q49" i="14" s="1"/>
  <c r="DD52" i="14"/>
  <c r="DI52" i="14" s="1"/>
  <c r="AJ39" i="16"/>
  <c r="AO39" i="16" s="1"/>
  <c r="CF49" i="16"/>
  <c r="CK49" i="16" s="1"/>
  <c r="CF45" i="13"/>
  <c r="CK45" i="13" s="1"/>
  <c r="X99" i="10"/>
  <c r="L44" i="14"/>
  <c r="Q44" i="14" s="1"/>
  <c r="X100" i="10"/>
  <c r="L43" i="14"/>
  <c r="Q43" i="14" s="1"/>
  <c r="CF47" i="13"/>
  <c r="CK47" i="13" s="1"/>
  <c r="BH42" i="14"/>
  <c r="BM42" i="14" s="1"/>
  <c r="AJ52" i="13"/>
  <c r="AO52" i="13" s="1"/>
  <c r="DD49" i="13"/>
  <c r="DI49" i="13" s="1"/>
  <c r="CF48" i="14"/>
  <c r="CK48" i="14" s="1"/>
  <c r="BH40" i="13"/>
  <c r="BM40" i="13" s="1"/>
  <c r="CF39" i="16"/>
  <c r="CK39" i="16" s="1"/>
  <c r="BH49" i="13"/>
  <c r="BM49" i="13" s="1"/>
  <c r="CF49" i="14"/>
  <c r="CK49" i="14" s="1"/>
  <c r="AJ46" i="16"/>
  <c r="AO46" i="16" s="1"/>
  <c r="CF27" i="14"/>
  <c r="CK27" i="14" s="1"/>
  <c r="CF47" i="14"/>
  <c r="CK47" i="14" s="1"/>
  <c r="AJ48" i="16"/>
  <c r="AO48" i="16" s="1"/>
  <c r="CF41" i="13"/>
  <c r="CK41" i="13" s="1"/>
  <c r="BH42" i="13"/>
  <c r="BM42" i="13" s="1"/>
  <c r="DD39" i="13"/>
  <c r="DI39" i="13" s="1"/>
  <c r="AJ40" i="13"/>
  <c r="AO40" i="13" s="1"/>
  <c r="L41" i="16"/>
  <c r="Q41" i="16" s="1"/>
  <c r="BH40" i="14"/>
  <c r="BM40" i="14" s="1"/>
  <c r="BH45" i="16"/>
  <c r="BM45" i="16" s="1"/>
  <c r="L39" i="13"/>
  <c r="Q39" i="13" s="1"/>
  <c r="DD51" i="16"/>
  <c r="DI51" i="16" s="1"/>
  <c r="CF43" i="14"/>
  <c r="CK43" i="14" s="1"/>
  <c r="AJ49" i="14"/>
  <c r="AO49" i="14" s="1"/>
  <c r="AJ46" i="13"/>
  <c r="AO46" i="13" s="1"/>
  <c r="L43" i="13"/>
  <c r="Q43" i="13" s="1"/>
  <c r="BH50" i="13"/>
  <c r="BM50" i="13" s="1"/>
  <c r="CF44" i="16"/>
  <c r="CK44" i="16" s="1"/>
  <c r="BH50" i="16"/>
  <c r="BM50" i="16" s="1"/>
  <c r="CF40" i="14"/>
  <c r="CK40" i="14" s="1"/>
  <c r="CF51" i="14"/>
  <c r="CK51" i="14" s="1"/>
  <c r="CF50" i="13"/>
  <c r="CK50" i="13" s="1"/>
  <c r="X104" i="10"/>
  <c r="AJ49" i="13"/>
  <c r="AO49" i="13" s="1"/>
  <c r="BH43" i="16"/>
  <c r="BM43" i="16" s="1"/>
  <c r="DD50" i="16"/>
  <c r="DI50" i="16" s="1"/>
  <c r="BH46" i="16"/>
  <c r="BM46" i="16" s="1"/>
  <c r="X103" i="10"/>
  <c r="CF43" i="13"/>
  <c r="CK43" i="13" s="1"/>
  <c r="AJ42" i="16"/>
  <c r="AO42" i="16" s="1"/>
  <c r="AJ51" i="16"/>
  <c r="AO51" i="16" s="1"/>
  <c r="DD40" i="13"/>
  <c r="DI40" i="13" s="1"/>
  <c r="BH51" i="14"/>
  <c r="BM51" i="14" s="1"/>
  <c r="DD49" i="16"/>
  <c r="DI49" i="16" s="1"/>
  <c r="BH48" i="14"/>
  <c r="BM48" i="14" s="1"/>
  <c r="BH52" i="13"/>
  <c r="BM52" i="13" s="1"/>
  <c r="CF52" i="13"/>
  <c r="CK52" i="13" s="1"/>
  <c r="DD47" i="16"/>
  <c r="DI47" i="16" s="1"/>
  <c r="BH45" i="14"/>
  <c r="BM45" i="14" s="1"/>
  <c r="CF45" i="14"/>
  <c r="CK45" i="14" s="1"/>
  <c r="X93" i="10"/>
  <c r="BH47" i="14"/>
  <c r="BM47" i="14" s="1"/>
  <c r="BH41" i="16"/>
  <c r="BM41" i="16" s="1"/>
  <c r="DD52" i="13"/>
  <c r="DI52" i="13" s="1"/>
  <c r="DD48" i="16"/>
  <c r="DI48" i="16" s="1"/>
  <c r="AJ43" i="13"/>
  <c r="AO43" i="13" s="1"/>
  <c r="BH49" i="16"/>
  <c r="BM49" i="16" s="1"/>
  <c r="AJ42" i="13"/>
  <c r="AO42" i="13" s="1"/>
  <c r="DD43" i="14"/>
  <c r="DI43" i="14" s="1"/>
  <c r="AJ39" i="14"/>
  <c r="AO39" i="14" s="1"/>
  <c r="DD41" i="16"/>
  <c r="DI41" i="16" s="1"/>
  <c r="L42" i="16"/>
  <c r="Q42" i="16" s="1"/>
  <c r="X106" i="10"/>
  <c r="CF48" i="13"/>
  <c r="CK48" i="13" s="1"/>
  <c r="BH44" i="16"/>
  <c r="BM44" i="16" s="1"/>
  <c r="DD44" i="16"/>
  <c r="DI44" i="16" s="1"/>
  <c r="DD40" i="16"/>
  <c r="DI40" i="16" s="1"/>
  <c r="DD44" i="13"/>
  <c r="DI44" i="13" s="1"/>
  <c r="L39" i="16"/>
  <c r="Q39" i="16" s="1"/>
  <c r="CF46" i="14"/>
  <c r="CK46" i="14" s="1"/>
  <c r="CF40" i="16"/>
  <c r="CK40" i="16" s="1"/>
  <c r="CF49" i="13"/>
  <c r="CK49" i="13" s="1"/>
  <c r="CF52" i="14"/>
  <c r="CK52" i="14" s="1"/>
  <c r="AJ45" i="13"/>
  <c r="AO45" i="13" s="1"/>
  <c r="BH41" i="14"/>
  <c r="BM41" i="14" s="1"/>
  <c r="X92" i="10"/>
  <c r="L40" i="14"/>
  <c r="Q40" i="14" s="1"/>
  <c r="CF44" i="14"/>
  <c r="CK44" i="14" s="1"/>
  <c r="AJ41" i="13"/>
  <c r="AO41" i="13" s="1"/>
  <c r="CF50" i="16"/>
  <c r="CK50" i="16" s="1"/>
  <c r="AJ42" i="14"/>
  <c r="AO42" i="14" s="1"/>
  <c r="DD51" i="14"/>
  <c r="DI51" i="14" s="1"/>
  <c r="BH49" i="14"/>
  <c r="BM49" i="14" s="1"/>
  <c r="BH53" i="14"/>
  <c r="BM53" i="14" s="1"/>
  <c r="DD44" i="14"/>
  <c r="DI44" i="14" s="1"/>
  <c r="AJ44" i="13"/>
  <c r="AO44" i="13" s="1"/>
  <c r="AJ50" i="13"/>
  <c r="AO50" i="13" s="1"/>
  <c r="CF40" i="13"/>
  <c r="CK40" i="13" s="1"/>
  <c r="BH51" i="13"/>
  <c r="BM51" i="13" s="1"/>
  <c r="DD49" i="14"/>
  <c r="DI49" i="14" s="1"/>
  <c r="L45" i="16"/>
  <c r="Q45" i="16" s="1"/>
  <c r="CF45" i="16"/>
  <c r="CK45" i="16" s="1"/>
  <c r="BH47" i="13"/>
  <c r="BM47" i="13" s="1"/>
  <c r="L41" i="13"/>
  <c r="Q41" i="13" s="1"/>
  <c r="DD47" i="14"/>
  <c r="DI47" i="14" s="1"/>
  <c r="L39" i="14"/>
  <c r="Q39" i="14" s="1"/>
  <c r="DD40" i="14"/>
  <c r="DI40" i="14" s="1"/>
  <c r="DD39" i="14"/>
  <c r="DI39" i="14" s="1"/>
  <c r="BH52" i="14"/>
  <c r="BM52" i="14" s="1"/>
  <c r="BH41" i="13"/>
  <c r="BM41" i="13" s="1"/>
  <c r="BH42" i="16"/>
  <c r="BM42" i="16" s="1"/>
  <c r="BH45" i="13"/>
  <c r="BM45" i="13" s="1"/>
  <c r="AJ40" i="16"/>
  <c r="AO40" i="16" s="1"/>
  <c r="CF46" i="13"/>
  <c r="CK46" i="13" s="1"/>
  <c r="L44" i="16"/>
  <c r="Q44" i="16" s="1"/>
  <c r="CF43" i="16"/>
  <c r="CK43" i="16" s="1"/>
  <c r="BH44" i="13"/>
  <c r="BM44" i="13" s="1"/>
  <c r="DD50" i="13"/>
  <c r="DI50" i="13" s="1"/>
  <c r="CF39" i="14"/>
  <c r="CK39" i="14" s="1"/>
  <c r="DD47" i="13"/>
  <c r="DI47" i="13" s="1"/>
  <c r="DD46" i="16"/>
  <c r="DI46" i="16" s="1"/>
  <c r="DD41" i="13"/>
  <c r="DI41" i="13" s="1"/>
  <c r="AJ103" i="16"/>
  <c r="AO103" i="16" s="1"/>
  <c r="DD53" i="13"/>
  <c r="DI53" i="13" s="1"/>
  <c r="CF89" i="15"/>
  <c r="CK89" i="15" s="1"/>
  <c r="CF27" i="15"/>
  <c r="CK27" i="15" s="1"/>
  <c r="DD103" i="15"/>
  <c r="DI103" i="15" s="1"/>
  <c r="L103" i="16"/>
  <c r="Q103" i="16" s="1"/>
  <c r="CF53" i="13"/>
  <c r="CK53" i="13" s="1"/>
  <c r="AJ103" i="15"/>
  <c r="AO103" i="15" s="1"/>
  <c r="BH103" i="16"/>
  <c r="BM103" i="16" s="1"/>
  <c r="AJ103" i="13"/>
  <c r="AO103" i="13" s="1"/>
  <c r="CF103" i="14"/>
  <c r="CK103" i="14" s="1"/>
  <c r="DD103" i="13"/>
  <c r="DI103" i="13" s="1"/>
  <c r="AJ103" i="14"/>
  <c r="AO103" i="14" s="1"/>
  <c r="BH27" i="13"/>
  <c r="BM27" i="13" s="1"/>
  <c r="DD27" i="13"/>
  <c r="DI27" i="13" s="1"/>
  <c r="AJ53" i="13"/>
  <c r="AO53" i="13" s="1"/>
  <c r="L53" i="13"/>
  <c r="Q53" i="13" s="1"/>
  <c r="S16" i="2"/>
  <c r="L16" i="2"/>
  <c r="Z16" i="2"/>
  <c r="E16" i="2"/>
  <c r="AJ27" i="16"/>
  <c r="AO27" i="16" s="1"/>
  <c r="DD27" i="15"/>
  <c r="DI27" i="15" s="1"/>
  <c r="DD53" i="16"/>
  <c r="DI53" i="16" s="1"/>
  <c r="AJ53" i="16"/>
  <c r="AO53" i="16" s="1"/>
  <c r="AJ27" i="14"/>
  <c r="AO27" i="14" s="1"/>
  <c r="L27" i="13"/>
  <c r="Q27" i="13" s="1"/>
  <c r="BH27" i="14"/>
  <c r="BM27" i="14" s="1"/>
  <c r="CF27" i="13"/>
  <c r="CK27" i="13" s="1"/>
  <c r="AJ42" i="15"/>
  <c r="AO42" i="15" s="1"/>
  <c r="AJ41" i="15"/>
  <c r="AO41" i="15" s="1"/>
  <c r="AJ40" i="15"/>
  <c r="AO40" i="15" s="1"/>
  <c r="BH27" i="16"/>
  <c r="BM27" i="16" s="1"/>
  <c r="AA15" i="3"/>
  <c r="V103" i="3"/>
  <c r="V61" i="3"/>
  <c r="V15" i="3"/>
  <c r="R125" i="3"/>
  <c r="Q133" i="3"/>
  <c r="Q89" i="3"/>
  <c r="Q56" i="3"/>
  <c r="Q48" i="3"/>
  <c r="Q32" i="3"/>
  <c r="L133" i="3"/>
  <c r="L104" i="3"/>
  <c r="L103" i="3"/>
  <c r="L84" i="3"/>
  <c r="L80" i="3"/>
  <c r="L57" i="3"/>
  <c r="L32" i="3"/>
  <c r="L25" i="3"/>
  <c r="L15" i="3"/>
  <c r="G133" i="3"/>
  <c r="G104" i="3"/>
  <c r="G103" i="3"/>
  <c r="G84" i="3"/>
  <c r="G80" i="3"/>
  <c r="G57" i="3"/>
  <c r="G32" i="3"/>
  <c r="G25" i="3"/>
  <c r="AJ51" i="15" l="1"/>
  <c r="AO51" i="15" s="1"/>
  <c r="AN51" i="15"/>
  <c r="DD44" i="15"/>
  <c r="DI44" i="15" s="1"/>
  <c r="DH44" i="15"/>
  <c r="CF49" i="15"/>
  <c r="CK49" i="15" s="1"/>
  <c r="CJ49" i="15"/>
  <c r="BH39" i="15"/>
  <c r="BM39" i="15" s="1"/>
  <c r="BL39" i="15"/>
  <c r="CF52" i="15"/>
  <c r="CK52" i="15" s="1"/>
  <c r="CJ52" i="15"/>
  <c r="L25" i="15"/>
  <c r="Q25" i="15" s="1"/>
  <c r="P25" i="15"/>
  <c r="L44" i="15"/>
  <c r="Q44" i="15" s="1"/>
  <c r="P44" i="15"/>
  <c r="DD40" i="15"/>
  <c r="DI40" i="15" s="1"/>
  <c r="DH40" i="15"/>
  <c r="F72" i="22"/>
  <c r="AC76" i="10"/>
  <c r="AC103" i="10"/>
  <c r="G73" i="22" s="1"/>
  <c r="G74" i="22"/>
  <c r="AC104" i="10"/>
  <c r="AC99" i="10"/>
  <c r="G69" i="22" s="1"/>
  <c r="AC102" i="10"/>
  <c r="G72" i="22" s="1"/>
  <c r="DD51" i="15"/>
  <c r="DI51" i="15" s="1"/>
  <c r="DH51" i="15"/>
  <c r="L43" i="15"/>
  <c r="Q43" i="15" s="1"/>
  <c r="P43" i="15"/>
  <c r="AJ46" i="15"/>
  <c r="AO46" i="15" s="1"/>
  <c r="AN46" i="15"/>
  <c r="AJ44" i="15"/>
  <c r="AO44" i="15" s="1"/>
  <c r="AN44" i="15"/>
  <c r="CF41" i="15"/>
  <c r="CK41" i="15" s="1"/>
  <c r="CJ41" i="15"/>
  <c r="AJ47" i="15"/>
  <c r="AO47" i="15" s="1"/>
  <c r="AN47" i="15"/>
  <c r="AC92" i="10"/>
  <c r="G62" i="22" s="1"/>
  <c r="G68" i="22"/>
  <c r="AC98" i="10"/>
  <c r="AC74" i="10"/>
  <c r="F70" i="22" s="1"/>
  <c r="DD43" i="15"/>
  <c r="DI43" i="15" s="1"/>
  <c r="DH43" i="15"/>
  <c r="AJ49" i="15"/>
  <c r="AO49" i="15" s="1"/>
  <c r="AN49" i="15"/>
  <c r="L50" i="15"/>
  <c r="Q50" i="15" s="1"/>
  <c r="P50" i="15"/>
  <c r="BH53" i="15"/>
  <c r="BM53" i="15" s="1"/>
  <c r="BL53" i="15"/>
  <c r="L51" i="15"/>
  <c r="Q51" i="15" s="1"/>
  <c r="P51" i="15"/>
  <c r="AC79" i="10"/>
  <c r="F75" i="22" s="1"/>
  <c r="G76" i="22"/>
  <c r="AC106" i="10"/>
  <c r="AC93" i="10"/>
  <c r="G63" i="22" s="1"/>
  <c r="G70" i="22"/>
  <c r="AC100" i="10"/>
  <c r="L16" i="15"/>
  <c r="Q16" i="15" s="1"/>
  <c r="P16" i="15"/>
  <c r="DD42" i="15"/>
  <c r="DI42" i="15" s="1"/>
  <c r="DH42" i="15"/>
  <c r="L47" i="15"/>
  <c r="Q47" i="15" s="1"/>
  <c r="P47" i="15"/>
  <c r="L41" i="15"/>
  <c r="Q41" i="15" s="1"/>
  <c r="P41" i="15"/>
  <c r="CF39" i="15"/>
  <c r="CK39" i="15" s="1"/>
  <c r="CJ39" i="15"/>
  <c r="L45" i="15"/>
  <c r="Q45" i="15" s="1"/>
  <c r="P45" i="15"/>
  <c r="DD20" i="15"/>
  <c r="DI20" i="15" s="1"/>
  <c r="DH20" i="15"/>
  <c r="DD25" i="15"/>
  <c r="DI25" i="15" s="1"/>
  <c r="DH25" i="15"/>
  <c r="DD15" i="15"/>
  <c r="DI15" i="15" s="1"/>
  <c r="DH15" i="15"/>
  <c r="DD19" i="15"/>
  <c r="DI19" i="15" s="1"/>
  <c r="DH19" i="15"/>
  <c r="AJ50" i="15"/>
  <c r="AO50" i="15" s="1"/>
  <c r="L49" i="15"/>
  <c r="Q49" i="15" s="1"/>
  <c r="BH15" i="15"/>
  <c r="BM15" i="15" s="1"/>
  <c r="DD45" i="15"/>
  <c r="DI45" i="15" s="1"/>
  <c r="DE53" i="15"/>
  <c r="DJ53" i="15" s="1"/>
  <c r="BH50" i="15"/>
  <c r="BM50" i="15" s="1"/>
  <c r="CF42" i="15"/>
  <c r="CK42" i="15" s="1"/>
  <c r="BH41" i="15"/>
  <c r="BM41" i="15" s="1"/>
  <c r="DD49" i="15"/>
  <c r="DI49" i="15" s="1"/>
  <c r="DD50" i="15"/>
  <c r="DI50" i="15" s="1"/>
  <c r="CF40" i="15"/>
  <c r="CK40" i="15" s="1"/>
  <c r="CF45" i="15"/>
  <c r="CK45" i="15" s="1"/>
  <c r="L48" i="15"/>
  <c r="Q48" i="15" s="1"/>
  <c r="BH52" i="15"/>
  <c r="BM52" i="15" s="1"/>
  <c r="AJ43" i="15"/>
  <c r="AO43" i="15" s="1"/>
  <c r="AJ45" i="15"/>
  <c r="AO45" i="15" s="1"/>
  <c r="BH47" i="15"/>
  <c r="BM47" i="15" s="1"/>
  <c r="DD46" i="15"/>
  <c r="DI46" i="15" s="1"/>
  <c r="BH40" i="15"/>
  <c r="BM40" i="15" s="1"/>
  <c r="CF44" i="15"/>
  <c r="CK44" i="15" s="1"/>
  <c r="BH42" i="15"/>
  <c r="BM42" i="15" s="1"/>
  <c r="AJ39" i="15"/>
  <c r="AO39" i="15" s="1"/>
  <c r="L53" i="15"/>
  <c r="Q53" i="15" s="1"/>
  <c r="BH45" i="15"/>
  <c r="BM45" i="15" s="1"/>
  <c r="DD41" i="15"/>
  <c r="DI41" i="15" s="1"/>
  <c r="BH43" i="15"/>
  <c r="BM43" i="15" s="1"/>
  <c r="CF51" i="15"/>
  <c r="CK51" i="15" s="1"/>
  <c r="CF47" i="15"/>
  <c r="CK47" i="15" s="1"/>
  <c r="L19" i="15"/>
  <c r="Q19" i="15" s="1"/>
  <c r="L39" i="15"/>
  <c r="Q39" i="15" s="1"/>
  <c r="BH46" i="15"/>
  <c r="BM46" i="15" s="1"/>
  <c r="DD39" i="15"/>
  <c r="DI39" i="15" s="1"/>
  <c r="L52" i="15"/>
  <c r="Q52" i="15" s="1"/>
  <c r="BH51" i="15"/>
  <c r="BM51" i="15" s="1"/>
  <c r="CF13" i="15"/>
  <c r="CK13" i="15" s="1"/>
  <c r="BH19" i="15"/>
  <c r="BM19" i="15" s="1"/>
  <c r="CF22" i="15"/>
  <c r="CK22" i="15" s="1"/>
  <c r="BH20" i="15"/>
  <c r="BM20" i="15" s="1"/>
  <c r="DD26" i="15"/>
  <c r="DI26" i="15" s="1"/>
  <c r="BH14" i="15"/>
  <c r="BM14" i="15" s="1"/>
  <c r="AJ15" i="15"/>
  <c r="AO15" i="15" s="1"/>
  <c r="AJ25" i="15"/>
  <c r="AO25" i="15" s="1"/>
  <c r="CF14" i="15"/>
  <c r="CK14" i="15" s="1"/>
  <c r="CF23" i="15"/>
  <c r="CK23" i="15" s="1"/>
  <c r="DD47" i="15"/>
  <c r="DI47" i="15" s="1"/>
  <c r="AJ48" i="15"/>
  <c r="AO48" i="15" s="1"/>
  <c r="BH44" i="15"/>
  <c r="BM44" i="15" s="1"/>
  <c r="L42" i="15"/>
  <c r="Q42" i="15" s="1"/>
  <c r="L40" i="15"/>
  <c r="Q40" i="15" s="1"/>
  <c r="DD48" i="15"/>
  <c r="DI48" i="15" s="1"/>
  <c r="G67" i="22"/>
  <c r="CF48" i="15"/>
  <c r="CK48" i="15" s="1"/>
  <c r="CF50" i="15"/>
  <c r="CK50" i="15" s="1"/>
  <c r="CF53" i="15"/>
  <c r="CK53" i="15" s="1"/>
  <c r="AJ53" i="15"/>
  <c r="AO53" i="15" s="1"/>
  <c r="BH27" i="15"/>
  <c r="BM27" i="15" s="1"/>
  <c r="BH13" i="15"/>
  <c r="BM13" i="15" s="1"/>
  <c r="AJ26" i="15"/>
  <c r="AO26" i="15" s="1"/>
  <c r="G66" i="22"/>
  <c r="G71" i="22"/>
  <c r="G65" i="22"/>
  <c r="G64" i="22"/>
  <c r="F74" i="22"/>
  <c r="F73" i="22"/>
  <c r="F76" i="22"/>
  <c r="G75" i="22"/>
  <c r="F64" i="22"/>
  <c r="BH18" i="15"/>
  <c r="BM18" i="15" s="1"/>
  <c r="DD52" i="15"/>
  <c r="DI52" i="15" s="1"/>
  <c r="CF46" i="15"/>
  <c r="CK46" i="15" s="1"/>
  <c r="BH48" i="15"/>
  <c r="BM48" i="15" s="1"/>
  <c r="BH49" i="15"/>
  <c r="BM49" i="15" s="1"/>
  <c r="DD18" i="15"/>
  <c r="DI18" i="15" s="1"/>
  <c r="L46" i="15"/>
  <c r="Q46" i="15" s="1"/>
  <c r="AJ52" i="15"/>
  <c r="AO52" i="15" s="1"/>
  <c r="CF43" i="15"/>
  <c r="CK43" i="15" s="1"/>
  <c r="DD14" i="15"/>
  <c r="DI14" i="15" s="1"/>
  <c r="AJ14" i="15"/>
  <c r="AO14" i="15" s="1"/>
  <c r="X103" i="3"/>
  <c r="D16" i="9" l="1"/>
  <c r="L16" i="9" s="1"/>
  <c r="D24" i="9"/>
  <c r="L24" i="9" s="1"/>
  <c r="D17" i="9"/>
  <c r="L17" i="9" s="1"/>
  <c r="D25" i="9"/>
  <c r="L25" i="9" s="1"/>
  <c r="D18" i="9"/>
  <c r="L18" i="9" s="1"/>
  <c r="D26" i="9"/>
  <c r="L26" i="9" s="1"/>
  <c r="D19" i="9"/>
  <c r="L19" i="9" s="1"/>
  <c r="D15" i="9"/>
  <c r="L15" i="9" s="1"/>
  <c r="D23" i="9"/>
  <c r="L23" i="9" s="1"/>
  <c r="D27" i="9"/>
  <c r="L27" i="9" s="1"/>
  <c r="D28" i="9"/>
  <c r="L28" i="9" s="1"/>
  <c r="D21" i="9"/>
  <c r="L21" i="9" s="1"/>
  <c r="D13" i="9"/>
  <c r="L13" i="9" s="1"/>
  <c r="D22" i="9"/>
  <c r="L22" i="9" s="1"/>
  <c r="D14" i="9"/>
  <c r="L14" i="9" s="1"/>
  <c r="D20" i="9"/>
  <c r="L20" i="9" s="1"/>
  <c r="D93" i="9"/>
  <c r="L93" i="9" s="1"/>
  <c r="D101" i="9"/>
  <c r="L101" i="9" s="1"/>
  <c r="D96" i="9"/>
  <c r="L96" i="9" s="1"/>
  <c r="D94" i="9"/>
  <c r="L94" i="9" s="1"/>
  <c r="D102" i="9"/>
  <c r="L102" i="9" s="1"/>
  <c r="D95" i="9"/>
  <c r="L95" i="9" s="1"/>
  <c r="D103" i="9"/>
  <c r="L103" i="9" s="1"/>
  <c r="D92" i="9"/>
  <c r="L92" i="9" s="1"/>
  <c r="D100" i="9"/>
  <c r="L100" i="9" s="1"/>
  <c r="D104" i="9"/>
  <c r="L104" i="9" s="1"/>
  <c r="D97" i="9"/>
  <c r="L97" i="9" s="1"/>
  <c r="D99" i="9"/>
  <c r="L99" i="9" s="1"/>
  <c r="D105" i="9"/>
  <c r="L105" i="9" s="1"/>
  <c r="D91" i="9"/>
  <c r="L91" i="9" s="1"/>
  <c r="D106" i="9"/>
  <c r="L106" i="9" s="1"/>
  <c r="D98" i="9"/>
  <c r="L98" i="9" s="1"/>
  <c r="D42" i="9"/>
  <c r="L42" i="9" s="1"/>
  <c r="D50" i="9"/>
  <c r="L50" i="9" s="1"/>
  <c r="D45" i="9"/>
  <c r="L45" i="9" s="1"/>
  <c r="D43" i="9"/>
  <c r="L43" i="9" s="1"/>
  <c r="D51" i="9"/>
  <c r="L51" i="9" s="1"/>
  <c r="D44" i="9"/>
  <c r="L44" i="9" s="1"/>
  <c r="D52" i="9"/>
  <c r="L52" i="9" s="1"/>
  <c r="D41" i="9"/>
  <c r="L41" i="9" s="1"/>
  <c r="D49" i="9"/>
  <c r="L49" i="9" s="1"/>
  <c r="D53" i="9"/>
  <c r="L53" i="9" s="1"/>
  <c r="D47" i="9"/>
  <c r="L47" i="9" s="1"/>
  <c r="D48" i="9"/>
  <c r="L48" i="9" s="1"/>
  <c r="D46" i="9"/>
  <c r="L46" i="9" s="1"/>
  <c r="D54" i="9"/>
  <c r="L54" i="9" s="1"/>
  <c r="D39" i="9"/>
  <c r="L39" i="9" s="1"/>
  <c r="D40" i="9"/>
  <c r="L40" i="9" s="1"/>
  <c r="D119" i="9"/>
  <c r="L119" i="9" s="1"/>
  <c r="D127" i="9"/>
  <c r="L127" i="9" s="1"/>
  <c r="D130" i="9"/>
  <c r="L130" i="9" s="1"/>
  <c r="D120" i="9"/>
  <c r="L120" i="9" s="1"/>
  <c r="D128" i="9"/>
  <c r="L128" i="9" s="1"/>
  <c r="D122" i="9"/>
  <c r="L122" i="9" s="1"/>
  <c r="D121" i="9"/>
  <c r="L121" i="9" s="1"/>
  <c r="D129" i="9"/>
  <c r="L129" i="9" s="1"/>
  <c r="D118" i="9"/>
  <c r="L118" i="9" s="1"/>
  <c r="D126" i="9"/>
  <c r="L126" i="9" s="1"/>
  <c r="D117" i="9"/>
  <c r="L117" i="9" s="1"/>
  <c r="D132" i="9"/>
  <c r="L132" i="9" s="1"/>
  <c r="D123" i="9"/>
  <c r="L123" i="9" s="1"/>
  <c r="D124" i="9"/>
  <c r="L124" i="9" s="1"/>
  <c r="D125" i="9"/>
  <c r="L125" i="9" s="1"/>
  <c r="D131" i="9"/>
  <c r="L131" i="9" s="1"/>
  <c r="D68" i="9"/>
  <c r="L68" i="9" s="1"/>
  <c r="D76" i="9"/>
  <c r="L76" i="9" s="1"/>
  <c r="D69" i="9"/>
  <c r="L69" i="9" s="1"/>
  <c r="D77" i="9"/>
  <c r="L77" i="9" s="1"/>
  <c r="D79" i="9"/>
  <c r="L79" i="9" s="1"/>
  <c r="D70" i="9"/>
  <c r="L70" i="9" s="1"/>
  <c r="D78" i="9"/>
  <c r="L78" i="9" s="1"/>
  <c r="D71" i="9"/>
  <c r="L71" i="9" s="1"/>
  <c r="D67" i="9"/>
  <c r="L67" i="9" s="1"/>
  <c r="D75" i="9"/>
  <c r="L75" i="9" s="1"/>
  <c r="D66" i="9"/>
  <c r="L66" i="9" s="1"/>
  <c r="D73" i="9"/>
  <c r="L73" i="9" s="1"/>
  <c r="D74" i="9"/>
  <c r="L74" i="9" s="1"/>
  <c r="D80" i="9"/>
  <c r="L80" i="9" s="1"/>
  <c r="D65" i="9"/>
  <c r="L65" i="9" s="1"/>
  <c r="D72" i="9"/>
  <c r="L72" i="9" s="1"/>
  <c r="H71" i="1"/>
  <c r="G71" i="1"/>
  <c r="F71" i="1"/>
  <c r="E71" i="1"/>
  <c r="I71" i="1"/>
  <c r="AF10" i="2"/>
  <c r="Y10" i="2"/>
  <c r="F138" i="15" l="1"/>
  <c r="N138" i="15" s="1"/>
  <c r="CX138" i="14"/>
  <c r="DF138" i="14" s="1"/>
  <c r="F138" i="14"/>
  <c r="N138" i="14" s="1"/>
  <c r="BZ138" i="16"/>
  <c r="CH138" i="16" s="1"/>
  <c r="AD138" i="16"/>
  <c r="AL138" i="16" s="1"/>
  <c r="F138" i="16"/>
  <c r="N138" i="16" s="1"/>
  <c r="BZ138" i="15"/>
  <c r="CH138" i="15" s="1"/>
  <c r="BZ138" i="14"/>
  <c r="CH138" i="14" s="1"/>
  <c r="AC138" i="14"/>
  <c r="AK138" i="14" s="1"/>
  <c r="CX138" i="13"/>
  <c r="DF138" i="13" s="1"/>
  <c r="AD138" i="15"/>
  <c r="AL138" i="15" s="1"/>
  <c r="BB138" i="14"/>
  <c r="BJ138" i="14" s="1"/>
  <c r="BZ138" i="13"/>
  <c r="CH138" i="13" s="1"/>
  <c r="F138" i="13"/>
  <c r="N138" i="13" s="1"/>
  <c r="CX138" i="15"/>
  <c r="DF138" i="15" s="1"/>
  <c r="BB138" i="15"/>
  <c r="BJ138" i="15" s="1"/>
  <c r="AD138" i="13"/>
  <c r="AL138" i="13" s="1"/>
  <c r="BB138" i="13"/>
  <c r="BJ138" i="13" s="1"/>
  <c r="CX138" i="16"/>
  <c r="DF138" i="16" s="1"/>
  <c r="BB138" i="16"/>
  <c r="BJ138" i="16" s="1"/>
  <c r="CX145" i="16"/>
  <c r="DF145" i="16" s="1"/>
  <c r="BZ145" i="16"/>
  <c r="CH145" i="16" s="1"/>
  <c r="AD145" i="16"/>
  <c r="AL145" i="16" s="1"/>
  <c r="F145" i="16"/>
  <c r="N145" i="16" s="1"/>
  <c r="BZ145" i="15"/>
  <c r="CH145" i="15" s="1"/>
  <c r="AD145" i="15"/>
  <c r="AL145" i="15" s="1"/>
  <c r="AC145" i="14"/>
  <c r="AK145" i="14" s="1"/>
  <c r="BB145" i="16"/>
  <c r="BJ145" i="16" s="1"/>
  <c r="CX145" i="15"/>
  <c r="DF145" i="15" s="1"/>
  <c r="BB145" i="15"/>
  <c r="BJ145" i="15" s="1"/>
  <c r="BZ145" i="14"/>
  <c r="CH145" i="14" s="1"/>
  <c r="CX145" i="13"/>
  <c r="DF145" i="13" s="1"/>
  <c r="BZ145" i="13"/>
  <c r="CH145" i="13" s="1"/>
  <c r="F145" i="13"/>
  <c r="N145" i="13" s="1"/>
  <c r="CX145" i="14"/>
  <c r="DF145" i="14" s="1"/>
  <c r="BB145" i="14"/>
  <c r="BJ145" i="14" s="1"/>
  <c r="BB145" i="13"/>
  <c r="BJ145" i="13" s="1"/>
  <c r="F145" i="15"/>
  <c r="N145" i="15" s="1"/>
  <c r="F145" i="14"/>
  <c r="N145" i="14" s="1"/>
  <c r="AD145" i="13"/>
  <c r="AL145" i="13" s="1"/>
  <c r="BB147" i="16"/>
  <c r="BJ147" i="16" s="1"/>
  <c r="CX147" i="15"/>
  <c r="DF147" i="15" s="1"/>
  <c r="BB147" i="15"/>
  <c r="BJ147" i="15" s="1"/>
  <c r="AC147" i="14"/>
  <c r="AK147" i="14" s="1"/>
  <c r="F147" i="14"/>
  <c r="N147" i="14" s="1"/>
  <c r="CX147" i="16"/>
  <c r="DF147" i="16" s="1"/>
  <c r="BZ147" i="16"/>
  <c r="CH147" i="16" s="1"/>
  <c r="AD147" i="16"/>
  <c r="AL147" i="16" s="1"/>
  <c r="F147" i="16"/>
  <c r="N147" i="16" s="1"/>
  <c r="BZ147" i="15"/>
  <c r="CH147" i="15" s="1"/>
  <c r="AD147" i="15"/>
  <c r="AL147" i="15" s="1"/>
  <c r="F147" i="15"/>
  <c r="N147" i="15" s="1"/>
  <c r="CX147" i="14"/>
  <c r="DF147" i="14" s="1"/>
  <c r="BZ147" i="14"/>
  <c r="CH147" i="14" s="1"/>
  <c r="BB147" i="14"/>
  <c r="BJ147" i="14" s="1"/>
  <c r="CX147" i="13"/>
  <c r="DF147" i="13" s="1"/>
  <c r="BB147" i="13"/>
  <c r="BJ147" i="13" s="1"/>
  <c r="F147" i="13"/>
  <c r="N147" i="13" s="1"/>
  <c r="AD147" i="13"/>
  <c r="AL147" i="13" s="1"/>
  <c r="BZ147" i="13"/>
  <c r="CH147" i="13" s="1"/>
  <c r="BB143" i="16"/>
  <c r="BJ143" i="16" s="1"/>
  <c r="CX143" i="15"/>
  <c r="DF143" i="15" s="1"/>
  <c r="BB143" i="15"/>
  <c r="BJ143" i="15" s="1"/>
  <c r="F143" i="15"/>
  <c r="N143" i="15" s="1"/>
  <c r="CX143" i="16"/>
  <c r="DF143" i="16" s="1"/>
  <c r="BZ143" i="16"/>
  <c r="CH143" i="16" s="1"/>
  <c r="AD143" i="16"/>
  <c r="AL143" i="16" s="1"/>
  <c r="F143" i="16"/>
  <c r="N143" i="16" s="1"/>
  <c r="BZ143" i="15"/>
  <c r="CH143" i="15" s="1"/>
  <c r="AD143" i="15"/>
  <c r="AL143" i="15" s="1"/>
  <c r="BZ143" i="14"/>
  <c r="CH143" i="14" s="1"/>
  <c r="AC143" i="14"/>
  <c r="AK143" i="14" s="1"/>
  <c r="F143" i="14"/>
  <c r="N143" i="14" s="1"/>
  <c r="CX143" i="14"/>
  <c r="DF143" i="14" s="1"/>
  <c r="BB143" i="14"/>
  <c r="BJ143" i="14" s="1"/>
  <c r="BZ143" i="13"/>
  <c r="CH143" i="13" s="1"/>
  <c r="CX143" i="13"/>
  <c r="DF143" i="13" s="1"/>
  <c r="BB143" i="13"/>
  <c r="BJ143" i="13" s="1"/>
  <c r="F143" i="13"/>
  <c r="N143" i="13" s="1"/>
  <c r="AD143" i="13"/>
  <c r="AL143" i="13" s="1"/>
  <c r="F148" i="15"/>
  <c r="N148" i="15" s="1"/>
  <c r="CX148" i="14"/>
  <c r="DF148" i="14" s="1"/>
  <c r="F148" i="14"/>
  <c r="N148" i="14" s="1"/>
  <c r="BZ148" i="13"/>
  <c r="CH148" i="13" s="1"/>
  <c r="BB148" i="16"/>
  <c r="BJ148" i="16" s="1"/>
  <c r="CX148" i="15"/>
  <c r="DF148" i="15" s="1"/>
  <c r="BB148" i="15"/>
  <c r="BJ148" i="15" s="1"/>
  <c r="CX148" i="13"/>
  <c r="DF148" i="13" s="1"/>
  <c r="AC148" i="14"/>
  <c r="AK148" i="14" s="1"/>
  <c r="BB148" i="14"/>
  <c r="BJ148" i="14" s="1"/>
  <c r="CX148" i="16"/>
  <c r="DF148" i="16" s="1"/>
  <c r="F148" i="16"/>
  <c r="N148" i="16" s="1"/>
  <c r="BZ148" i="15"/>
  <c r="CH148" i="15" s="1"/>
  <c r="AD148" i="15"/>
  <c r="AL148" i="15" s="1"/>
  <c r="BZ148" i="14"/>
  <c r="CH148" i="14" s="1"/>
  <c r="AD148" i="13"/>
  <c r="AL148" i="13" s="1"/>
  <c r="BZ148" i="16"/>
  <c r="CH148" i="16" s="1"/>
  <c r="AD148" i="16"/>
  <c r="AL148" i="16" s="1"/>
  <c r="F148" i="13"/>
  <c r="N148" i="13" s="1"/>
  <c r="BB148" i="13"/>
  <c r="BJ148" i="13" s="1"/>
  <c r="F146" i="15"/>
  <c r="N146" i="15" s="1"/>
  <c r="BZ146" i="14"/>
  <c r="CH146" i="14" s="1"/>
  <c r="CX146" i="16"/>
  <c r="DF146" i="16" s="1"/>
  <c r="BZ146" i="16"/>
  <c r="CH146" i="16" s="1"/>
  <c r="AD146" i="16"/>
  <c r="AL146" i="16" s="1"/>
  <c r="F146" i="16"/>
  <c r="N146" i="16" s="1"/>
  <c r="BZ146" i="15"/>
  <c r="CH146" i="15" s="1"/>
  <c r="AD146" i="15"/>
  <c r="AL146" i="15" s="1"/>
  <c r="CX146" i="14"/>
  <c r="DF146" i="14" s="1"/>
  <c r="BB146" i="14"/>
  <c r="BJ146" i="14" s="1"/>
  <c r="CX146" i="13"/>
  <c r="DF146" i="13" s="1"/>
  <c r="F146" i="14"/>
  <c r="N146" i="14" s="1"/>
  <c r="BB146" i="16"/>
  <c r="BJ146" i="16" s="1"/>
  <c r="F146" i="13"/>
  <c r="N146" i="13" s="1"/>
  <c r="AC146" i="14"/>
  <c r="AK146" i="14" s="1"/>
  <c r="BZ146" i="13"/>
  <c r="CH146" i="13" s="1"/>
  <c r="AD146" i="13"/>
  <c r="AL146" i="13" s="1"/>
  <c r="BB146" i="13"/>
  <c r="BJ146" i="13" s="1"/>
  <c r="CX146" i="15"/>
  <c r="DF146" i="15" s="1"/>
  <c r="BB146" i="15"/>
  <c r="BJ146" i="15" s="1"/>
  <c r="BB151" i="16"/>
  <c r="BJ151" i="16" s="1"/>
  <c r="CX151" i="15"/>
  <c r="DF151" i="15" s="1"/>
  <c r="BB151" i="15"/>
  <c r="BJ151" i="15" s="1"/>
  <c r="F151" i="15"/>
  <c r="N151" i="15" s="1"/>
  <c r="BZ151" i="14"/>
  <c r="CH151" i="14" s="1"/>
  <c r="F151" i="14"/>
  <c r="N151" i="14" s="1"/>
  <c r="F151" i="16"/>
  <c r="N151" i="16" s="1"/>
  <c r="CX151" i="14"/>
  <c r="DF151" i="14" s="1"/>
  <c r="BB151" i="14"/>
  <c r="BJ151" i="14" s="1"/>
  <c r="BZ151" i="13"/>
  <c r="CH151" i="13" s="1"/>
  <c r="CX151" i="16"/>
  <c r="DF151" i="16" s="1"/>
  <c r="BZ151" i="16"/>
  <c r="CH151" i="16" s="1"/>
  <c r="AD151" i="16"/>
  <c r="AL151" i="16" s="1"/>
  <c r="BZ151" i="15"/>
  <c r="CH151" i="15" s="1"/>
  <c r="AD151" i="15"/>
  <c r="AL151" i="15" s="1"/>
  <c r="BB151" i="13"/>
  <c r="BJ151" i="13" s="1"/>
  <c r="F151" i="13"/>
  <c r="N151" i="13" s="1"/>
  <c r="AC151" i="14"/>
  <c r="AK151" i="14" s="1"/>
  <c r="CX151" i="13"/>
  <c r="DF151" i="13" s="1"/>
  <c r="AD151" i="13"/>
  <c r="AL151" i="13" s="1"/>
  <c r="BZ144" i="14"/>
  <c r="CH144" i="14" s="1"/>
  <c r="AC144" i="14"/>
  <c r="AK144" i="14" s="1"/>
  <c r="F144" i="14"/>
  <c r="N144" i="14" s="1"/>
  <c r="BB144" i="16"/>
  <c r="BJ144" i="16" s="1"/>
  <c r="CX144" i="15"/>
  <c r="DF144" i="15" s="1"/>
  <c r="BB144" i="15"/>
  <c r="BJ144" i="15" s="1"/>
  <c r="F144" i="15"/>
  <c r="N144" i="15" s="1"/>
  <c r="CX144" i="14"/>
  <c r="DF144" i="14" s="1"/>
  <c r="BB144" i="14"/>
  <c r="BJ144" i="14" s="1"/>
  <c r="CX144" i="13"/>
  <c r="DF144" i="13" s="1"/>
  <c r="CX144" i="16"/>
  <c r="DF144" i="16" s="1"/>
  <c r="BZ144" i="16"/>
  <c r="CH144" i="16" s="1"/>
  <c r="AD144" i="13"/>
  <c r="AL144" i="13" s="1"/>
  <c r="F144" i="16"/>
  <c r="N144" i="16" s="1"/>
  <c r="BZ144" i="15"/>
  <c r="CH144" i="15" s="1"/>
  <c r="AD144" i="15"/>
  <c r="AL144" i="15" s="1"/>
  <c r="BZ144" i="13"/>
  <c r="CH144" i="13" s="1"/>
  <c r="F144" i="13"/>
  <c r="N144" i="13" s="1"/>
  <c r="AD144" i="16"/>
  <c r="AL144" i="16" s="1"/>
  <c r="BB144" i="13"/>
  <c r="BJ144" i="13" s="1"/>
  <c r="CX139" i="16"/>
  <c r="DF139" i="16" s="1"/>
  <c r="BB139" i="16"/>
  <c r="BJ139" i="16" s="1"/>
  <c r="CX139" i="15"/>
  <c r="DF139" i="15" s="1"/>
  <c r="BB139" i="15"/>
  <c r="BJ139" i="15" s="1"/>
  <c r="BB139" i="14"/>
  <c r="BJ139" i="14" s="1"/>
  <c r="F139" i="15"/>
  <c r="N139" i="15" s="1"/>
  <c r="CX139" i="14"/>
  <c r="DF139" i="14" s="1"/>
  <c r="BZ139" i="16"/>
  <c r="CH139" i="16" s="1"/>
  <c r="AD139" i="16"/>
  <c r="AL139" i="16" s="1"/>
  <c r="F139" i="16"/>
  <c r="N139" i="16" s="1"/>
  <c r="BZ139" i="15"/>
  <c r="CH139" i="15" s="1"/>
  <c r="BZ139" i="14"/>
  <c r="CH139" i="14" s="1"/>
  <c r="AD139" i="13"/>
  <c r="AL139" i="13" s="1"/>
  <c r="AD139" i="15"/>
  <c r="AL139" i="15" s="1"/>
  <c r="F139" i="14"/>
  <c r="N139" i="14" s="1"/>
  <c r="CX139" i="13"/>
  <c r="DF139" i="13" s="1"/>
  <c r="BZ139" i="13"/>
  <c r="CH139" i="13" s="1"/>
  <c r="BB139" i="13"/>
  <c r="BJ139" i="13" s="1"/>
  <c r="F139" i="13"/>
  <c r="N139" i="13" s="1"/>
  <c r="AC139" i="14"/>
  <c r="AK139" i="14" s="1"/>
  <c r="CX149" i="16"/>
  <c r="DF149" i="16" s="1"/>
  <c r="BZ149" i="16"/>
  <c r="CH149" i="16" s="1"/>
  <c r="AD149" i="16"/>
  <c r="AL149" i="16" s="1"/>
  <c r="BZ149" i="15"/>
  <c r="CH149" i="15" s="1"/>
  <c r="AD149" i="15"/>
  <c r="AL149" i="15" s="1"/>
  <c r="AC149" i="14"/>
  <c r="AK149" i="14" s="1"/>
  <c r="BZ149" i="14"/>
  <c r="CH149" i="14" s="1"/>
  <c r="BB149" i="14"/>
  <c r="BJ149" i="14" s="1"/>
  <c r="BZ149" i="13"/>
  <c r="CH149" i="13" s="1"/>
  <c r="BB149" i="16"/>
  <c r="BJ149" i="16" s="1"/>
  <c r="CX149" i="15"/>
  <c r="DF149" i="15" s="1"/>
  <c r="BB149" i="15"/>
  <c r="BJ149" i="15" s="1"/>
  <c r="F149" i="15"/>
  <c r="N149" i="15" s="1"/>
  <c r="CX149" i="14"/>
  <c r="DF149" i="14" s="1"/>
  <c r="F149" i="14"/>
  <c r="N149" i="14" s="1"/>
  <c r="AD149" i="13"/>
  <c r="AL149" i="13" s="1"/>
  <c r="BB149" i="13"/>
  <c r="BJ149" i="13" s="1"/>
  <c r="F149" i="13"/>
  <c r="N149" i="13" s="1"/>
  <c r="F149" i="16"/>
  <c r="N149" i="16" s="1"/>
  <c r="CX149" i="13"/>
  <c r="DF149" i="13" s="1"/>
  <c r="CX140" i="16"/>
  <c r="DF140" i="16" s="1"/>
  <c r="AD140" i="15"/>
  <c r="AL140" i="15" s="1"/>
  <c r="BZ140" i="14"/>
  <c r="CH140" i="14" s="1"/>
  <c r="BB140" i="16"/>
  <c r="BJ140" i="16" s="1"/>
  <c r="CX140" i="15"/>
  <c r="DF140" i="15" s="1"/>
  <c r="BB140" i="15"/>
  <c r="BJ140" i="15" s="1"/>
  <c r="BB140" i="14"/>
  <c r="BJ140" i="14" s="1"/>
  <c r="AC140" i="14"/>
  <c r="AK140" i="14" s="1"/>
  <c r="CX140" i="13"/>
  <c r="DF140" i="13" s="1"/>
  <c r="F140" i="15"/>
  <c r="N140" i="15" s="1"/>
  <c r="CX140" i="14"/>
  <c r="DF140" i="14" s="1"/>
  <c r="F140" i="14"/>
  <c r="N140" i="14" s="1"/>
  <c r="BZ140" i="16"/>
  <c r="CH140" i="16" s="1"/>
  <c r="AD140" i="16"/>
  <c r="AL140" i="16" s="1"/>
  <c r="F140" i="16"/>
  <c r="N140" i="16" s="1"/>
  <c r="BZ140" i="15"/>
  <c r="CH140" i="15" s="1"/>
  <c r="BZ140" i="13"/>
  <c r="CH140" i="13" s="1"/>
  <c r="AD140" i="13"/>
  <c r="AL140" i="13" s="1"/>
  <c r="F140" i="13"/>
  <c r="N140" i="13" s="1"/>
  <c r="BB140" i="13"/>
  <c r="BJ140" i="13" s="1"/>
  <c r="BZ142" i="14"/>
  <c r="CH142" i="14" s="1"/>
  <c r="F142" i="14"/>
  <c r="N142" i="14" s="1"/>
  <c r="CX142" i="16"/>
  <c r="DF142" i="16" s="1"/>
  <c r="BZ142" i="16"/>
  <c r="CH142" i="16" s="1"/>
  <c r="AD142" i="16"/>
  <c r="AL142" i="16" s="1"/>
  <c r="F142" i="16"/>
  <c r="N142" i="16" s="1"/>
  <c r="BZ142" i="15"/>
  <c r="CH142" i="15" s="1"/>
  <c r="BB142" i="14"/>
  <c r="BJ142" i="14" s="1"/>
  <c r="AC142" i="14"/>
  <c r="AK142" i="14" s="1"/>
  <c r="CX142" i="13"/>
  <c r="DF142" i="13" s="1"/>
  <c r="AD142" i="15"/>
  <c r="AL142" i="15" s="1"/>
  <c r="F142" i="15"/>
  <c r="N142" i="15" s="1"/>
  <c r="CX142" i="14"/>
  <c r="DF142" i="14" s="1"/>
  <c r="CX142" i="15"/>
  <c r="DF142" i="15" s="1"/>
  <c r="BB142" i="15"/>
  <c r="BJ142" i="15" s="1"/>
  <c r="F142" i="13"/>
  <c r="N142" i="13" s="1"/>
  <c r="BB142" i="13"/>
  <c r="BJ142" i="13" s="1"/>
  <c r="BB142" i="16"/>
  <c r="BJ142" i="16" s="1"/>
  <c r="AD142" i="13"/>
  <c r="AL142" i="13" s="1"/>
  <c r="BZ142" i="13"/>
  <c r="CH142" i="13" s="1"/>
  <c r="BB152" i="16"/>
  <c r="BJ152" i="16" s="1"/>
  <c r="CX152" i="15"/>
  <c r="DF152" i="15" s="1"/>
  <c r="BB152" i="15"/>
  <c r="BJ152" i="15" s="1"/>
  <c r="AC152" i="14"/>
  <c r="AK152" i="14" s="1"/>
  <c r="CX152" i="13"/>
  <c r="DF152" i="13" s="1"/>
  <c r="F152" i="16"/>
  <c r="N152" i="16" s="1"/>
  <c r="F152" i="15"/>
  <c r="N152" i="15" s="1"/>
  <c r="CX152" i="14"/>
  <c r="DF152" i="14" s="1"/>
  <c r="BZ152" i="14"/>
  <c r="CH152" i="14" s="1"/>
  <c r="BZ152" i="15"/>
  <c r="CH152" i="15" s="1"/>
  <c r="AD152" i="15"/>
  <c r="AL152" i="15" s="1"/>
  <c r="F152" i="14"/>
  <c r="N152" i="14" s="1"/>
  <c r="BZ152" i="16"/>
  <c r="CH152" i="16" s="1"/>
  <c r="AD152" i="16"/>
  <c r="AL152" i="16" s="1"/>
  <c r="AD152" i="13"/>
  <c r="AL152" i="13" s="1"/>
  <c r="BZ152" i="13"/>
  <c r="CH152" i="13" s="1"/>
  <c r="CX152" i="16"/>
  <c r="DF152" i="16" s="1"/>
  <c r="BB152" i="14"/>
  <c r="BJ152" i="14" s="1"/>
  <c r="F152" i="13"/>
  <c r="N152" i="13" s="1"/>
  <c r="BB152" i="13"/>
  <c r="BJ152" i="13" s="1"/>
  <c r="CX153" i="16"/>
  <c r="DF153" i="16" s="1"/>
  <c r="BZ153" i="16"/>
  <c r="CH153" i="16" s="1"/>
  <c r="AD153" i="16"/>
  <c r="AL153" i="16" s="1"/>
  <c r="BZ153" i="15"/>
  <c r="CH153" i="15" s="1"/>
  <c r="AD153" i="15"/>
  <c r="AL153" i="15" s="1"/>
  <c r="F153" i="15"/>
  <c r="N153" i="15" s="1"/>
  <c r="CX153" i="14"/>
  <c r="DF153" i="14" s="1"/>
  <c r="BZ153" i="14"/>
  <c r="CH153" i="14" s="1"/>
  <c r="BB153" i="14"/>
  <c r="BJ153" i="14" s="1"/>
  <c r="F153" i="14"/>
  <c r="N153" i="14" s="1"/>
  <c r="BZ153" i="13"/>
  <c r="CH153" i="13" s="1"/>
  <c r="BB153" i="16"/>
  <c r="BJ153" i="16" s="1"/>
  <c r="CX153" i="15"/>
  <c r="DF153" i="15" s="1"/>
  <c r="BB153" i="15"/>
  <c r="BJ153" i="15" s="1"/>
  <c r="AC153" i="14"/>
  <c r="AK153" i="14" s="1"/>
  <c r="CX153" i="13"/>
  <c r="DF153" i="13" s="1"/>
  <c r="F153" i="16"/>
  <c r="N153" i="16" s="1"/>
  <c r="BB153" i="13"/>
  <c r="BJ153" i="13" s="1"/>
  <c r="AD153" i="13"/>
  <c r="AL153" i="13" s="1"/>
  <c r="F153" i="13"/>
  <c r="N153" i="13" s="1"/>
  <c r="F150" i="16"/>
  <c r="N150" i="16" s="1"/>
  <c r="CX150" i="14"/>
  <c r="DF150" i="14" s="1"/>
  <c r="CX150" i="16"/>
  <c r="DF150" i="16" s="1"/>
  <c r="BZ150" i="16"/>
  <c r="CH150" i="16" s="1"/>
  <c r="AD150" i="16"/>
  <c r="AL150" i="16" s="1"/>
  <c r="BZ150" i="15"/>
  <c r="CH150" i="15" s="1"/>
  <c r="AD150" i="15"/>
  <c r="AL150" i="15" s="1"/>
  <c r="F150" i="14"/>
  <c r="N150" i="14" s="1"/>
  <c r="CX150" i="13"/>
  <c r="DF150" i="13" s="1"/>
  <c r="AC150" i="14"/>
  <c r="AK150" i="14" s="1"/>
  <c r="F150" i="15"/>
  <c r="N150" i="15" s="1"/>
  <c r="F150" i="13"/>
  <c r="N150" i="13" s="1"/>
  <c r="BB150" i="13"/>
  <c r="BJ150" i="13" s="1"/>
  <c r="BB150" i="14"/>
  <c r="BJ150" i="14" s="1"/>
  <c r="AD150" i="13"/>
  <c r="AL150" i="13" s="1"/>
  <c r="BB150" i="16"/>
  <c r="BJ150" i="16" s="1"/>
  <c r="CX150" i="15"/>
  <c r="DF150" i="15" s="1"/>
  <c r="BB150" i="15"/>
  <c r="BJ150" i="15" s="1"/>
  <c r="BZ150" i="14"/>
  <c r="CH150" i="14" s="1"/>
  <c r="BZ150" i="13"/>
  <c r="CH150" i="13" s="1"/>
  <c r="BZ141" i="16"/>
  <c r="CH141" i="16" s="1"/>
  <c r="AD141" i="16"/>
  <c r="AL141" i="16" s="1"/>
  <c r="F141" i="16"/>
  <c r="N141" i="16" s="1"/>
  <c r="BZ141" i="15"/>
  <c r="CH141" i="15" s="1"/>
  <c r="F141" i="15"/>
  <c r="N141" i="15" s="1"/>
  <c r="CX141" i="14"/>
  <c r="DF141" i="14" s="1"/>
  <c r="CX141" i="16"/>
  <c r="DF141" i="16" s="1"/>
  <c r="AD141" i="15"/>
  <c r="AL141" i="15" s="1"/>
  <c r="F141" i="14"/>
  <c r="N141" i="14" s="1"/>
  <c r="BB141" i="16"/>
  <c r="BJ141" i="16" s="1"/>
  <c r="CX141" i="15"/>
  <c r="DF141" i="15" s="1"/>
  <c r="BB141" i="15"/>
  <c r="BJ141" i="15" s="1"/>
  <c r="BZ141" i="14"/>
  <c r="CH141" i="14" s="1"/>
  <c r="AC141" i="14"/>
  <c r="AK141" i="14" s="1"/>
  <c r="BB141" i="14"/>
  <c r="BJ141" i="14" s="1"/>
  <c r="BZ141" i="13"/>
  <c r="CH141" i="13" s="1"/>
  <c r="BB141" i="13"/>
  <c r="BJ141" i="13" s="1"/>
  <c r="F141" i="13"/>
  <c r="N141" i="13" s="1"/>
  <c r="CX141" i="13"/>
  <c r="DF141" i="13" s="1"/>
  <c r="AD141" i="13"/>
  <c r="AL141" i="13" s="1"/>
  <c r="Y39" i="2"/>
  <c r="Y57" i="2"/>
  <c r="AF39" i="2"/>
  <c r="AF57" i="2"/>
  <c r="R10" i="2"/>
  <c r="Q14" i="2"/>
  <c r="F12" i="8"/>
  <c r="E24" i="18" s="1"/>
  <c r="E12" i="8"/>
  <c r="I12" i="8"/>
  <c r="H24" i="18" s="1"/>
  <c r="G12" i="8"/>
  <c r="F24" i="18" s="1"/>
  <c r="H12" i="8"/>
  <c r="G24" i="18" s="1"/>
  <c r="AE91" i="10"/>
  <c r="AE92" i="10" s="1"/>
  <c r="AE93" i="10" s="1"/>
  <c r="AE94" i="10" s="1"/>
  <c r="AE95" i="10" s="1"/>
  <c r="AE96" i="10" s="1"/>
  <c r="AE97" i="10" s="1"/>
  <c r="AE98" i="10" s="1"/>
  <c r="AE99" i="10" s="1"/>
  <c r="AE100" i="10" s="1"/>
  <c r="AE101" i="10" s="1"/>
  <c r="AE102" i="10" s="1"/>
  <c r="AE103" i="10" s="1"/>
  <c r="AE104" i="10" s="1"/>
  <c r="AE105" i="10" s="1"/>
  <c r="AE106" i="10" s="1"/>
  <c r="Y63" i="2"/>
  <c r="U21" i="8" s="1"/>
  <c r="Y66" i="2"/>
  <c r="AF63" i="2"/>
  <c r="W21" i="8" s="1"/>
  <c r="AF66" i="2"/>
  <c r="Y14" i="2"/>
  <c r="U12" i="8" s="1"/>
  <c r="X14" i="2"/>
  <c r="T12" i="8" s="1"/>
  <c r="BC141" i="15" l="1"/>
  <c r="CA141" i="15"/>
  <c r="BC150" i="13"/>
  <c r="G150" i="16"/>
  <c r="G153" i="14"/>
  <c r="G152" i="13"/>
  <c r="BC152" i="15"/>
  <c r="G142" i="15"/>
  <c r="CA142" i="16"/>
  <c r="CA140" i="16"/>
  <c r="CY140" i="16"/>
  <c r="AD149" i="14"/>
  <c r="G139" i="14"/>
  <c r="CY139" i="15"/>
  <c r="CA144" i="16"/>
  <c r="BC144" i="16"/>
  <c r="AE151" i="16"/>
  <c r="CA151" i="14"/>
  <c r="G146" i="13"/>
  <c r="G146" i="16"/>
  <c r="CY148" i="16"/>
  <c r="AE143" i="13"/>
  <c r="G143" i="16"/>
  <c r="BC147" i="13"/>
  <c r="G147" i="16"/>
  <c r="G145" i="15"/>
  <c r="BC145" i="15"/>
  <c r="DK138" i="15"/>
  <c r="CY138" i="15"/>
  <c r="S138" i="14"/>
  <c r="G138" i="14"/>
  <c r="CY141" i="13"/>
  <c r="BC141" i="14"/>
  <c r="CY141" i="15"/>
  <c r="CY141" i="16"/>
  <c r="G141" i="16"/>
  <c r="CA150" i="13"/>
  <c r="BC150" i="16"/>
  <c r="G150" i="13"/>
  <c r="G150" i="14"/>
  <c r="CA150" i="16"/>
  <c r="G153" i="16"/>
  <c r="CY153" i="15"/>
  <c r="BC153" i="14"/>
  <c r="AE153" i="15"/>
  <c r="CY153" i="16"/>
  <c r="BC152" i="14"/>
  <c r="AE152" i="16"/>
  <c r="CA152" i="15"/>
  <c r="G152" i="16"/>
  <c r="CY152" i="15"/>
  <c r="AE142" i="13"/>
  <c r="BC142" i="15"/>
  <c r="AE142" i="15"/>
  <c r="CA142" i="15"/>
  <c r="CY142" i="16"/>
  <c r="BC140" i="13"/>
  <c r="CA140" i="15"/>
  <c r="G140" i="14"/>
  <c r="AD140" i="14"/>
  <c r="BC140" i="16"/>
  <c r="BC149" i="13"/>
  <c r="G149" i="15"/>
  <c r="CA149" i="13"/>
  <c r="AE149" i="15"/>
  <c r="CY149" i="16"/>
  <c r="BC139" i="13"/>
  <c r="AE139" i="15"/>
  <c r="G139" i="16"/>
  <c r="G139" i="15"/>
  <c r="BC139" i="16"/>
  <c r="AE144" i="16"/>
  <c r="CA144" i="15"/>
  <c r="CY144" i="16"/>
  <c r="G144" i="15"/>
  <c r="G144" i="14"/>
  <c r="AE151" i="13"/>
  <c r="BC151" i="13"/>
  <c r="CA151" i="16"/>
  <c r="CY151" i="14"/>
  <c r="G151" i="15"/>
  <c r="AE146" i="13"/>
  <c r="BC146" i="16"/>
  <c r="CY146" i="14"/>
  <c r="AE146" i="16"/>
  <c r="G146" i="15"/>
  <c r="AE148" i="16"/>
  <c r="AE148" i="15"/>
  <c r="BC148" i="14"/>
  <c r="CY148" i="15"/>
  <c r="CY148" i="14"/>
  <c r="G143" i="13"/>
  <c r="BC143" i="14"/>
  <c r="CA143" i="14"/>
  <c r="AE143" i="16"/>
  <c r="BC143" i="15"/>
  <c r="CA147" i="13"/>
  <c r="CY147" i="13"/>
  <c r="G147" i="15"/>
  <c r="AE147" i="16"/>
  <c r="AD147" i="14"/>
  <c r="BC145" i="13"/>
  <c r="CA145" i="13"/>
  <c r="CY145" i="15"/>
  <c r="CA145" i="15"/>
  <c r="CY145" i="16"/>
  <c r="BO138" i="13"/>
  <c r="BC138" i="13"/>
  <c r="S138" i="13"/>
  <c r="G138" i="13"/>
  <c r="DK138" i="13"/>
  <c r="CY138" i="13"/>
  <c r="S138" i="16"/>
  <c r="G138" i="16"/>
  <c r="DK138" i="14"/>
  <c r="CY138" i="14"/>
  <c r="AE141" i="13"/>
  <c r="AE141" i="15"/>
  <c r="CY150" i="15"/>
  <c r="AE150" i="16"/>
  <c r="BC153" i="15"/>
  <c r="CA153" i="16"/>
  <c r="AE152" i="13"/>
  <c r="G152" i="15"/>
  <c r="G142" i="13"/>
  <c r="BC142" i="14"/>
  <c r="CA140" i="13"/>
  <c r="CY140" i="15"/>
  <c r="CY149" i="14"/>
  <c r="CA149" i="16"/>
  <c r="CA139" i="15"/>
  <c r="AE144" i="15"/>
  <c r="BC151" i="14"/>
  <c r="BC146" i="13"/>
  <c r="CA146" i="14"/>
  <c r="BC148" i="15"/>
  <c r="CA143" i="13"/>
  <c r="CY147" i="14"/>
  <c r="BC147" i="16"/>
  <c r="AE145" i="15"/>
  <c r="CM138" i="15"/>
  <c r="CA138" i="15"/>
  <c r="AD141" i="14"/>
  <c r="AE141" i="16"/>
  <c r="G150" i="15"/>
  <c r="CY150" i="16"/>
  <c r="G153" i="13"/>
  <c r="CY153" i="13"/>
  <c r="BC153" i="16"/>
  <c r="CA153" i="14"/>
  <c r="CA153" i="15"/>
  <c r="CY152" i="16"/>
  <c r="CA152" i="16"/>
  <c r="CA152" i="14"/>
  <c r="CY152" i="13"/>
  <c r="BC152" i="16"/>
  <c r="BC142" i="16"/>
  <c r="CY142" i="15"/>
  <c r="CY142" i="13"/>
  <c r="G142" i="16"/>
  <c r="G142" i="14"/>
  <c r="G140" i="13"/>
  <c r="G140" i="16"/>
  <c r="CY140" i="14"/>
  <c r="BC140" i="14"/>
  <c r="CA140" i="14"/>
  <c r="CY149" i="13"/>
  <c r="AE149" i="13"/>
  <c r="BC149" i="15"/>
  <c r="BC149" i="14"/>
  <c r="CA149" i="15"/>
  <c r="CA139" i="13"/>
  <c r="AE139" i="13"/>
  <c r="AE139" i="16"/>
  <c r="BC139" i="14"/>
  <c r="CY139" i="16"/>
  <c r="G144" i="13"/>
  <c r="G144" i="16"/>
  <c r="CY144" i="13"/>
  <c r="BC144" i="15"/>
  <c r="AD144" i="14"/>
  <c r="CY151" i="13"/>
  <c r="AE151" i="15"/>
  <c r="CY151" i="16"/>
  <c r="G151" i="16"/>
  <c r="BC151" i="15"/>
  <c r="BC146" i="15"/>
  <c r="CA146" i="13"/>
  <c r="G146" i="14"/>
  <c r="AE146" i="15"/>
  <c r="CA146" i="16"/>
  <c r="CA148" i="16"/>
  <c r="CA148" i="15"/>
  <c r="AD148" i="14"/>
  <c r="BC148" i="16"/>
  <c r="G148" i="15"/>
  <c r="BC143" i="13"/>
  <c r="CY143" i="14"/>
  <c r="AE143" i="15"/>
  <c r="CA143" i="16"/>
  <c r="CY143" i="15"/>
  <c r="AE147" i="13"/>
  <c r="BC147" i="14"/>
  <c r="AE147" i="15"/>
  <c r="CA147" i="16"/>
  <c r="BC147" i="15"/>
  <c r="AE145" i="13"/>
  <c r="BC145" i="14"/>
  <c r="CY145" i="13"/>
  <c r="BC145" i="16"/>
  <c r="G145" i="16"/>
  <c r="AE138" i="13"/>
  <c r="AQ138" i="13"/>
  <c r="CM138" i="13"/>
  <c r="CA138" i="13"/>
  <c r="AP138" i="14"/>
  <c r="AD138" i="14"/>
  <c r="AQ138" i="16"/>
  <c r="AE138" i="16"/>
  <c r="S138" i="15"/>
  <c r="G138" i="15"/>
  <c r="CA141" i="13"/>
  <c r="CY150" i="13"/>
  <c r="BC153" i="13"/>
  <c r="G153" i="15"/>
  <c r="AE152" i="15"/>
  <c r="CA142" i="13"/>
  <c r="CY140" i="13"/>
  <c r="G149" i="13"/>
  <c r="BC149" i="16"/>
  <c r="G139" i="13"/>
  <c r="CY139" i="14"/>
  <c r="BC144" i="13"/>
  <c r="CY144" i="14"/>
  <c r="G151" i="13"/>
  <c r="BC151" i="16"/>
  <c r="BC146" i="14"/>
  <c r="G148" i="13"/>
  <c r="CA148" i="14"/>
  <c r="G148" i="14"/>
  <c r="AD143" i="14"/>
  <c r="G143" i="15"/>
  <c r="G147" i="14"/>
  <c r="G145" i="13"/>
  <c r="CA145" i="16"/>
  <c r="DK138" i="16"/>
  <c r="CY138" i="16"/>
  <c r="AQ138" i="15"/>
  <c r="AE138" i="15"/>
  <c r="G141" i="13"/>
  <c r="BC141" i="16"/>
  <c r="CY141" i="14"/>
  <c r="CA150" i="14"/>
  <c r="AE150" i="13"/>
  <c r="AE150" i="15"/>
  <c r="BC141" i="13"/>
  <c r="CA141" i="14"/>
  <c r="G141" i="14"/>
  <c r="G141" i="15"/>
  <c r="CA141" i="16"/>
  <c r="BC150" i="15"/>
  <c r="BC150" i="14"/>
  <c r="AD150" i="14"/>
  <c r="CA150" i="15"/>
  <c r="CY150" i="14"/>
  <c r="AE153" i="13"/>
  <c r="AD153" i="14"/>
  <c r="CA153" i="13"/>
  <c r="CY153" i="14"/>
  <c r="AE153" i="16"/>
  <c r="BC152" i="13"/>
  <c r="CA152" i="13"/>
  <c r="G152" i="14"/>
  <c r="CY152" i="14"/>
  <c r="AD152" i="14"/>
  <c r="BC142" i="13"/>
  <c r="CY142" i="14"/>
  <c r="AD142" i="14"/>
  <c r="AE142" i="16"/>
  <c r="CA142" i="14"/>
  <c r="AE140" i="13"/>
  <c r="AE140" i="16"/>
  <c r="G140" i="15"/>
  <c r="BC140" i="15"/>
  <c r="AE140" i="15"/>
  <c r="G149" i="16"/>
  <c r="G149" i="14"/>
  <c r="CY149" i="15"/>
  <c r="CA149" i="14"/>
  <c r="AE149" i="16"/>
  <c r="AD139" i="14"/>
  <c r="CY139" i="13"/>
  <c r="CA139" i="14"/>
  <c r="CA139" i="16"/>
  <c r="BC139" i="15"/>
  <c r="CA144" i="13"/>
  <c r="AE144" i="13"/>
  <c r="BC144" i="14"/>
  <c r="CY144" i="15"/>
  <c r="CA144" i="14"/>
  <c r="AD151" i="14"/>
  <c r="CA151" i="15"/>
  <c r="CA151" i="13"/>
  <c r="G151" i="14"/>
  <c r="CY151" i="15"/>
  <c r="CY146" i="15"/>
  <c r="AD146" i="14"/>
  <c r="CY146" i="13"/>
  <c r="CA146" i="15"/>
  <c r="CY146" i="16"/>
  <c r="BC148" i="13"/>
  <c r="AE148" i="13"/>
  <c r="G148" i="16"/>
  <c r="CY148" i="13"/>
  <c r="CA148" i="13"/>
  <c r="CY143" i="13"/>
  <c r="G143" i="14"/>
  <c r="CA143" i="15"/>
  <c r="CY143" i="16"/>
  <c r="BC143" i="16"/>
  <c r="G147" i="13"/>
  <c r="CA147" i="14"/>
  <c r="CA147" i="15"/>
  <c r="CY147" i="16"/>
  <c r="CY147" i="15"/>
  <c r="G145" i="14"/>
  <c r="CY145" i="14"/>
  <c r="CA145" i="14"/>
  <c r="AD145" i="14"/>
  <c r="AE145" i="16"/>
  <c r="BO138" i="16"/>
  <c r="BO139" i="16" s="1"/>
  <c r="BO140" i="16" s="1"/>
  <c r="BC138" i="16"/>
  <c r="BO138" i="15"/>
  <c r="BC138" i="15"/>
  <c r="BO138" i="14"/>
  <c r="BC138" i="14"/>
  <c r="CM138" i="14"/>
  <c r="CA138" i="14"/>
  <c r="CM138" i="16"/>
  <c r="CA138" i="16"/>
  <c r="R66" i="2"/>
  <c r="R39" i="2"/>
  <c r="R57" i="2"/>
  <c r="D24" i="18"/>
  <c r="M6" i="11"/>
  <c r="C43" i="9"/>
  <c r="C51" i="9"/>
  <c r="K51" i="9" s="1"/>
  <c r="C44" i="9"/>
  <c r="K44" i="9" s="1"/>
  <c r="C52" i="9"/>
  <c r="K52" i="9" s="1"/>
  <c r="C45" i="9"/>
  <c r="K45" i="9" s="1"/>
  <c r="C53" i="9"/>
  <c r="C46" i="9"/>
  <c r="K46" i="9" s="1"/>
  <c r="C42" i="9"/>
  <c r="K42" i="9" s="1"/>
  <c r="C50" i="9"/>
  <c r="K50" i="9" s="1"/>
  <c r="C54" i="9"/>
  <c r="K54" i="9" s="1"/>
  <c r="C40" i="9"/>
  <c r="K40" i="9" s="1"/>
  <c r="C41" i="9"/>
  <c r="K41" i="9" s="1"/>
  <c r="C48" i="9"/>
  <c r="C47" i="9"/>
  <c r="K47" i="9" s="1"/>
  <c r="C49" i="9"/>
  <c r="K49" i="9" s="1"/>
  <c r="C39" i="9"/>
  <c r="K39" i="9" s="1"/>
  <c r="C17" i="9"/>
  <c r="K17" i="9" s="1"/>
  <c r="C25" i="9"/>
  <c r="K25" i="9" s="1"/>
  <c r="C20" i="9"/>
  <c r="K20" i="9" s="1"/>
  <c r="C18" i="9"/>
  <c r="C26" i="9"/>
  <c r="K26" i="9" s="1"/>
  <c r="C28" i="9"/>
  <c r="C19" i="9"/>
  <c r="K19" i="9" s="1"/>
  <c r="C27" i="9"/>
  <c r="K27" i="9" s="1"/>
  <c r="C16" i="9"/>
  <c r="K16" i="9" s="1"/>
  <c r="C24" i="9"/>
  <c r="K24" i="9" s="1"/>
  <c r="C15" i="9"/>
  <c r="K15" i="9" s="1"/>
  <c r="C22" i="9"/>
  <c r="K22" i="9" s="1"/>
  <c r="C21" i="9"/>
  <c r="K21" i="9" s="1"/>
  <c r="C23" i="9"/>
  <c r="C14" i="9"/>
  <c r="K14" i="9" s="1"/>
  <c r="C13" i="9"/>
  <c r="C69" i="9"/>
  <c r="K69" i="9" s="1"/>
  <c r="C77" i="9"/>
  <c r="K77" i="9" s="1"/>
  <c r="C70" i="9"/>
  <c r="K70" i="9" s="1"/>
  <c r="C78" i="9"/>
  <c r="C80" i="9"/>
  <c r="K80" i="9" s="1"/>
  <c r="C71" i="9"/>
  <c r="K71" i="9" s="1"/>
  <c r="C79" i="9"/>
  <c r="K79" i="9" s="1"/>
  <c r="C68" i="9"/>
  <c r="C76" i="9"/>
  <c r="K76" i="9" s="1"/>
  <c r="C72" i="9"/>
  <c r="K72" i="9" s="1"/>
  <c r="C65" i="9"/>
  <c r="K65" i="9" s="1"/>
  <c r="C66" i="9"/>
  <c r="K66" i="9" s="1"/>
  <c r="C67" i="9"/>
  <c r="K67" i="9" s="1"/>
  <c r="C73" i="9"/>
  <c r="K73" i="9" s="1"/>
  <c r="C74" i="9"/>
  <c r="K74" i="9" s="1"/>
  <c r="C75" i="9"/>
  <c r="K75" i="9" s="1"/>
  <c r="C121" i="9"/>
  <c r="K121" i="9" s="1"/>
  <c r="C129" i="9"/>
  <c r="C122" i="9"/>
  <c r="K122" i="9" s="1"/>
  <c r="C130" i="9"/>
  <c r="K130" i="9" s="1"/>
  <c r="C123" i="9"/>
  <c r="K123" i="9" s="1"/>
  <c r="C131" i="9"/>
  <c r="K131" i="9" s="1"/>
  <c r="C132" i="9"/>
  <c r="K132" i="9" s="1"/>
  <c r="C120" i="9"/>
  <c r="K120" i="9" s="1"/>
  <c r="C128" i="9"/>
  <c r="K128" i="9" s="1"/>
  <c r="C124" i="9"/>
  <c r="C119" i="9"/>
  <c r="C126" i="9"/>
  <c r="K126" i="9" s="1"/>
  <c r="C125" i="9"/>
  <c r="K125" i="9" s="1"/>
  <c r="C118" i="9"/>
  <c r="K118" i="9" s="1"/>
  <c r="C127" i="9"/>
  <c r="K127" i="9" s="1"/>
  <c r="C117" i="9"/>
  <c r="K117" i="9" s="1"/>
  <c r="C95" i="9"/>
  <c r="K95" i="9" s="1"/>
  <c r="C103" i="9"/>
  <c r="K103" i="9" s="1"/>
  <c r="C106" i="9"/>
  <c r="K106" i="9" s="1"/>
  <c r="C96" i="9"/>
  <c r="K96" i="9" s="1"/>
  <c r="C104" i="9"/>
  <c r="K104" i="9" s="1"/>
  <c r="C98" i="9"/>
  <c r="K98" i="9" s="1"/>
  <c r="C97" i="9"/>
  <c r="C105" i="9"/>
  <c r="K105" i="9" s="1"/>
  <c r="C94" i="9"/>
  <c r="K94" i="9" s="1"/>
  <c r="C102" i="9"/>
  <c r="C100" i="9"/>
  <c r="K100" i="9" s="1"/>
  <c r="C101" i="9"/>
  <c r="K101" i="9" s="1"/>
  <c r="C93" i="9"/>
  <c r="K93" i="9" s="1"/>
  <c r="C99" i="9"/>
  <c r="K99" i="9" s="1"/>
  <c r="C91" i="9"/>
  <c r="K91" i="9" s="1"/>
  <c r="C92" i="9"/>
  <c r="S22" i="8"/>
  <c r="R22" i="8"/>
  <c r="I21" i="1"/>
  <c r="I16" i="8" s="1"/>
  <c r="S139" i="14" l="1"/>
  <c r="S140" i="14" s="1"/>
  <c r="S141" i="14" s="1"/>
  <c r="S142" i="14" s="1"/>
  <c r="S143" i="14" s="1"/>
  <c r="S144" i="14" s="1"/>
  <c r="S145" i="14" s="1"/>
  <c r="S146" i="14" s="1"/>
  <c r="S147" i="14" s="1"/>
  <c r="S148" i="14" s="1"/>
  <c r="S149" i="14" s="1"/>
  <c r="S150" i="14" s="1"/>
  <c r="S151" i="14" s="1"/>
  <c r="S152" i="14" s="1"/>
  <c r="S153" i="14" s="1"/>
  <c r="AH161" i="14" s="1"/>
  <c r="AQ139" i="13"/>
  <c r="AQ140" i="13" s="1"/>
  <c r="AQ141" i="13" s="1"/>
  <c r="AQ142" i="13" s="1"/>
  <c r="AQ143" i="13" s="1"/>
  <c r="AQ144" i="13" s="1"/>
  <c r="AQ145" i="13" s="1"/>
  <c r="AQ146" i="13" s="1"/>
  <c r="AQ147" i="13" s="1"/>
  <c r="AQ148" i="13" s="1"/>
  <c r="AQ149" i="13" s="1"/>
  <c r="AQ150" i="13" s="1"/>
  <c r="AQ151" i="13" s="1"/>
  <c r="AQ152" i="13" s="1"/>
  <c r="AQ153" i="13" s="1"/>
  <c r="AI161" i="13" s="1"/>
  <c r="BO139" i="13"/>
  <c r="BO140" i="13" s="1"/>
  <c r="BO141" i="13" s="1"/>
  <c r="BO142" i="13" s="1"/>
  <c r="BO143" i="13" s="1"/>
  <c r="BO144" i="13" s="1"/>
  <c r="BO145" i="13" s="1"/>
  <c r="BO146" i="13" s="1"/>
  <c r="BO147" i="13" s="1"/>
  <c r="BO148" i="13" s="1"/>
  <c r="BO149" i="13" s="1"/>
  <c r="BO150" i="13" s="1"/>
  <c r="BO151" i="13" s="1"/>
  <c r="BO152" i="13" s="1"/>
  <c r="BO153" i="13" s="1"/>
  <c r="AJ161" i="13" s="1"/>
  <c r="D152" i="9"/>
  <c r="L152" i="9" s="1"/>
  <c r="K48" i="9"/>
  <c r="D147" i="9"/>
  <c r="L147" i="9" s="1"/>
  <c r="K43" i="9"/>
  <c r="D144" i="9"/>
  <c r="L144" i="9" s="1"/>
  <c r="K92" i="9"/>
  <c r="D146" i="9"/>
  <c r="L146" i="9" s="1"/>
  <c r="K68" i="9"/>
  <c r="D156" i="9"/>
  <c r="L156" i="9" s="1"/>
  <c r="K78" i="9"/>
  <c r="D143" i="9"/>
  <c r="L143" i="9" s="1"/>
  <c r="K13" i="9"/>
  <c r="D148" i="9"/>
  <c r="L148" i="9" s="1"/>
  <c r="K18" i="9"/>
  <c r="D154" i="9"/>
  <c r="L154" i="9" s="1"/>
  <c r="K102" i="9"/>
  <c r="D149" i="9"/>
  <c r="L149" i="9" s="1"/>
  <c r="K97" i="9"/>
  <c r="D145" i="9"/>
  <c r="L145" i="9" s="1"/>
  <c r="K119" i="9"/>
  <c r="D150" i="9"/>
  <c r="L150" i="9" s="1"/>
  <c r="K124" i="9"/>
  <c r="D155" i="9"/>
  <c r="L155" i="9" s="1"/>
  <c r="K129" i="9"/>
  <c r="D153" i="9"/>
  <c r="L153" i="9" s="1"/>
  <c r="K23" i="9"/>
  <c r="D158" i="9"/>
  <c r="L158" i="9" s="1"/>
  <c r="K28" i="9"/>
  <c r="D157" i="9"/>
  <c r="L157" i="9" s="1"/>
  <c r="K53" i="9"/>
  <c r="CM139" i="16"/>
  <c r="CM140" i="16" s="1"/>
  <c r="CM141" i="16" s="1"/>
  <c r="CM142" i="16" s="1"/>
  <c r="CM143" i="16" s="1"/>
  <c r="CM144" i="16" s="1"/>
  <c r="CM145" i="16" s="1"/>
  <c r="CM146" i="16" s="1"/>
  <c r="CM147" i="16" s="1"/>
  <c r="CM148" i="16" s="1"/>
  <c r="CM149" i="16" s="1"/>
  <c r="CM150" i="16" s="1"/>
  <c r="CM151" i="16" s="1"/>
  <c r="CM152" i="16" s="1"/>
  <c r="CM153" i="16" s="1"/>
  <c r="AJ161" i="16" s="1"/>
  <c r="BO139" i="14"/>
  <c r="BO140" i="14" s="1"/>
  <c r="BO141" i="14" s="1"/>
  <c r="BO142" i="14" s="1"/>
  <c r="BO143" i="14" s="1"/>
  <c r="BO144" i="14" s="1"/>
  <c r="BO145" i="14" s="1"/>
  <c r="BO146" i="14" s="1"/>
  <c r="BO147" i="14" s="1"/>
  <c r="BO148" i="14" s="1"/>
  <c r="BO149" i="14" s="1"/>
  <c r="BO150" i="14" s="1"/>
  <c r="BO151" i="14" s="1"/>
  <c r="BO152" i="14" s="1"/>
  <c r="BO153" i="14" s="1"/>
  <c r="AJ161" i="14" s="1"/>
  <c r="BO141" i="16"/>
  <c r="BO142" i="16" s="1"/>
  <c r="BO143" i="16" s="1"/>
  <c r="BO144" i="16" s="1"/>
  <c r="BO145" i="16" s="1"/>
  <c r="BO146" i="16" s="1"/>
  <c r="BO147" i="16" s="1"/>
  <c r="BO148" i="16" s="1"/>
  <c r="BO149" i="16" s="1"/>
  <c r="BO150" i="16" s="1"/>
  <c r="BO151" i="16" s="1"/>
  <c r="BO152" i="16" s="1"/>
  <c r="BO153" i="16" s="1"/>
  <c r="AI161" i="16" s="1"/>
  <c r="AQ139" i="15"/>
  <c r="AQ140" i="15" s="1"/>
  <c r="AQ141" i="15" s="1"/>
  <c r="AQ142" i="15" s="1"/>
  <c r="AQ143" i="15" s="1"/>
  <c r="AQ144" i="15" s="1"/>
  <c r="AQ145" i="15" s="1"/>
  <c r="AQ146" i="15" s="1"/>
  <c r="AQ147" i="15" s="1"/>
  <c r="AQ148" i="15" s="1"/>
  <c r="AQ149" i="15" s="1"/>
  <c r="AQ150" i="15" s="1"/>
  <c r="AQ151" i="15" s="1"/>
  <c r="AQ152" i="15" s="1"/>
  <c r="AQ153" i="15" s="1"/>
  <c r="AI161" i="15" s="1"/>
  <c r="S139" i="15"/>
  <c r="S140" i="15" s="1"/>
  <c r="S141" i="15" s="1"/>
  <c r="S142" i="15" s="1"/>
  <c r="S143" i="15" s="1"/>
  <c r="S144" i="15" s="1"/>
  <c r="S145" i="15" s="1"/>
  <c r="S146" i="15" s="1"/>
  <c r="S147" i="15" s="1"/>
  <c r="S148" i="15" s="1"/>
  <c r="S149" i="15" s="1"/>
  <c r="S150" i="15" s="1"/>
  <c r="S151" i="15" s="1"/>
  <c r="S152" i="15" s="1"/>
  <c r="S153" i="15" s="1"/>
  <c r="AH161" i="15" s="1"/>
  <c r="AP139" i="14"/>
  <c r="AP140" i="14" s="1"/>
  <c r="AP141" i="14" s="1"/>
  <c r="AP142" i="14" s="1"/>
  <c r="AP143" i="14" s="1"/>
  <c r="AP144" i="14" s="1"/>
  <c r="AP145" i="14" s="1"/>
  <c r="AP146" i="14" s="1"/>
  <c r="AP147" i="14" s="1"/>
  <c r="AP148" i="14" s="1"/>
  <c r="AP149" i="14" s="1"/>
  <c r="AP150" i="14" s="1"/>
  <c r="AP151" i="14" s="1"/>
  <c r="AP152" i="14" s="1"/>
  <c r="AP153" i="14" s="1"/>
  <c r="AI161" i="14" s="1"/>
  <c r="CM139" i="15"/>
  <c r="CM140" i="15" s="1"/>
  <c r="CM141" i="15" s="1"/>
  <c r="CM142" i="15" s="1"/>
  <c r="CM143" i="15" s="1"/>
  <c r="CM144" i="15" s="1"/>
  <c r="CM145" i="15" s="1"/>
  <c r="CM146" i="15" s="1"/>
  <c r="CM147" i="15" s="1"/>
  <c r="CM148" i="15" s="1"/>
  <c r="CM149" i="15" s="1"/>
  <c r="CM150" i="15" s="1"/>
  <c r="CM151" i="15" s="1"/>
  <c r="CM152" i="15" s="1"/>
  <c r="CM153" i="15" s="1"/>
  <c r="AK161" i="15" s="1"/>
  <c r="S139" i="16"/>
  <c r="S140" i="16" s="1"/>
  <c r="S141" i="16" s="1"/>
  <c r="S142" i="16" s="1"/>
  <c r="S143" i="16" s="1"/>
  <c r="S144" i="16" s="1"/>
  <c r="S145" i="16" s="1"/>
  <c r="S146" i="16" s="1"/>
  <c r="S147" i="16" s="1"/>
  <c r="S148" i="16" s="1"/>
  <c r="S149" i="16" s="1"/>
  <c r="S150" i="16" s="1"/>
  <c r="S151" i="16" s="1"/>
  <c r="S152" i="16" s="1"/>
  <c r="S153" i="16" s="1"/>
  <c r="AG161" i="16" s="1"/>
  <c r="S139" i="13"/>
  <c r="S140" i="13" s="1"/>
  <c r="S141" i="13" s="1"/>
  <c r="S142" i="13" s="1"/>
  <c r="S143" i="13" s="1"/>
  <c r="S144" i="13" s="1"/>
  <c r="S145" i="13" s="1"/>
  <c r="S146" i="13" s="1"/>
  <c r="S147" i="13" s="1"/>
  <c r="S148" i="13" s="1"/>
  <c r="S149" i="13" s="1"/>
  <c r="S150" i="13" s="1"/>
  <c r="S151" i="13" s="1"/>
  <c r="S152" i="13" s="1"/>
  <c r="S153" i="13" s="1"/>
  <c r="AH161" i="13" s="1"/>
  <c r="DK139" i="15"/>
  <c r="DK140" i="15" s="1"/>
  <c r="DK141" i="15" s="1"/>
  <c r="DK142" i="15" s="1"/>
  <c r="DK143" i="15" s="1"/>
  <c r="DK144" i="15" s="1"/>
  <c r="DK145" i="15" s="1"/>
  <c r="DK146" i="15" s="1"/>
  <c r="DK147" i="15" s="1"/>
  <c r="DK148" i="15" s="1"/>
  <c r="DK149" i="15" s="1"/>
  <c r="DK150" i="15" s="1"/>
  <c r="DK151" i="15" s="1"/>
  <c r="DK152" i="15" s="1"/>
  <c r="DK153" i="15" s="1"/>
  <c r="AL161" i="15" s="1"/>
  <c r="CM139" i="14"/>
  <c r="CM140" i="14" s="1"/>
  <c r="CM141" i="14" s="1"/>
  <c r="CM142" i="14" s="1"/>
  <c r="CM143" i="14" s="1"/>
  <c r="CM144" i="14" s="1"/>
  <c r="CM145" i="14" s="1"/>
  <c r="CM146" i="14" s="1"/>
  <c r="CM147" i="14" s="1"/>
  <c r="CM148" i="14" s="1"/>
  <c r="CM149" i="14" s="1"/>
  <c r="CM150" i="14" s="1"/>
  <c r="CM151" i="14" s="1"/>
  <c r="CM152" i="14" s="1"/>
  <c r="CM153" i="14" s="1"/>
  <c r="AK161" i="14" s="1"/>
  <c r="BO139" i="15"/>
  <c r="BO140" i="15" s="1"/>
  <c r="BO141" i="15" s="1"/>
  <c r="BO142" i="15" s="1"/>
  <c r="BO143" i="15" s="1"/>
  <c r="BO144" i="15" s="1"/>
  <c r="BO145" i="15" s="1"/>
  <c r="BO146" i="15" s="1"/>
  <c r="BO147" i="15" s="1"/>
  <c r="BO148" i="15" s="1"/>
  <c r="BO149" i="15" s="1"/>
  <c r="BO150" i="15" s="1"/>
  <c r="BO151" i="15" s="1"/>
  <c r="BO152" i="15" s="1"/>
  <c r="BO153" i="15" s="1"/>
  <c r="AJ161" i="15" s="1"/>
  <c r="DK139" i="16"/>
  <c r="DK140" i="16" s="1"/>
  <c r="DK141" i="16" s="1"/>
  <c r="DK142" i="16" s="1"/>
  <c r="DK143" i="16" s="1"/>
  <c r="DK144" i="16" s="1"/>
  <c r="DK145" i="16" s="1"/>
  <c r="DK146" i="16" s="1"/>
  <c r="DK147" i="16" s="1"/>
  <c r="DK148" i="16" s="1"/>
  <c r="DK149" i="16" s="1"/>
  <c r="DK150" i="16" s="1"/>
  <c r="DK151" i="16" s="1"/>
  <c r="DK152" i="16" s="1"/>
  <c r="DK153" i="16" s="1"/>
  <c r="AK161" i="16" s="1"/>
  <c r="AQ139" i="16"/>
  <c r="AQ140" i="16" s="1"/>
  <c r="AQ141" i="16" s="1"/>
  <c r="AQ142" i="16" s="1"/>
  <c r="AQ143" i="16" s="1"/>
  <c r="AQ144" i="16" s="1"/>
  <c r="AQ145" i="16" s="1"/>
  <c r="AQ146" i="16" s="1"/>
  <c r="AQ147" i="16" s="1"/>
  <c r="AQ148" i="16" s="1"/>
  <c r="AQ149" i="16" s="1"/>
  <c r="AQ150" i="16" s="1"/>
  <c r="AQ151" i="16" s="1"/>
  <c r="AQ152" i="16" s="1"/>
  <c r="AQ153" i="16" s="1"/>
  <c r="AH161" i="16" s="1"/>
  <c r="CM139" i="13"/>
  <c r="CM140" i="13" s="1"/>
  <c r="CM141" i="13" s="1"/>
  <c r="CM142" i="13" s="1"/>
  <c r="CM143" i="13" s="1"/>
  <c r="CM144" i="13" s="1"/>
  <c r="CM145" i="13" s="1"/>
  <c r="CM146" i="13" s="1"/>
  <c r="CM147" i="13" s="1"/>
  <c r="CM148" i="13" s="1"/>
  <c r="CM149" i="13" s="1"/>
  <c r="CM150" i="13" s="1"/>
  <c r="CM151" i="13" s="1"/>
  <c r="CM152" i="13" s="1"/>
  <c r="CM153" i="13" s="1"/>
  <c r="AK161" i="13" s="1"/>
  <c r="DK139" i="14"/>
  <c r="DK140" i="14" s="1"/>
  <c r="DK141" i="14" s="1"/>
  <c r="DK142" i="14" s="1"/>
  <c r="DK143" i="14" s="1"/>
  <c r="DK144" i="14" s="1"/>
  <c r="DK145" i="14" s="1"/>
  <c r="DK146" i="14" s="1"/>
  <c r="DK147" i="14" s="1"/>
  <c r="DK148" i="14" s="1"/>
  <c r="DK149" i="14" s="1"/>
  <c r="DK150" i="14" s="1"/>
  <c r="DK151" i="14" s="1"/>
  <c r="DK152" i="14" s="1"/>
  <c r="DK153" i="14" s="1"/>
  <c r="AL161" i="14" s="1"/>
  <c r="DK139" i="13"/>
  <c r="DK140" i="13" s="1"/>
  <c r="DK141" i="13" s="1"/>
  <c r="DK142" i="13" s="1"/>
  <c r="DK143" i="13" s="1"/>
  <c r="DK144" i="13" s="1"/>
  <c r="DK145" i="13" s="1"/>
  <c r="DK146" i="13" s="1"/>
  <c r="DK147" i="13" s="1"/>
  <c r="DK148" i="13" s="1"/>
  <c r="DK149" i="13" s="1"/>
  <c r="DK150" i="13" s="1"/>
  <c r="DK151" i="13" s="1"/>
  <c r="DK152" i="13" s="1"/>
  <c r="DK153" i="13" s="1"/>
  <c r="AL161" i="13" s="1"/>
  <c r="D151" i="9"/>
  <c r="L151" i="9" s="1"/>
  <c r="J8" i="17"/>
  <c r="J12" i="17"/>
  <c r="J16" i="17"/>
  <c r="J20" i="17"/>
  <c r="J10" i="17"/>
  <c r="J18" i="17"/>
  <c r="J11" i="17"/>
  <c r="J19" i="17"/>
  <c r="J9" i="17"/>
  <c r="J13" i="17"/>
  <c r="J17" i="17"/>
  <c r="J21" i="17"/>
  <c r="J14" i="17"/>
  <c r="J22" i="17"/>
  <c r="J15" i="17"/>
  <c r="J7" i="17"/>
  <c r="DC128" i="16"/>
  <c r="DH128" i="16" s="1"/>
  <c r="DC124" i="16"/>
  <c r="DH124" i="16" s="1"/>
  <c r="DC120" i="16"/>
  <c r="DH120" i="16" s="1"/>
  <c r="DC116" i="16"/>
  <c r="DH116" i="16" s="1"/>
  <c r="CE127" i="16"/>
  <c r="CJ127" i="16" s="1"/>
  <c r="CE123" i="16"/>
  <c r="CJ123" i="16" s="1"/>
  <c r="CE119" i="16"/>
  <c r="CJ119" i="16" s="1"/>
  <c r="CE115" i="16"/>
  <c r="CJ115" i="16" s="1"/>
  <c r="BG126" i="16"/>
  <c r="BL126" i="16" s="1"/>
  <c r="BG122" i="16"/>
  <c r="BL122" i="16" s="1"/>
  <c r="BG118" i="16"/>
  <c r="BL118" i="16" s="1"/>
  <c r="BG114" i="16"/>
  <c r="BL114" i="16" s="1"/>
  <c r="AI125" i="16"/>
  <c r="AN125" i="16" s="1"/>
  <c r="AI121" i="16"/>
  <c r="AN121" i="16" s="1"/>
  <c r="AI117" i="16"/>
  <c r="AN117" i="16" s="1"/>
  <c r="K128" i="16"/>
  <c r="P128" i="16" s="1"/>
  <c r="K124" i="16"/>
  <c r="P124" i="16" s="1"/>
  <c r="K120" i="16"/>
  <c r="P120" i="16" s="1"/>
  <c r="K116" i="16"/>
  <c r="P116" i="16" s="1"/>
  <c r="DC127" i="15"/>
  <c r="DH127" i="15" s="1"/>
  <c r="DC123" i="15"/>
  <c r="DH123" i="15" s="1"/>
  <c r="DC119" i="15"/>
  <c r="DH119" i="15" s="1"/>
  <c r="DC115" i="15"/>
  <c r="DH115" i="15" s="1"/>
  <c r="CE126" i="15"/>
  <c r="CJ126" i="15" s="1"/>
  <c r="CE122" i="15"/>
  <c r="CJ122" i="15" s="1"/>
  <c r="CE118" i="15"/>
  <c r="CJ118" i="15" s="1"/>
  <c r="CE114" i="15"/>
  <c r="CJ114" i="15" s="1"/>
  <c r="BG125" i="15"/>
  <c r="BL125" i="15" s="1"/>
  <c r="BG121" i="15"/>
  <c r="BL121" i="15" s="1"/>
  <c r="BG117" i="15"/>
  <c r="BL117" i="15" s="1"/>
  <c r="AI128" i="15"/>
  <c r="AN128" i="15" s="1"/>
  <c r="AI124" i="15"/>
  <c r="AN124" i="15" s="1"/>
  <c r="AI120" i="15"/>
  <c r="AN120" i="15" s="1"/>
  <c r="AI116" i="15"/>
  <c r="AN116" i="15" s="1"/>
  <c r="K127" i="15"/>
  <c r="P127" i="15" s="1"/>
  <c r="K123" i="15"/>
  <c r="P123" i="15" s="1"/>
  <c r="K119" i="15"/>
  <c r="P119" i="15" s="1"/>
  <c r="K115" i="15"/>
  <c r="P115" i="15" s="1"/>
  <c r="DC126" i="14"/>
  <c r="DH126" i="14" s="1"/>
  <c r="DC122" i="14"/>
  <c r="DH122" i="14" s="1"/>
  <c r="DC118" i="14"/>
  <c r="DH118" i="14" s="1"/>
  <c r="DC114" i="14"/>
  <c r="DH114" i="14" s="1"/>
  <c r="CE125" i="14"/>
  <c r="CJ125" i="14" s="1"/>
  <c r="CE121" i="14"/>
  <c r="CJ121" i="14" s="1"/>
  <c r="CE117" i="14"/>
  <c r="CJ117" i="14" s="1"/>
  <c r="BG128" i="14"/>
  <c r="BL128" i="14" s="1"/>
  <c r="BG124" i="14"/>
  <c r="BL124" i="14" s="1"/>
  <c r="BG120" i="14"/>
  <c r="BL120" i="14" s="1"/>
  <c r="BG116" i="14"/>
  <c r="BL116" i="14" s="1"/>
  <c r="AI127" i="14"/>
  <c r="AN127" i="14" s="1"/>
  <c r="AI123" i="14"/>
  <c r="AN123" i="14" s="1"/>
  <c r="AI119" i="14"/>
  <c r="AN119" i="14" s="1"/>
  <c r="AI115" i="14"/>
  <c r="AN115" i="14" s="1"/>
  <c r="K126" i="14"/>
  <c r="P126" i="14" s="1"/>
  <c r="K122" i="14"/>
  <c r="P122" i="14" s="1"/>
  <c r="K118" i="14"/>
  <c r="P118" i="14" s="1"/>
  <c r="K114" i="14"/>
  <c r="P114" i="14" s="1"/>
  <c r="DC125" i="13"/>
  <c r="DH125" i="13" s="1"/>
  <c r="DC121" i="13"/>
  <c r="DH121" i="13" s="1"/>
  <c r="DC117" i="13"/>
  <c r="DH117" i="13" s="1"/>
  <c r="CE128" i="13"/>
  <c r="CJ128" i="13" s="1"/>
  <c r="CE124" i="13"/>
  <c r="CJ124" i="13" s="1"/>
  <c r="CE120" i="13"/>
  <c r="CJ120" i="13" s="1"/>
  <c r="CE116" i="13"/>
  <c r="CJ116" i="13" s="1"/>
  <c r="BG127" i="13"/>
  <c r="BL127" i="13" s="1"/>
  <c r="BG123" i="13"/>
  <c r="BL123" i="13" s="1"/>
  <c r="BG119" i="13"/>
  <c r="BL119" i="13" s="1"/>
  <c r="BG115" i="13"/>
  <c r="BL115" i="13" s="1"/>
  <c r="K118" i="13"/>
  <c r="P118" i="13" s="1"/>
  <c r="K122" i="13"/>
  <c r="P122" i="13" s="1"/>
  <c r="K126" i="13"/>
  <c r="P126" i="13" s="1"/>
  <c r="DC126" i="16"/>
  <c r="DH126" i="16" s="1"/>
  <c r="DC122" i="16"/>
  <c r="DH122" i="16" s="1"/>
  <c r="DC118" i="16"/>
  <c r="DH118" i="16" s="1"/>
  <c r="DC114" i="16"/>
  <c r="DH114" i="16" s="1"/>
  <c r="CE125" i="16"/>
  <c r="CJ125" i="16" s="1"/>
  <c r="CE121" i="16"/>
  <c r="CJ121" i="16" s="1"/>
  <c r="CE117" i="16"/>
  <c r="CJ117" i="16" s="1"/>
  <c r="BG128" i="16"/>
  <c r="BL128" i="16" s="1"/>
  <c r="BG124" i="16"/>
  <c r="BL124" i="16" s="1"/>
  <c r="BG120" i="16"/>
  <c r="BL120" i="16" s="1"/>
  <c r="BG116" i="16"/>
  <c r="BL116" i="16" s="1"/>
  <c r="AI127" i="16"/>
  <c r="AN127" i="16" s="1"/>
  <c r="AI123" i="16"/>
  <c r="AN123" i="16" s="1"/>
  <c r="AI119" i="16"/>
  <c r="AN119" i="16" s="1"/>
  <c r="AI115" i="16"/>
  <c r="AN115" i="16" s="1"/>
  <c r="K126" i="16"/>
  <c r="P126" i="16" s="1"/>
  <c r="K122" i="16"/>
  <c r="P122" i="16" s="1"/>
  <c r="K118" i="16"/>
  <c r="P118" i="16" s="1"/>
  <c r="K114" i="16"/>
  <c r="P114" i="16" s="1"/>
  <c r="DC125" i="15"/>
  <c r="DH125" i="15" s="1"/>
  <c r="DC121" i="15"/>
  <c r="DH121" i="15" s="1"/>
  <c r="DC117" i="15"/>
  <c r="DH117" i="15" s="1"/>
  <c r="CE128" i="15"/>
  <c r="CJ128" i="15" s="1"/>
  <c r="CE124" i="15"/>
  <c r="CJ124" i="15" s="1"/>
  <c r="CE120" i="15"/>
  <c r="CJ120" i="15" s="1"/>
  <c r="CE116" i="15"/>
  <c r="CJ116" i="15" s="1"/>
  <c r="BG127" i="15"/>
  <c r="BL127" i="15" s="1"/>
  <c r="BG123" i="15"/>
  <c r="BL123" i="15" s="1"/>
  <c r="BG119" i="15"/>
  <c r="BL119" i="15" s="1"/>
  <c r="BG115" i="15"/>
  <c r="BL115" i="15" s="1"/>
  <c r="AI126" i="15"/>
  <c r="AN126" i="15" s="1"/>
  <c r="AI122" i="15"/>
  <c r="AN122" i="15" s="1"/>
  <c r="AI118" i="15"/>
  <c r="AN118" i="15" s="1"/>
  <c r="AI114" i="15"/>
  <c r="AN114" i="15" s="1"/>
  <c r="K125" i="15"/>
  <c r="P125" i="15" s="1"/>
  <c r="K121" i="15"/>
  <c r="P121" i="15" s="1"/>
  <c r="K117" i="15"/>
  <c r="P117" i="15" s="1"/>
  <c r="DC128" i="14"/>
  <c r="DH128" i="14" s="1"/>
  <c r="DC124" i="14"/>
  <c r="DH124" i="14" s="1"/>
  <c r="DC120" i="14"/>
  <c r="DH120" i="14" s="1"/>
  <c r="DC116" i="14"/>
  <c r="DH116" i="14" s="1"/>
  <c r="CE127" i="14"/>
  <c r="CJ127" i="14" s="1"/>
  <c r="CE123" i="14"/>
  <c r="CJ123" i="14" s="1"/>
  <c r="CE119" i="14"/>
  <c r="CJ119" i="14" s="1"/>
  <c r="CE115" i="14"/>
  <c r="CJ115" i="14" s="1"/>
  <c r="BG126" i="14"/>
  <c r="BL126" i="14" s="1"/>
  <c r="BG122" i="14"/>
  <c r="BL122" i="14" s="1"/>
  <c r="BG118" i="14"/>
  <c r="BL118" i="14" s="1"/>
  <c r="BG114" i="14"/>
  <c r="BL114" i="14" s="1"/>
  <c r="AI125" i="14"/>
  <c r="AN125" i="14" s="1"/>
  <c r="AI121" i="14"/>
  <c r="AN121" i="14" s="1"/>
  <c r="AI117" i="14"/>
  <c r="AN117" i="14" s="1"/>
  <c r="K128" i="14"/>
  <c r="P128" i="14" s="1"/>
  <c r="K124" i="14"/>
  <c r="P124" i="14" s="1"/>
  <c r="K120" i="14"/>
  <c r="P120" i="14" s="1"/>
  <c r="K116" i="14"/>
  <c r="P116" i="14" s="1"/>
  <c r="DC127" i="13"/>
  <c r="DH127" i="13" s="1"/>
  <c r="DC123" i="13"/>
  <c r="DH123" i="13" s="1"/>
  <c r="DC119" i="13"/>
  <c r="DH119" i="13" s="1"/>
  <c r="DC115" i="13"/>
  <c r="DH115" i="13" s="1"/>
  <c r="CE126" i="13"/>
  <c r="CJ126" i="13" s="1"/>
  <c r="CE122" i="13"/>
  <c r="CJ122" i="13" s="1"/>
  <c r="CE118" i="13"/>
  <c r="CJ118" i="13" s="1"/>
  <c r="CE114" i="13"/>
  <c r="CJ114" i="13" s="1"/>
  <c r="BG125" i="13"/>
  <c r="BL125" i="13" s="1"/>
  <c r="BG121" i="13"/>
  <c r="BL121" i="13" s="1"/>
  <c r="BG117" i="13"/>
  <c r="BL117" i="13" s="1"/>
  <c r="K116" i="13"/>
  <c r="P116" i="13" s="1"/>
  <c r="K120" i="13"/>
  <c r="P120" i="13" s="1"/>
  <c r="K124" i="13"/>
  <c r="P124" i="13" s="1"/>
  <c r="DC125" i="16"/>
  <c r="DH125" i="16" s="1"/>
  <c r="DC121" i="16"/>
  <c r="DH121" i="16" s="1"/>
  <c r="DC127" i="16"/>
  <c r="DH127" i="16" s="1"/>
  <c r="DC115" i="16"/>
  <c r="DH115" i="16" s="1"/>
  <c r="CE122" i="16"/>
  <c r="CJ122" i="16" s="1"/>
  <c r="CE114" i="16"/>
  <c r="CJ114" i="16" s="1"/>
  <c r="BG121" i="16"/>
  <c r="BL121" i="16" s="1"/>
  <c r="AI128" i="16"/>
  <c r="AN128" i="16" s="1"/>
  <c r="AI120" i="16"/>
  <c r="AN120" i="16" s="1"/>
  <c r="K127" i="16"/>
  <c r="P127" i="16" s="1"/>
  <c r="K119" i="16"/>
  <c r="P119" i="16" s="1"/>
  <c r="DC126" i="15"/>
  <c r="DH126" i="15" s="1"/>
  <c r="DC118" i="15"/>
  <c r="DH118" i="15" s="1"/>
  <c r="CE125" i="15"/>
  <c r="CJ125" i="15" s="1"/>
  <c r="CE117" i="15"/>
  <c r="CJ117" i="15" s="1"/>
  <c r="BG124" i="15"/>
  <c r="BL124" i="15" s="1"/>
  <c r="BG116" i="15"/>
  <c r="BL116" i="15" s="1"/>
  <c r="AI123" i="15"/>
  <c r="AN123" i="15" s="1"/>
  <c r="AI115" i="15"/>
  <c r="AN115" i="15" s="1"/>
  <c r="K122" i="15"/>
  <c r="P122" i="15" s="1"/>
  <c r="K114" i="15"/>
  <c r="P114" i="15" s="1"/>
  <c r="DC121" i="14"/>
  <c r="DH121" i="14" s="1"/>
  <c r="CE128" i="14"/>
  <c r="CJ128" i="14" s="1"/>
  <c r="CE120" i="14"/>
  <c r="CJ120" i="14" s="1"/>
  <c r="BG127" i="14"/>
  <c r="BL127" i="14" s="1"/>
  <c r="BG119" i="14"/>
  <c r="BL119" i="14" s="1"/>
  <c r="AI126" i="14"/>
  <c r="AN126" i="14" s="1"/>
  <c r="AI118" i="14"/>
  <c r="AN118" i="14" s="1"/>
  <c r="K125" i="14"/>
  <c r="P125" i="14" s="1"/>
  <c r="K117" i="14"/>
  <c r="P117" i="14" s="1"/>
  <c r="DC124" i="13"/>
  <c r="DH124" i="13" s="1"/>
  <c r="DC116" i="13"/>
  <c r="DH116" i="13" s="1"/>
  <c r="CE123" i="13"/>
  <c r="CJ123" i="13" s="1"/>
  <c r="CE115" i="13"/>
  <c r="CJ115" i="13" s="1"/>
  <c r="BG122" i="13"/>
  <c r="BL122" i="13" s="1"/>
  <c r="BG114" i="13"/>
  <c r="BL114" i="13" s="1"/>
  <c r="K115" i="13"/>
  <c r="P115" i="13" s="1"/>
  <c r="K123" i="13"/>
  <c r="P123" i="13" s="1"/>
  <c r="DC123" i="16"/>
  <c r="DH123" i="16" s="1"/>
  <c r="CE128" i="16"/>
  <c r="CJ128" i="16" s="1"/>
  <c r="CE120" i="16"/>
  <c r="CJ120" i="16" s="1"/>
  <c r="BG127" i="16"/>
  <c r="BL127" i="16" s="1"/>
  <c r="BG119" i="16"/>
  <c r="BL119" i="16" s="1"/>
  <c r="AI126" i="16"/>
  <c r="AN126" i="16" s="1"/>
  <c r="AI118" i="16"/>
  <c r="AN118" i="16" s="1"/>
  <c r="K125" i="16"/>
  <c r="P125" i="16" s="1"/>
  <c r="K117" i="16"/>
  <c r="P117" i="16" s="1"/>
  <c r="DC124" i="15"/>
  <c r="DH124" i="15" s="1"/>
  <c r="DC116" i="15"/>
  <c r="DH116" i="15" s="1"/>
  <c r="CE123" i="15"/>
  <c r="CJ123" i="15" s="1"/>
  <c r="CE115" i="15"/>
  <c r="CJ115" i="15" s="1"/>
  <c r="BG122" i="15"/>
  <c r="BL122" i="15" s="1"/>
  <c r="BG114" i="15"/>
  <c r="BL114" i="15" s="1"/>
  <c r="AI121" i="15"/>
  <c r="AN121" i="15" s="1"/>
  <c r="K128" i="15"/>
  <c r="P128" i="15" s="1"/>
  <c r="K120" i="15"/>
  <c r="P120" i="15" s="1"/>
  <c r="DC127" i="14"/>
  <c r="DH127" i="14" s="1"/>
  <c r="DC119" i="14"/>
  <c r="DH119" i="14" s="1"/>
  <c r="CE126" i="14"/>
  <c r="CJ126" i="14" s="1"/>
  <c r="CE118" i="14"/>
  <c r="CJ118" i="14" s="1"/>
  <c r="BG125" i="14"/>
  <c r="BL125" i="14" s="1"/>
  <c r="BG117" i="14"/>
  <c r="BL117" i="14" s="1"/>
  <c r="AI124" i="14"/>
  <c r="AN124" i="14" s="1"/>
  <c r="AI116" i="14"/>
  <c r="AN116" i="14" s="1"/>
  <c r="K123" i="14"/>
  <c r="P123" i="14" s="1"/>
  <c r="K115" i="14"/>
  <c r="P115" i="14" s="1"/>
  <c r="DC122" i="13"/>
  <c r="DH122" i="13" s="1"/>
  <c r="DC114" i="13"/>
  <c r="DH114" i="13" s="1"/>
  <c r="CE121" i="13"/>
  <c r="CJ121" i="13" s="1"/>
  <c r="BG128" i="13"/>
  <c r="BL128" i="13" s="1"/>
  <c r="BG120" i="13"/>
  <c r="BL120" i="13" s="1"/>
  <c r="K117" i="13"/>
  <c r="P117" i="13" s="1"/>
  <c r="K125" i="13"/>
  <c r="P125" i="13" s="1"/>
  <c r="DC119" i="16"/>
  <c r="DH119" i="16" s="1"/>
  <c r="CE126" i="16"/>
  <c r="CJ126" i="16" s="1"/>
  <c r="CE118" i="16"/>
  <c r="CJ118" i="16" s="1"/>
  <c r="DC117" i="16"/>
  <c r="DH117" i="16" s="1"/>
  <c r="BG123" i="16"/>
  <c r="BL123" i="16" s="1"/>
  <c r="AI122" i="16"/>
  <c r="AN122" i="16" s="1"/>
  <c r="K121" i="16"/>
  <c r="P121" i="16" s="1"/>
  <c r="DC120" i="15"/>
  <c r="DH120" i="15" s="1"/>
  <c r="CE119" i="15"/>
  <c r="CJ119" i="15" s="1"/>
  <c r="BG118" i="15"/>
  <c r="BL118" i="15" s="1"/>
  <c r="AI117" i="15"/>
  <c r="AN117" i="15" s="1"/>
  <c r="K116" i="15"/>
  <c r="P116" i="15" s="1"/>
  <c r="DC115" i="14"/>
  <c r="DH115" i="14" s="1"/>
  <c r="CE114" i="14"/>
  <c r="CJ114" i="14" s="1"/>
  <c r="AI128" i="14"/>
  <c r="AN128" i="14" s="1"/>
  <c r="K127" i="14"/>
  <c r="P127" i="14" s="1"/>
  <c r="DC126" i="13"/>
  <c r="DH126" i="13" s="1"/>
  <c r="CE125" i="13"/>
  <c r="CJ125" i="13" s="1"/>
  <c r="BG124" i="13"/>
  <c r="BL124" i="13" s="1"/>
  <c r="K121" i="13"/>
  <c r="P121" i="13" s="1"/>
  <c r="AI125" i="15"/>
  <c r="AN125" i="15" s="1"/>
  <c r="CE124" i="16"/>
  <c r="CJ124" i="16" s="1"/>
  <c r="BG117" i="16"/>
  <c r="BL117" i="16" s="1"/>
  <c r="AI116" i="16"/>
  <c r="AN116" i="16" s="1"/>
  <c r="K115" i="16"/>
  <c r="P115" i="16" s="1"/>
  <c r="DC114" i="15"/>
  <c r="DH114" i="15" s="1"/>
  <c r="BG128" i="15"/>
  <c r="BL128" i="15" s="1"/>
  <c r="AI127" i="15"/>
  <c r="AN127" i="15" s="1"/>
  <c r="K126" i="15"/>
  <c r="P126" i="15" s="1"/>
  <c r="DC125" i="14"/>
  <c r="DH125" i="14" s="1"/>
  <c r="CE124" i="14"/>
  <c r="CJ124" i="14" s="1"/>
  <c r="BG123" i="14"/>
  <c r="BL123" i="14" s="1"/>
  <c r="AI122" i="14"/>
  <c r="AN122" i="14" s="1"/>
  <c r="K121" i="14"/>
  <c r="P121" i="14" s="1"/>
  <c r="DC120" i="13"/>
  <c r="DH120" i="13" s="1"/>
  <c r="CE119" i="13"/>
  <c r="CJ119" i="13" s="1"/>
  <c r="BG118" i="13"/>
  <c r="BL118" i="13" s="1"/>
  <c r="K127" i="13"/>
  <c r="P127" i="13" s="1"/>
  <c r="CE116" i="16"/>
  <c r="CJ116" i="16" s="1"/>
  <c r="BG115" i="16"/>
  <c r="BL115" i="16" s="1"/>
  <c r="AI114" i="16"/>
  <c r="AN114" i="16" s="1"/>
  <c r="DC128" i="15"/>
  <c r="DH128" i="15" s="1"/>
  <c r="CE127" i="15"/>
  <c r="CJ127" i="15" s="1"/>
  <c r="BG126" i="15"/>
  <c r="BL126" i="15" s="1"/>
  <c r="K124" i="15"/>
  <c r="P124" i="15" s="1"/>
  <c r="DC123" i="14"/>
  <c r="DH123" i="14" s="1"/>
  <c r="CE122" i="14"/>
  <c r="CJ122" i="14" s="1"/>
  <c r="BG121" i="14"/>
  <c r="BL121" i="14" s="1"/>
  <c r="AI120" i="14"/>
  <c r="AN120" i="14" s="1"/>
  <c r="K119" i="14"/>
  <c r="P119" i="14" s="1"/>
  <c r="DC118" i="13"/>
  <c r="DH118" i="13" s="1"/>
  <c r="CE117" i="13"/>
  <c r="CJ117" i="13" s="1"/>
  <c r="BG116" i="13"/>
  <c r="BL116" i="13" s="1"/>
  <c r="K114" i="13"/>
  <c r="P114" i="13" s="1"/>
  <c r="BG125" i="16"/>
  <c r="BL125" i="16" s="1"/>
  <c r="AI124" i="16"/>
  <c r="AN124" i="16" s="1"/>
  <c r="K123" i="16"/>
  <c r="P123" i="16" s="1"/>
  <c r="DC122" i="15"/>
  <c r="DH122" i="15" s="1"/>
  <c r="CE121" i="15"/>
  <c r="CJ121" i="15" s="1"/>
  <c r="BG120" i="15"/>
  <c r="BL120" i="15" s="1"/>
  <c r="AI119" i="15"/>
  <c r="AN119" i="15" s="1"/>
  <c r="K118" i="15"/>
  <c r="P118" i="15" s="1"/>
  <c r="DC117" i="14"/>
  <c r="DH117" i="14" s="1"/>
  <c r="CE116" i="14"/>
  <c r="CJ116" i="14" s="1"/>
  <c r="BG115" i="14"/>
  <c r="BL115" i="14" s="1"/>
  <c r="AI114" i="14"/>
  <c r="AN114" i="14" s="1"/>
  <c r="DC128" i="13"/>
  <c r="DH128" i="13" s="1"/>
  <c r="CE127" i="13"/>
  <c r="CJ127" i="13" s="1"/>
  <c r="BG126" i="13"/>
  <c r="BL126" i="13" s="1"/>
  <c r="K119" i="13"/>
  <c r="P119" i="13" s="1"/>
  <c r="E44" i="22"/>
  <c r="H14" i="23" s="1"/>
  <c r="J14" i="23" s="1"/>
  <c r="E52" i="22"/>
  <c r="H22" i="23" s="1"/>
  <c r="J22" i="23" s="1"/>
  <c r="E40" i="22"/>
  <c r="H10" i="23" s="1"/>
  <c r="J10" i="23" s="1"/>
  <c r="E41" i="22"/>
  <c r="H11" i="23" s="1"/>
  <c r="J11" i="23" s="1"/>
  <c r="E50" i="22"/>
  <c r="H20" i="23" s="1"/>
  <c r="J20" i="23" s="1"/>
  <c r="E43" i="22"/>
  <c r="H13" i="23" s="1"/>
  <c r="J13" i="23" s="1"/>
  <c r="E45" i="22"/>
  <c r="H15" i="23" s="1"/>
  <c r="J15" i="23" s="1"/>
  <c r="E47" i="22"/>
  <c r="H17" i="23" s="1"/>
  <c r="J17" i="23" s="1"/>
  <c r="E49" i="22"/>
  <c r="H19" i="23" s="1"/>
  <c r="J19" i="23" s="1"/>
  <c r="E46" i="22"/>
  <c r="H16" i="23" s="1"/>
  <c r="J16" i="23" s="1"/>
  <c r="E39" i="22"/>
  <c r="H9" i="23" s="1"/>
  <c r="J9" i="23" s="1"/>
  <c r="E48" i="22"/>
  <c r="H18" i="23" s="1"/>
  <c r="J18" i="23" s="1"/>
  <c r="E38" i="22"/>
  <c r="H8" i="23" s="1"/>
  <c r="J8" i="23" s="1"/>
  <c r="E42" i="22"/>
  <c r="H12" i="23" s="1"/>
  <c r="J12" i="23" s="1"/>
  <c r="E51" i="22"/>
  <c r="H21" i="23" s="1"/>
  <c r="J21" i="23" s="1"/>
  <c r="R63" i="2"/>
  <c r="S21" i="8" s="1"/>
  <c r="K187" i="3"/>
  <c r="I67" i="1" s="1"/>
  <c r="I187" i="3"/>
  <c r="H67" i="1" s="1"/>
  <c r="R134" i="3"/>
  <c r="H187" i="3" s="1"/>
  <c r="G65" i="1" s="1"/>
  <c r="G67" i="1" s="1"/>
  <c r="K180" i="3"/>
  <c r="I59" i="1" s="1"/>
  <c r="I180" i="3"/>
  <c r="H59" i="1" s="1"/>
  <c r="H180" i="3"/>
  <c r="G59" i="1" s="1"/>
  <c r="G180" i="3"/>
  <c r="F59" i="1" s="1"/>
  <c r="F180" i="3"/>
  <c r="E59" i="1" s="1"/>
  <c r="K179" i="3"/>
  <c r="I58" i="1" s="1"/>
  <c r="I179" i="3"/>
  <c r="H58" i="1" s="1"/>
  <c r="G179" i="3"/>
  <c r="F58" i="1" s="1"/>
  <c r="F179" i="3"/>
  <c r="E58" i="1" s="1"/>
  <c r="K178" i="3"/>
  <c r="I178" i="3"/>
  <c r="K177" i="3"/>
  <c r="I56" i="1" s="1"/>
  <c r="I177" i="3"/>
  <c r="H56" i="1" s="1"/>
  <c r="H177" i="3"/>
  <c r="G56" i="1" s="1"/>
  <c r="G177" i="3"/>
  <c r="F56" i="1" s="1"/>
  <c r="F177" i="3"/>
  <c r="E56" i="1" s="1"/>
  <c r="K173" i="3"/>
  <c r="I52" i="1" s="1"/>
  <c r="I173" i="3"/>
  <c r="H52" i="1" s="1"/>
  <c r="H173" i="3"/>
  <c r="G52" i="1" s="1"/>
  <c r="G173" i="3"/>
  <c r="F52" i="1" s="1"/>
  <c r="F173" i="3"/>
  <c r="E52" i="1" s="1"/>
  <c r="R141" i="3"/>
  <c r="S140" i="3"/>
  <c r="S141" i="3" s="1"/>
  <c r="M134" i="3"/>
  <c r="G187" i="3" s="1"/>
  <c r="F65" i="1" s="1"/>
  <c r="F67" i="1" s="1"/>
  <c r="H134" i="3"/>
  <c r="S133" i="3"/>
  <c r="N133" i="3"/>
  <c r="I133" i="3"/>
  <c r="Q125" i="3"/>
  <c r="N125" i="3"/>
  <c r="L125" i="3"/>
  <c r="I125" i="3"/>
  <c r="G125" i="3"/>
  <c r="AC105" i="3"/>
  <c r="AB105" i="3"/>
  <c r="W105" i="3"/>
  <c r="R105" i="3"/>
  <c r="N104" i="3"/>
  <c r="I104" i="3"/>
  <c r="N103" i="3"/>
  <c r="I103" i="3"/>
  <c r="K176" i="3"/>
  <c r="S89" i="3"/>
  <c r="S105" i="3" s="1"/>
  <c r="Q105" i="3"/>
  <c r="H176" i="3" s="1"/>
  <c r="N80" i="3"/>
  <c r="I80" i="3"/>
  <c r="AC74" i="3"/>
  <c r="AA74" i="3"/>
  <c r="V74" i="3"/>
  <c r="S74" i="3"/>
  <c r="Q74" i="3"/>
  <c r="G74" i="3"/>
  <c r="G81" i="3" s="1"/>
  <c r="AB71" i="3"/>
  <c r="W71" i="3"/>
  <c r="AC71" i="3"/>
  <c r="K174" i="3"/>
  <c r="I53" i="1" s="1"/>
  <c r="X61" i="3"/>
  <c r="X71" i="3" s="1"/>
  <c r="V71" i="3"/>
  <c r="I174" i="3" s="1"/>
  <c r="H53" i="1" s="1"/>
  <c r="M71" i="3"/>
  <c r="L71" i="3"/>
  <c r="G174" i="3" s="1"/>
  <c r="F53" i="1" s="1"/>
  <c r="I57" i="3"/>
  <c r="I71" i="3" s="1"/>
  <c r="G71" i="3"/>
  <c r="F174" i="3" s="1"/>
  <c r="E53" i="1" s="1"/>
  <c r="S56" i="3"/>
  <c r="AB48" i="3"/>
  <c r="W48" i="3"/>
  <c r="M48" i="3"/>
  <c r="H48" i="3"/>
  <c r="AC48" i="3"/>
  <c r="X39" i="3"/>
  <c r="X48" i="3" s="1"/>
  <c r="R48" i="3"/>
  <c r="N39" i="3"/>
  <c r="I39" i="3"/>
  <c r="AB35" i="3"/>
  <c r="W35" i="3"/>
  <c r="S32" i="3"/>
  <c r="N32" i="3"/>
  <c r="I32" i="3"/>
  <c r="R35" i="3"/>
  <c r="N25" i="3"/>
  <c r="I25" i="3"/>
  <c r="AC15" i="3"/>
  <c r="X15" i="3"/>
  <c r="N15" i="3"/>
  <c r="I15" i="3"/>
  <c r="K186" i="3" l="1"/>
  <c r="F187" i="3"/>
  <c r="E65" i="1" s="1"/>
  <c r="E67" i="1" s="1"/>
  <c r="I55" i="1"/>
  <c r="G55" i="1"/>
  <c r="N74" i="3"/>
  <c r="N81" i="3" s="1"/>
  <c r="M81" i="3"/>
  <c r="X74" i="3"/>
  <c r="X81" i="3" s="1"/>
  <c r="W81" i="3"/>
  <c r="I74" i="3"/>
  <c r="H81" i="3"/>
  <c r="S81" i="3"/>
  <c r="L119" i="13"/>
  <c r="Q119" i="13" s="1"/>
  <c r="DD117" i="14"/>
  <c r="DI117" i="14" s="1"/>
  <c r="BH125" i="16"/>
  <c r="BM125" i="16" s="1"/>
  <c r="BH126" i="15"/>
  <c r="BM126" i="15" s="1"/>
  <c r="BH118" i="13"/>
  <c r="BM118" i="13" s="1"/>
  <c r="L126" i="15"/>
  <c r="Q126" i="15" s="1"/>
  <c r="AJ125" i="15"/>
  <c r="AO125" i="15" s="1"/>
  <c r="CF114" i="14"/>
  <c r="CK114" i="14" s="1"/>
  <c r="AJ122" i="16"/>
  <c r="AO122" i="16" s="1"/>
  <c r="L123" i="14"/>
  <c r="Q123" i="14" s="1"/>
  <c r="DD127" i="14"/>
  <c r="DI127" i="14" s="1"/>
  <c r="DD116" i="15"/>
  <c r="DI116" i="15" s="1"/>
  <c r="CF120" i="16"/>
  <c r="CK120" i="16" s="1"/>
  <c r="CF115" i="13"/>
  <c r="CK115" i="13" s="1"/>
  <c r="BH119" i="14"/>
  <c r="BM119" i="14" s="1"/>
  <c r="AJ123" i="15"/>
  <c r="AO123" i="15" s="1"/>
  <c r="L127" i="16"/>
  <c r="Q127" i="16" s="1"/>
  <c r="DD121" i="16"/>
  <c r="DI121" i="16" s="1"/>
  <c r="AJ124" i="13"/>
  <c r="AO124" i="13" s="1"/>
  <c r="CF126" i="13"/>
  <c r="CK126" i="13" s="1"/>
  <c r="L128" i="14"/>
  <c r="Q128" i="14" s="1"/>
  <c r="CF115" i="14"/>
  <c r="CK115" i="14" s="1"/>
  <c r="L117" i="15"/>
  <c r="Q117" i="15" s="1"/>
  <c r="BH119" i="15"/>
  <c r="BM119" i="15" s="1"/>
  <c r="DD121" i="15"/>
  <c r="DI121" i="15" s="1"/>
  <c r="BH124" i="16"/>
  <c r="BM124" i="16" s="1"/>
  <c r="DD126" i="16"/>
  <c r="DI126" i="16" s="1"/>
  <c r="BH115" i="13"/>
  <c r="BM115" i="13" s="1"/>
  <c r="DD117" i="13"/>
  <c r="DI117" i="13" s="1"/>
  <c r="AJ119" i="14"/>
  <c r="AO119" i="14" s="1"/>
  <c r="BH120" i="14"/>
  <c r="BM120" i="14" s="1"/>
  <c r="DD122" i="14"/>
  <c r="DI122" i="14" s="1"/>
  <c r="AJ124" i="15"/>
  <c r="AO124" i="15" s="1"/>
  <c r="CF126" i="15"/>
  <c r="CK126" i="15" s="1"/>
  <c r="L128" i="16"/>
  <c r="Q128" i="16" s="1"/>
  <c r="BH114" i="16"/>
  <c r="BM114" i="16" s="1"/>
  <c r="CF115" i="16"/>
  <c r="CK115" i="16" s="1"/>
  <c r="AJ125" i="13"/>
  <c r="AO125" i="13" s="1"/>
  <c r="L118" i="15"/>
  <c r="Q118" i="15" s="1"/>
  <c r="L114" i="13"/>
  <c r="Q114" i="13" s="1"/>
  <c r="CF127" i="15"/>
  <c r="CK127" i="15" s="1"/>
  <c r="CF119" i="13"/>
  <c r="CK119" i="13" s="1"/>
  <c r="AJ127" i="15"/>
  <c r="AO127" i="15" s="1"/>
  <c r="L121" i="13"/>
  <c r="Q121" i="13" s="1"/>
  <c r="CF119" i="15"/>
  <c r="CK119" i="15" s="1"/>
  <c r="DD119" i="16"/>
  <c r="DI119" i="16" s="1"/>
  <c r="DD114" i="13"/>
  <c r="DI114" i="13" s="1"/>
  <c r="CF118" i="14"/>
  <c r="CK118" i="14" s="1"/>
  <c r="BH122" i="15"/>
  <c r="BM122" i="15" s="1"/>
  <c r="AJ126" i="16"/>
  <c r="AO126" i="16" s="1"/>
  <c r="AJ121" i="13"/>
  <c r="AO121" i="13" s="1"/>
  <c r="L125" i="14"/>
  <c r="Q125" i="14" s="1"/>
  <c r="L114" i="15"/>
  <c r="Q114" i="15" s="1"/>
  <c r="BH116" i="15"/>
  <c r="BM116" i="15" s="1"/>
  <c r="AJ120" i="16"/>
  <c r="AO120" i="16" s="1"/>
  <c r="CF122" i="16"/>
  <c r="CK122" i="16" s="1"/>
  <c r="DD125" i="16"/>
  <c r="DI125" i="16" s="1"/>
  <c r="L116" i="13"/>
  <c r="Q116" i="13" s="1"/>
  <c r="CF114" i="13"/>
  <c r="CK114" i="13" s="1"/>
  <c r="DD115" i="13"/>
  <c r="DI115" i="13" s="1"/>
  <c r="AJ117" i="14"/>
  <c r="AO117" i="14" s="1"/>
  <c r="BH118" i="14"/>
  <c r="BM118" i="14" s="1"/>
  <c r="CF119" i="14"/>
  <c r="CK119" i="14" s="1"/>
  <c r="DD120" i="14"/>
  <c r="DI120" i="14" s="1"/>
  <c r="L121" i="15"/>
  <c r="Q121" i="15" s="1"/>
  <c r="AJ122" i="15"/>
  <c r="AO122" i="15" s="1"/>
  <c r="BH123" i="15"/>
  <c r="BM123" i="15" s="1"/>
  <c r="CF124" i="15"/>
  <c r="CK124" i="15" s="1"/>
  <c r="DD125" i="15"/>
  <c r="DI125" i="15" s="1"/>
  <c r="L126" i="16"/>
  <c r="Q126" i="16" s="1"/>
  <c r="AJ127" i="16"/>
  <c r="AO127" i="16" s="1"/>
  <c r="BH128" i="16"/>
  <c r="BM128" i="16" s="1"/>
  <c r="DD114" i="16"/>
  <c r="DI114" i="16" s="1"/>
  <c r="L126" i="13"/>
  <c r="Q126" i="13" s="1"/>
  <c r="AJ118" i="13"/>
  <c r="AO118" i="13" s="1"/>
  <c r="BH119" i="13"/>
  <c r="BM119" i="13" s="1"/>
  <c r="CF120" i="13"/>
  <c r="CK120" i="13" s="1"/>
  <c r="DD121" i="13"/>
  <c r="DI121" i="13" s="1"/>
  <c r="L122" i="14"/>
  <c r="Q122" i="14" s="1"/>
  <c r="AJ123" i="14"/>
  <c r="AO123" i="14" s="1"/>
  <c r="BH124" i="14"/>
  <c r="BM124" i="14" s="1"/>
  <c r="CF125" i="14"/>
  <c r="CK125" i="14" s="1"/>
  <c r="DD126" i="14"/>
  <c r="DI126" i="14" s="1"/>
  <c r="L127" i="15"/>
  <c r="Q127" i="15" s="1"/>
  <c r="AJ128" i="15"/>
  <c r="AO128" i="15" s="1"/>
  <c r="CF114" i="15"/>
  <c r="CK114" i="15" s="1"/>
  <c r="DD115" i="15"/>
  <c r="DI115" i="15" s="1"/>
  <c r="L116" i="16"/>
  <c r="Q116" i="16" s="1"/>
  <c r="AJ117" i="16"/>
  <c r="AO117" i="16" s="1"/>
  <c r="BH118" i="16"/>
  <c r="BM118" i="16" s="1"/>
  <c r="CF119" i="16"/>
  <c r="CK119" i="16" s="1"/>
  <c r="DD120" i="16"/>
  <c r="DI120" i="16" s="1"/>
  <c r="BH126" i="13"/>
  <c r="BM126" i="13" s="1"/>
  <c r="BH115" i="14"/>
  <c r="BM115" i="14" s="1"/>
  <c r="AJ119" i="15"/>
  <c r="AO119" i="15" s="1"/>
  <c r="L123" i="16"/>
  <c r="Q123" i="16" s="1"/>
  <c r="L119" i="14"/>
  <c r="Q119" i="14" s="1"/>
  <c r="DD123" i="14"/>
  <c r="DI123" i="14" s="1"/>
  <c r="DD128" i="15"/>
  <c r="DI128" i="15" s="1"/>
  <c r="L127" i="13"/>
  <c r="Q127" i="13" s="1"/>
  <c r="DD120" i="13"/>
  <c r="DI120" i="13" s="1"/>
  <c r="CF124" i="14"/>
  <c r="CK124" i="14" s="1"/>
  <c r="BH128" i="15"/>
  <c r="BM128" i="15" s="1"/>
  <c r="BH117" i="16"/>
  <c r="BM117" i="16" s="1"/>
  <c r="AJ123" i="13"/>
  <c r="AO123" i="13" s="1"/>
  <c r="L127" i="14"/>
  <c r="Q127" i="14" s="1"/>
  <c r="L116" i="15"/>
  <c r="Q116" i="15" s="1"/>
  <c r="DD120" i="15"/>
  <c r="DI120" i="15" s="1"/>
  <c r="DD117" i="16"/>
  <c r="DI117" i="16" s="1"/>
  <c r="L125" i="13"/>
  <c r="Q125" i="13" s="1"/>
  <c r="BH120" i="13"/>
  <c r="BM120" i="13" s="1"/>
  <c r="DD122" i="13"/>
  <c r="DI122" i="13" s="1"/>
  <c r="AJ124" i="14"/>
  <c r="AO124" i="14" s="1"/>
  <c r="CF126" i="14"/>
  <c r="CK126" i="14" s="1"/>
  <c r="L128" i="15"/>
  <c r="Q128" i="15" s="1"/>
  <c r="CF115" i="15"/>
  <c r="CK115" i="15" s="1"/>
  <c r="L117" i="16"/>
  <c r="Q117" i="16" s="1"/>
  <c r="BH119" i="16"/>
  <c r="BM119" i="16" s="1"/>
  <c r="DD123" i="16"/>
  <c r="DI123" i="16" s="1"/>
  <c r="BH114" i="13"/>
  <c r="BM114" i="13" s="1"/>
  <c r="DD116" i="13"/>
  <c r="DI116" i="13" s="1"/>
  <c r="AJ118" i="14"/>
  <c r="AO118" i="14" s="1"/>
  <c r="CF120" i="14"/>
  <c r="CK120" i="14" s="1"/>
  <c r="L122" i="15"/>
  <c r="Q122" i="15" s="1"/>
  <c r="BH124" i="15"/>
  <c r="BM124" i="15" s="1"/>
  <c r="DD126" i="15"/>
  <c r="DI126" i="15" s="1"/>
  <c r="AJ128" i="16"/>
  <c r="AO128" i="16" s="1"/>
  <c r="DD115" i="16"/>
  <c r="DI115" i="16" s="1"/>
  <c r="L128" i="13"/>
  <c r="Q128" i="13" s="1"/>
  <c r="BH117" i="13"/>
  <c r="BM117" i="13" s="1"/>
  <c r="CF118" i="13"/>
  <c r="CK118" i="13" s="1"/>
  <c r="DD119" i="13"/>
  <c r="DI119" i="13" s="1"/>
  <c r="L120" i="14"/>
  <c r="Q120" i="14" s="1"/>
  <c r="AJ121" i="14"/>
  <c r="AO121" i="14" s="1"/>
  <c r="BH122" i="14"/>
  <c r="BM122" i="14" s="1"/>
  <c r="CF123" i="14"/>
  <c r="CK123" i="14" s="1"/>
  <c r="DD124" i="14"/>
  <c r="DI124" i="14" s="1"/>
  <c r="L125" i="15"/>
  <c r="Q125" i="15" s="1"/>
  <c r="AJ126" i="15"/>
  <c r="AO126" i="15" s="1"/>
  <c r="BH127" i="15"/>
  <c r="BM127" i="15" s="1"/>
  <c r="CF128" i="15"/>
  <c r="CK128" i="15" s="1"/>
  <c r="L114" i="16"/>
  <c r="Q114" i="16" s="1"/>
  <c r="AJ115" i="16"/>
  <c r="AO115" i="16" s="1"/>
  <c r="BH116" i="16"/>
  <c r="BM116" i="16" s="1"/>
  <c r="CF117" i="16"/>
  <c r="CK117" i="16" s="1"/>
  <c r="DD118" i="16"/>
  <c r="DI118" i="16" s="1"/>
  <c r="L122" i="13"/>
  <c r="Q122" i="13" s="1"/>
  <c r="AJ122" i="13"/>
  <c r="AO122" i="13" s="1"/>
  <c r="BH123" i="13"/>
  <c r="BM123" i="13" s="1"/>
  <c r="CF124" i="13"/>
  <c r="CK124" i="13" s="1"/>
  <c r="DD125" i="13"/>
  <c r="DI125" i="13" s="1"/>
  <c r="L126" i="14"/>
  <c r="Q126" i="14" s="1"/>
  <c r="AJ127" i="14"/>
  <c r="AO127" i="14" s="1"/>
  <c r="BH128" i="14"/>
  <c r="BM128" i="14" s="1"/>
  <c r="DD114" i="14"/>
  <c r="DI114" i="14" s="1"/>
  <c r="L115" i="15"/>
  <c r="Q115" i="15" s="1"/>
  <c r="AJ116" i="15"/>
  <c r="AO116" i="15" s="1"/>
  <c r="BH117" i="15"/>
  <c r="BM117" i="15" s="1"/>
  <c r="CF118" i="15"/>
  <c r="CK118" i="15" s="1"/>
  <c r="DD119" i="15"/>
  <c r="DI119" i="15" s="1"/>
  <c r="L120" i="16"/>
  <c r="Q120" i="16" s="1"/>
  <c r="AJ121" i="16"/>
  <c r="AO121" i="16" s="1"/>
  <c r="BH122" i="16"/>
  <c r="BM122" i="16" s="1"/>
  <c r="CF123" i="16"/>
  <c r="CK123" i="16" s="1"/>
  <c r="DD124" i="16"/>
  <c r="DI124" i="16" s="1"/>
  <c r="DD128" i="13"/>
  <c r="DI128" i="13" s="1"/>
  <c r="CF121" i="15"/>
  <c r="CK121" i="15" s="1"/>
  <c r="CF117" i="13"/>
  <c r="CK117" i="13" s="1"/>
  <c r="BH121" i="14"/>
  <c r="BM121" i="14" s="1"/>
  <c r="BH115" i="16"/>
  <c r="BM115" i="16" s="1"/>
  <c r="AJ122" i="14"/>
  <c r="AO122" i="14" s="1"/>
  <c r="L115" i="16"/>
  <c r="Q115" i="16" s="1"/>
  <c r="CF125" i="13"/>
  <c r="CK125" i="13" s="1"/>
  <c r="BH118" i="15"/>
  <c r="BM118" i="15" s="1"/>
  <c r="CF126" i="16"/>
  <c r="CK126" i="16" s="1"/>
  <c r="CF121" i="13"/>
  <c r="CK121" i="13" s="1"/>
  <c r="BH125" i="14"/>
  <c r="BM125" i="14" s="1"/>
  <c r="BH114" i="15"/>
  <c r="BM114" i="15" s="1"/>
  <c r="AJ118" i="16"/>
  <c r="AO118" i="16" s="1"/>
  <c r="L115" i="13"/>
  <c r="Q115" i="13" s="1"/>
  <c r="L117" i="14"/>
  <c r="Q117" i="14" s="1"/>
  <c r="DD121" i="14"/>
  <c r="DI121" i="14" s="1"/>
  <c r="CF125" i="15"/>
  <c r="CK125" i="15" s="1"/>
  <c r="CF114" i="16"/>
  <c r="CK114" i="16" s="1"/>
  <c r="L120" i="13"/>
  <c r="Q120" i="13" s="1"/>
  <c r="BH125" i="13"/>
  <c r="BM125" i="13" s="1"/>
  <c r="DD127" i="13"/>
  <c r="DI127" i="13" s="1"/>
  <c r="BH114" i="14"/>
  <c r="BM114" i="14" s="1"/>
  <c r="DD116" i="14"/>
  <c r="DI116" i="14" s="1"/>
  <c r="AJ118" i="15"/>
  <c r="AO118" i="15" s="1"/>
  <c r="CF120" i="15"/>
  <c r="CK120" i="15" s="1"/>
  <c r="L122" i="16"/>
  <c r="Q122" i="16" s="1"/>
  <c r="AJ123" i="16"/>
  <c r="AO123" i="16" s="1"/>
  <c r="CF125" i="16"/>
  <c r="CK125" i="16" s="1"/>
  <c r="CF116" i="13"/>
  <c r="CK116" i="13" s="1"/>
  <c r="L118" i="14"/>
  <c r="Q118" i="14" s="1"/>
  <c r="CF121" i="14"/>
  <c r="CK121" i="14" s="1"/>
  <c r="L123" i="15"/>
  <c r="Q123" i="15" s="1"/>
  <c r="BH125" i="15"/>
  <c r="BM125" i="15" s="1"/>
  <c r="DD127" i="15"/>
  <c r="DI127" i="15" s="1"/>
  <c r="DD116" i="16"/>
  <c r="DI116" i="16" s="1"/>
  <c r="AJ114" i="14"/>
  <c r="AO114" i="14" s="1"/>
  <c r="DD122" i="15"/>
  <c r="DI122" i="15" s="1"/>
  <c r="DD118" i="13"/>
  <c r="DI118" i="13" s="1"/>
  <c r="CF122" i="14"/>
  <c r="CK122" i="14" s="1"/>
  <c r="CF116" i="16"/>
  <c r="CK116" i="16" s="1"/>
  <c r="BH123" i="14"/>
  <c r="BM123" i="14" s="1"/>
  <c r="AJ116" i="16"/>
  <c r="AO116" i="16" s="1"/>
  <c r="DD126" i="13"/>
  <c r="DI126" i="13" s="1"/>
  <c r="DD115" i="14"/>
  <c r="DI115" i="14" s="1"/>
  <c r="BH123" i="16"/>
  <c r="BM123" i="16" s="1"/>
  <c r="AJ127" i="13"/>
  <c r="AO127" i="13" s="1"/>
  <c r="AJ116" i="14"/>
  <c r="AO116" i="14" s="1"/>
  <c r="L120" i="15"/>
  <c r="Q120" i="15" s="1"/>
  <c r="DD124" i="15"/>
  <c r="DI124" i="15" s="1"/>
  <c r="CF128" i="16"/>
  <c r="CK128" i="16" s="1"/>
  <c r="CF123" i="13"/>
  <c r="CK123" i="13" s="1"/>
  <c r="BH127" i="14"/>
  <c r="BM127" i="14" s="1"/>
  <c r="DD118" i="15"/>
  <c r="DI118" i="15" s="1"/>
  <c r="L116" i="14"/>
  <c r="Q116" i="14" s="1"/>
  <c r="CF127" i="13"/>
  <c r="CK127" i="13" s="1"/>
  <c r="CF116" i="14"/>
  <c r="CK116" i="14" s="1"/>
  <c r="BH120" i="15"/>
  <c r="BM120" i="15" s="1"/>
  <c r="AJ124" i="16"/>
  <c r="AO124" i="16" s="1"/>
  <c r="BH116" i="13"/>
  <c r="BM116" i="13" s="1"/>
  <c r="AJ120" i="14"/>
  <c r="AO120" i="14" s="1"/>
  <c r="L124" i="15"/>
  <c r="Q124" i="15" s="1"/>
  <c r="AJ114" i="16"/>
  <c r="AO114" i="16" s="1"/>
  <c r="L121" i="14"/>
  <c r="Q121" i="14" s="1"/>
  <c r="DD125" i="14"/>
  <c r="DI125" i="14" s="1"/>
  <c r="DD114" i="15"/>
  <c r="DI114" i="15" s="1"/>
  <c r="CF124" i="16"/>
  <c r="CK124" i="16" s="1"/>
  <c r="BH124" i="13"/>
  <c r="BM124" i="13" s="1"/>
  <c r="AJ128" i="14"/>
  <c r="AO128" i="14" s="1"/>
  <c r="AJ117" i="15"/>
  <c r="AO117" i="15" s="1"/>
  <c r="L121" i="16"/>
  <c r="Q121" i="16" s="1"/>
  <c r="CF118" i="16"/>
  <c r="CK118" i="16" s="1"/>
  <c r="L117" i="13"/>
  <c r="Q117" i="13" s="1"/>
  <c r="BH128" i="13"/>
  <c r="BM128" i="13" s="1"/>
  <c r="L115" i="14"/>
  <c r="Q115" i="14" s="1"/>
  <c r="BH117" i="14"/>
  <c r="BM117" i="14" s="1"/>
  <c r="DD119" i="14"/>
  <c r="DI119" i="14" s="1"/>
  <c r="AJ121" i="15"/>
  <c r="AO121" i="15" s="1"/>
  <c r="CF123" i="15"/>
  <c r="CK123" i="15" s="1"/>
  <c r="L125" i="16"/>
  <c r="Q125" i="16" s="1"/>
  <c r="BH127" i="16"/>
  <c r="BM127" i="16" s="1"/>
  <c r="L123" i="13"/>
  <c r="Q123" i="13" s="1"/>
  <c r="BH122" i="13"/>
  <c r="BM122" i="13" s="1"/>
  <c r="DD124" i="13"/>
  <c r="DI124" i="13" s="1"/>
  <c r="AJ126" i="14"/>
  <c r="AO126" i="14" s="1"/>
  <c r="CF128" i="14"/>
  <c r="CK128" i="14" s="1"/>
  <c r="AJ115" i="15"/>
  <c r="AO115" i="15" s="1"/>
  <c r="CF117" i="15"/>
  <c r="CK117" i="15" s="1"/>
  <c r="L119" i="16"/>
  <c r="Q119" i="16" s="1"/>
  <c r="BH121" i="16"/>
  <c r="BM121" i="16" s="1"/>
  <c r="DD127" i="16"/>
  <c r="DI127" i="16" s="1"/>
  <c r="L124" i="13"/>
  <c r="Q124" i="13" s="1"/>
  <c r="AJ120" i="13"/>
  <c r="AO120" i="13" s="1"/>
  <c r="BH121" i="13"/>
  <c r="BM121" i="13" s="1"/>
  <c r="CF122" i="13"/>
  <c r="CK122" i="13" s="1"/>
  <c r="DD123" i="13"/>
  <c r="DI123" i="13" s="1"/>
  <c r="L124" i="14"/>
  <c r="Q124" i="14" s="1"/>
  <c r="AJ125" i="14"/>
  <c r="AO125" i="14" s="1"/>
  <c r="BH126" i="14"/>
  <c r="BM126" i="14" s="1"/>
  <c r="CF127" i="14"/>
  <c r="CK127" i="14" s="1"/>
  <c r="DD128" i="14"/>
  <c r="DI128" i="14" s="1"/>
  <c r="AJ114" i="15"/>
  <c r="AO114" i="15" s="1"/>
  <c r="BH115" i="15"/>
  <c r="BM115" i="15" s="1"/>
  <c r="CF116" i="15"/>
  <c r="CK116" i="15" s="1"/>
  <c r="DD117" i="15"/>
  <c r="DI117" i="15" s="1"/>
  <c r="L118" i="16"/>
  <c r="Q118" i="16" s="1"/>
  <c r="AJ119" i="16"/>
  <c r="AO119" i="16" s="1"/>
  <c r="BH120" i="16"/>
  <c r="BM120" i="16" s="1"/>
  <c r="CF121" i="16"/>
  <c r="CK121" i="16" s="1"/>
  <c r="DD122" i="16"/>
  <c r="DI122" i="16" s="1"/>
  <c r="L118" i="13"/>
  <c r="Q118" i="13" s="1"/>
  <c r="AJ126" i="13"/>
  <c r="AO126" i="13" s="1"/>
  <c r="BH127" i="13"/>
  <c r="BM127" i="13" s="1"/>
  <c r="CF128" i="13"/>
  <c r="CK128" i="13" s="1"/>
  <c r="L114" i="14"/>
  <c r="Q114" i="14" s="1"/>
  <c r="AJ115" i="14"/>
  <c r="AO115" i="14" s="1"/>
  <c r="BH116" i="14"/>
  <c r="BM116" i="14" s="1"/>
  <c r="CF117" i="14"/>
  <c r="CK117" i="14" s="1"/>
  <c r="DD118" i="14"/>
  <c r="DI118" i="14" s="1"/>
  <c r="L119" i="15"/>
  <c r="Q119" i="15" s="1"/>
  <c r="AJ120" i="15"/>
  <c r="AO120" i="15" s="1"/>
  <c r="BH121" i="15"/>
  <c r="BM121" i="15" s="1"/>
  <c r="CF122" i="15"/>
  <c r="CK122" i="15" s="1"/>
  <c r="DD123" i="15"/>
  <c r="DI123" i="15" s="1"/>
  <c r="L124" i="16"/>
  <c r="Q124" i="16" s="1"/>
  <c r="AJ125" i="16"/>
  <c r="AO125" i="16" s="1"/>
  <c r="BH126" i="16"/>
  <c r="BM126" i="16" s="1"/>
  <c r="CF127" i="16"/>
  <c r="CK127" i="16" s="1"/>
  <c r="DD128" i="16"/>
  <c r="DI128" i="16" s="1"/>
  <c r="H172" i="3"/>
  <c r="G51" i="1" s="1"/>
  <c r="AA48" i="3"/>
  <c r="K172" i="3" s="1"/>
  <c r="I51" i="1" s="1"/>
  <c r="G39" i="3"/>
  <c r="G48" i="3" s="1"/>
  <c r="V39" i="3"/>
  <c r="V48" i="3" s="1"/>
  <c r="I172" i="3" s="1"/>
  <c r="H51" i="1" s="1"/>
  <c r="L39" i="3"/>
  <c r="L48" i="3" s="1"/>
  <c r="G172" i="3" s="1"/>
  <c r="F51" i="1" s="1"/>
  <c r="Q140" i="3"/>
  <c r="Q141" i="3" s="1"/>
  <c r="H179" i="3" s="1"/>
  <c r="G58" i="1" s="1"/>
  <c r="L74" i="3"/>
  <c r="W44" i="10"/>
  <c r="AB44" i="10" s="1"/>
  <c r="AC44" i="10" s="1"/>
  <c r="AD44" i="10" s="1"/>
  <c r="W52" i="10"/>
  <c r="AB52" i="10" s="1"/>
  <c r="AC52" i="10" s="1"/>
  <c r="AD52" i="10" s="1"/>
  <c r="W54" i="10"/>
  <c r="AB54" i="10" s="1"/>
  <c r="AC54" i="10" s="1"/>
  <c r="AD54" i="10" s="1"/>
  <c r="W47" i="10"/>
  <c r="AB47" i="10" s="1"/>
  <c r="AC47" i="10" s="1"/>
  <c r="AD47" i="10" s="1"/>
  <c r="W45" i="10"/>
  <c r="AB45" i="10" s="1"/>
  <c r="AC45" i="10" s="1"/>
  <c r="AD45" i="10" s="1"/>
  <c r="W53" i="10"/>
  <c r="AB53" i="10" s="1"/>
  <c r="AC53" i="10" s="1"/>
  <c r="AD53" i="10" s="1"/>
  <c r="W46" i="10"/>
  <c r="AB46" i="10" s="1"/>
  <c r="AC46" i="10" s="1"/>
  <c r="AD46" i="10" s="1"/>
  <c r="W40" i="10"/>
  <c r="AB40" i="10" s="1"/>
  <c r="AC40" i="10" s="1"/>
  <c r="AD40" i="10" s="1"/>
  <c r="W48" i="10"/>
  <c r="AB48" i="10" s="1"/>
  <c r="AC48" i="10" s="1"/>
  <c r="AD48" i="10" s="1"/>
  <c r="W42" i="10"/>
  <c r="AB42" i="10" s="1"/>
  <c r="AC42" i="10" s="1"/>
  <c r="AD42" i="10" s="1"/>
  <c r="W50" i="10"/>
  <c r="AB50" i="10" s="1"/>
  <c r="AC50" i="10" s="1"/>
  <c r="AD50" i="10" s="1"/>
  <c r="W41" i="10"/>
  <c r="AB41" i="10" s="1"/>
  <c r="AC41" i="10" s="1"/>
  <c r="AD41" i="10" s="1"/>
  <c r="W49" i="10"/>
  <c r="AB49" i="10" s="1"/>
  <c r="AC49" i="10" s="1"/>
  <c r="AD49" i="10" s="1"/>
  <c r="W43" i="10"/>
  <c r="AB43" i="10" s="1"/>
  <c r="AC43" i="10" s="1"/>
  <c r="AD43" i="10" s="1"/>
  <c r="W51" i="10"/>
  <c r="AB51" i="10" s="1"/>
  <c r="AC51" i="10" s="1"/>
  <c r="AD51" i="10" s="1"/>
  <c r="L134" i="3"/>
  <c r="G178" i="3" s="1"/>
  <c r="G184" i="3" s="1"/>
  <c r="H105" i="3"/>
  <c r="Q71" i="3"/>
  <c r="H174" i="3" s="1"/>
  <c r="G53" i="1" s="1"/>
  <c r="Q134" i="3"/>
  <c r="H178" i="3" s="1"/>
  <c r="G57" i="1" s="1"/>
  <c r="AA35" i="3"/>
  <c r="K171" i="3" s="1"/>
  <c r="I50" i="1" s="1"/>
  <c r="AB8" i="3"/>
  <c r="I184" i="3"/>
  <c r="H75" i="1" s="1"/>
  <c r="H57" i="1"/>
  <c r="K184" i="3"/>
  <c r="I75" i="1" s="1"/>
  <c r="I57" i="1"/>
  <c r="G35" i="3"/>
  <c r="F171" i="3" s="1"/>
  <c r="E50" i="1" s="1"/>
  <c r="S35" i="3"/>
  <c r="G105" i="3"/>
  <c r="F176" i="3" s="1"/>
  <c r="AA81" i="3"/>
  <c r="I81" i="3"/>
  <c r="AC81" i="3"/>
  <c r="M105" i="3"/>
  <c r="I64" i="1"/>
  <c r="I66" i="1" s="1"/>
  <c r="I68" i="1" s="1"/>
  <c r="Q35" i="3"/>
  <c r="H171" i="3" s="1"/>
  <c r="G50" i="1" s="1"/>
  <c r="L35" i="3"/>
  <c r="G171" i="3" s="1"/>
  <c r="F50" i="1" s="1"/>
  <c r="N48" i="3"/>
  <c r="S71" i="3"/>
  <c r="V81" i="3"/>
  <c r="R81" i="3"/>
  <c r="H186" i="3" s="1"/>
  <c r="V105" i="3"/>
  <c r="N57" i="3"/>
  <c r="N71" i="3" s="1"/>
  <c r="X105" i="3"/>
  <c r="G134" i="3"/>
  <c r="F178" i="3" s="1"/>
  <c r="N134" i="3"/>
  <c r="AC35" i="3"/>
  <c r="L105" i="3"/>
  <c r="G176" i="3" s="1"/>
  <c r="I35" i="3"/>
  <c r="X35" i="3"/>
  <c r="R71" i="3"/>
  <c r="Q81" i="3"/>
  <c r="N84" i="3"/>
  <c r="N105" i="3" s="1"/>
  <c r="I134" i="3"/>
  <c r="V35" i="3"/>
  <c r="I171" i="3" s="1"/>
  <c r="S125" i="3"/>
  <c r="S134" i="3" s="1"/>
  <c r="N35" i="3"/>
  <c r="S48" i="3"/>
  <c r="I48" i="3"/>
  <c r="H71" i="3"/>
  <c r="F186" i="3" s="1"/>
  <c r="M35" i="3"/>
  <c r="G186" i="3" s="1"/>
  <c r="I84" i="3"/>
  <c r="I105" i="3" s="1"/>
  <c r="W8" i="3" l="1"/>
  <c r="I186" i="3"/>
  <c r="H50" i="1"/>
  <c r="F55" i="1"/>
  <c r="E55" i="1"/>
  <c r="L81" i="3"/>
  <c r="G175" i="3" s="1"/>
  <c r="G64" i="1"/>
  <c r="G66" i="1" s="1"/>
  <c r="G68" i="1" s="1"/>
  <c r="F172" i="3"/>
  <c r="E51" i="1" s="1"/>
  <c r="F61" i="1"/>
  <c r="F75" i="1" s="1"/>
  <c r="F28" i="8" s="1"/>
  <c r="H8" i="3"/>
  <c r="R8" i="3"/>
  <c r="X51" i="10"/>
  <c r="E73" i="22" s="1"/>
  <c r="Q19" i="23" s="1"/>
  <c r="X53" i="10"/>
  <c r="E75" i="22" s="1"/>
  <c r="Q21" i="23" s="1"/>
  <c r="X49" i="10"/>
  <c r="E71" i="22" s="1"/>
  <c r="Q17" i="23" s="1"/>
  <c r="X50" i="10"/>
  <c r="E72" i="22" s="1"/>
  <c r="Q18" i="23" s="1"/>
  <c r="X47" i="10"/>
  <c r="E69" i="22" s="1"/>
  <c r="Q15" i="23" s="1"/>
  <c r="X43" i="10"/>
  <c r="E65" i="22" s="1"/>
  <c r="Q11" i="23" s="1"/>
  <c r="X45" i="10"/>
  <c r="E67" i="22" s="1"/>
  <c r="Q13" i="23" s="1"/>
  <c r="X54" i="10"/>
  <c r="E76" i="22" s="1"/>
  <c r="Q22" i="23" s="1"/>
  <c r="X48" i="10"/>
  <c r="E70" i="22" s="1"/>
  <c r="Q16" i="23" s="1"/>
  <c r="X52" i="10"/>
  <c r="E74" i="22" s="1"/>
  <c r="Q20" i="23" s="1"/>
  <c r="X46" i="10"/>
  <c r="E68" i="22" s="1"/>
  <c r="Q14" i="23" s="1"/>
  <c r="X41" i="10"/>
  <c r="E63" i="22" s="1"/>
  <c r="Q9" i="23" s="1"/>
  <c r="X42" i="10"/>
  <c r="E64" i="22" s="1"/>
  <c r="Q10" i="23" s="1"/>
  <c r="X40" i="10"/>
  <c r="E62" i="22" s="1"/>
  <c r="Q8" i="23" s="1"/>
  <c r="X44" i="10"/>
  <c r="E66" i="22" s="1"/>
  <c r="Q12" i="23" s="1"/>
  <c r="F57" i="1"/>
  <c r="H184" i="3"/>
  <c r="I176" i="3"/>
  <c r="H55" i="1" s="1"/>
  <c r="W10" i="3"/>
  <c r="M8" i="3"/>
  <c r="F184" i="3"/>
  <c r="E57" i="1"/>
  <c r="I175" i="3"/>
  <c r="F175" i="3"/>
  <c r="E54" i="1" s="1"/>
  <c r="H10" i="3"/>
  <c r="H175" i="3"/>
  <c r="R10" i="3"/>
  <c r="K175" i="3"/>
  <c r="AB10" i="3"/>
  <c r="AB9" i="3"/>
  <c r="W9" i="3"/>
  <c r="M9" i="3"/>
  <c r="R9" i="3"/>
  <c r="H9" i="3"/>
  <c r="F64" i="1"/>
  <c r="F66" i="1" s="1"/>
  <c r="F68" i="1" s="1"/>
  <c r="H64" i="1"/>
  <c r="H66" i="1" s="1"/>
  <c r="H68" i="1" s="1"/>
  <c r="E64" i="1"/>
  <c r="E66" i="1" s="1"/>
  <c r="E68" i="1" s="1"/>
  <c r="H183" i="3" l="1"/>
  <c r="G54" i="1"/>
  <c r="I181" i="3"/>
  <c r="H54" i="1"/>
  <c r="K183" i="3"/>
  <c r="I60" i="1" s="1"/>
  <c r="I54" i="1"/>
  <c r="G183" i="3"/>
  <c r="F60" i="1" s="1"/>
  <c r="F62" i="1" s="1"/>
  <c r="F54" i="1"/>
  <c r="M10" i="3"/>
  <c r="F183" i="3"/>
  <c r="E60" i="1" s="1"/>
  <c r="E74" i="1" s="1"/>
  <c r="E27" i="8" s="1"/>
  <c r="K181" i="3"/>
  <c r="H181" i="3"/>
  <c r="I183" i="3"/>
  <c r="H60" i="1" s="1"/>
  <c r="G181" i="3"/>
  <c r="F181" i="3"/>
  <c r="G61" i="1"/>
  <c r="G75" i="1" s="1"/>
  <c r="G28" i="8" s="1"/>
  <c r="E61" i="1"/>
  <c r="E75" i="1" s="1"/>
  <c r="E28" i="8" s="1"/>
  <c r="G60" i="1"/>
  <c r="W11" i="3"/>
  <c r="R11" i="3"/>
  <c r="H11" i="3"/>
  <c r="AB11" i="3"/>
  <c r="M11" i="3"/>
  <c r="F74" i="1" l="1"/>
  <c r="F27" i="8" s="1"/>
  <c r="E62" i="1"/>
  <c r="G73" i="1"/>
  <c r="G26" i="8" s="1"/>
  <c r="H62" i="1"/>
  <c r="H74" i="1"/>
  <c r="H27" i="8" s="1"/>
  <c r="I62" i="1"/>
  <c r="I74" i="1"/>
  <c r="I27" i="8" s="1"/>
  <c r="G62" i="1"/>
  <c r="G74" i="1"/>
  <c r="G27" i="8" s="1"/>
  <c r="H21" i="1"/>
  <c r="H16" i="8" s="1"/>
  <c r="G19" i="1"/>
  <c r="G14" i="8" s="1"/>
  <c r="F19" i="1"/>
  <c r="F14" i="8" s="1"/>
  <c r="E19" i="1"/>
  <c r="E14" i="8" s="1"/>
  <c r="E72" i="1"/>
  <c r="E25" i="8" s="1"/>
  <c r="H45" i="1"/>
  <c r="F76" i="1" l="1"/>
  <c r="F29" i="8" s="1"/>
  <c r="F72" i="1"/>
  <c r="F25" i="8" s="1"/>
  <c r="I45" i="1"/>
  <c r="I22" i="8" s="1"/>
  <c r="I80" i="1"/>
  <c r="I37" i="8" s="1"/>
  <c r="H80" i="1"/>
  <c r="H37" i="8" s="1"/>
  <c r="H82" i="1"/>
  <c r="H39" i="8" s="1"/>
  <c r="I76" i="1"/>
  <c r="H76" i="1"/>
  <c r="G76" i="1"/>
  <c r="G72" i="1"/>
  <c r="G25" i="8" s="1"/>
  <c r="I72" i="1"/>
  <c r="I25" i="8" s="1"/>
  <c r="E22" i="1"/>
  <c r="E17" i="8" s="1"/>
  <c r="E73" i="1"/>
  <c r="E26" i="8" s="1"/>
  <c r="F73" i="1"/>
  <c r="F26" i="8" s="1"/>
  <c r="H72" i="1"/>
  <c r="H25" i="8" s="1"/>
  <c r="F22" i="1"/>
  <c r="F17" i="8" s="1"/>
  <c r="G22" i="1"/>
  <c r="G17" i="8" s="1"/>
  <c r="E42" i="1"/>
  <c r="E45" i="1" s="1"/>
  <c r="F42" i="1"/>
  <c r="F46" i="1" s="1"/>
  <c r="F23" i="8" s="1"/>
  <c r="E76" i="1"/>
  <c r="E20" i="1"/>
  <c r="E15" i="8" s="1"/>
  <c r="G42" i="1"/>
  <c r="G46" i="1" s="1"/>
  <c r="G23" i="8" s="1"/>
  <c r="G20" i="1"/>
  <c r="I19" i="1"/>
  <c r="I14" i="8" s="1"/>
  <c r="H19" i="1"/>
  <c r="H14" i="8" s="1"/>
  <c r="G21" i="1"/>
  <c r="G16" i="8" s="1"/>
  <c r="F21" i="1"/>
  <c r="F16" i="8" s="1"/>
  <c r="H23" i="1"/>
  <c r="H18" i="8" s="1"/>
  <c r="G28" i="18" s="1"/>
  <c r="I23" i="1"/>
  <c r="I18" i="8" s="1"/>
  <c r="H28" i="18" s="1"/>
  <c r="E21" i="1"/>
  <c r="E16" i="8" s="1"/>
  <c r="F20" i="1"/>
  <c r="F15" i="8" s="1"/>
  <c r="E20" i="18" l="1"/>
  <c r="E46" i="1"/>
  <c r="E23" i="8" s="1"/>
  <c r="E22" i="8"/>
  <c r="F45" i="1"/>
  <c r="F22" i="8" s="1"/>
  <c r="G45" i="1"/>
  <c r="G22" i="8" s="1"/>
  <c r="G41" i="9"/>
  <c r="G39" i="9"/>
  <c r="G51" i="9"/>
  <c r="G47" i="9"/>
  <c r="G43" i="9"/>
  <c r="H147" i="9" s="1"/>
  <c r="G50" i="9"/>
  <c r="G46" i="9"/>
  <c r="G42" i="9"/>
  <c r="G48" i="9"/>
  <c r="H152" i="9" s="1"/>
  <c r="G49" i="9"/>
  <c r="G53" i="9"/>
  <c r="H157" i="9" s="1"/>
  <c r="G40" i="9"/>
  <c r="G45" i="9"/>
  <c r="G52" i="9"/>
  <c r="G44" i="9"/>
  <c r="G54" i="9"/>
  <c r="G29" i="8"/>
  <c r="F20" i="18"/>
  <c r="H29" i="8"/>
  <c r="G96" i="9" s="1"/>
  <c r="G20" i="18"/>
  <c r="I29" i="8"/>
  <c r="G131" i="9" s="1"/>
  <c r="H20" i="18"/>
  <c r="E29" i="8"/>
  <c r="D20" i="18"/>
  <c r="G15" i="8"/>
  <c r="H81" i="1"/>
  <c r="H22" i="8"/>
  <c r="E95" i="9"/>
  <c r="E103" i="9"/>
  <c r="E96" i="9"/>
  <c r="E104" i="9"/>
  <c r="E99" i="9"/>
  <c r="E97" i="9"/>
  <c r="F149" i="9" s="1"/>
  <c r="E105" i="9"/>
  <c r="E106" i="9"/>
  <c r="E94" i="9"/>
  <c r="E102" i="9"/>
  <c r="F154" i="9" s="1"/>
  <c r="E98" i="9"/>
  <c r="E92" i="9"/>
  <c r="F144" i="9" s="1"/>
  <c r="E100" i="9"/>
  <c r="E101" i="9"/>
  <c r="E91" i="9"/>
  <c r="E93" i="9"/>
  <c r="H43" i="1"/>
  <c r="H20" i="8" s="1"/>
  <c r="E121" i="9"/>
  <c r="E129" i="9"/>
  <c r="F155" i="9" s="1"/>
  <c r="E132" i="9"/>
  <c r="E125" i="9"/>
  <c r="E122" i="9"/>
  <c r="E130" i="9"/>
  <c r="E124" i="9"/>
  <c r="F150" i="9" s="1"/>
  <c r="E123" i="9"/>
  <c r="E131" i="9"/>
  <c r="E117" i="9"/>
  <c r="E120" i="9"/>
  <c r="E128" i="9"/>
  <c r="E119" i="9"/>
  <c r="F145" i="9" s="1"/>
  <c r="E127" i="9"/>
  <c r="E126" i="9"/>
  <c r="E118" i="9"/>
  <c r="I81" i="1"/>
  <c r="G44" i="1"/>
  <c r="G21" i="8" s="1"/>
  <c r="G82" i="1"/>
  <c r="F44" i="1"/>
  <c r="F82" i="1"/>
  <c r="I82" i="1"/>
  <c r="I39" i="8" s="1"/>
  <c r="G23" i="1"/>
  <c r="G18" i="8" s="1"/>
  <c r="F28" i="18" s="1"/>
  <c r="F23" i="1"/>
  <c r="F18" i="8" s="1"/>
  <c r="E28" i="18" s="1"/>
  <c r="F89" i="1"/>
  <c r="F44" i="8" s="1"/>
  <c r="G89" i="1"/>
  <c r="G44" i="8" s="1"/>
  <c r="I47" i="1"/>
  <c r="I88" i="1"/>
  <c r="I43" i="8" s="1"/>
  <c r="I43" i="1"/>
  <c r="H88" i="1"/>
  <c r="H43" i="8" s="1"/>
  <c r="H47" i="1"/>
  <c r="E23" i="1"/>
  <c r="E18" i="8" s="1"/>
  <c r="D28" i="18" s="1"/>
  <c r="DA152" i="16" l="1"/>
  <c r="CC152" i="16"/>
  <c r="AG152" i="16"/>
  <c r="CC152" i="15"/>
  <c r="AG152" i="15"/>
  <c r="AG152" i="13"/>
  <c r="I152" i="13"/>
  <c r="BE152" i="16"/>
  <c r="AF152" i="14"/>
  <c r="DA152" i="13"/>
  <c r="I152" i="16"/>
  <c r="DA152" i="14"/>
  <c r="CC152" i="14"/>
  <c r="BE152" i="13"/>
  <c r="DA152" i="15"/>
  <c r="BE152" i="15"/>
  <c r="I152" i="15"/>
  <c r="BE152" i="14"/>
  <c r="CC152" i="13"/>
  <c r="I152" i="14"/>
  <c r="E89" i="1"/>
  <c r="E44" i="8" s="1"/>
  <c r="F88" i="1"/>
  <c r="F43" i="8" s="1"/>
  <c r="E44" i="1"/>
  <c r="E21" i="8" s="1"/>
  <c r="E82" i="1"/>
  <c r="E33" i="8" s="1"/>
  <c r="E39" i="8" s="1"/>
  <c r="F47" i="1"/>
  <c r="E16" i="18" s="1"/>
  <c r="F43" i="1"/>
  <c r="F20" i="8" s="1"/>
  <c r="G47" i="1"/>
  <c r="F16" i="18" s="1"/>
  <c r="F81" i="1"/>
  <c r="F32" i="8" s="1"/>
  <c r="F38" i="8" s="1"/>
  <c r="E81" i="1"/>
  <c r="E32" i="8" s="1"/>
  <c r="E38" i="8" s="1"/>
  <c r="E43" i="1"/>
  <c r="E20" i="8" s="1"/>
  <c r="E88" i="1"/>
  <c r="E43" i="8" s="1"/>
  <c r="E47" i="1"/>
  <c r="D16" i="18" s="1"/>
  <c r="G43" i="1"/>
  <c r="G20" i="8" s="1"/>
  <c r="G81" i="1"/>
  <c r="G32" i="8" s="1"/>
  <c r="G38" i="8" s="1"/>
  <c r="G88" i="1"/>
  <c r="G43" i="8" s="1"/>
  <c r="K8" i="17"/>
  <c r="K12" i="17"/>
  <c r="K16" i="17"/>
  <c r="K20" i="17"/>
  <c r="K14" i="17"/>
  <c r="K22" i="17"/>
  <c r="K11" i="17"/>
  <c r="K19" i="17"/>
  <c r="K9" i="17"/>
  <c r="K13" i="17"/>
  <c r="K17" i="17"/>
  <c r="K21" i="17"/>
  <c r="K10" i="17"/>
  <c r="K18" i="17"/>
  <c r="K15" i="17"/>
  <c r="K7" i="17"/>
  <c r="H8" i="17"/>
  <c r="H12" i="17"/>
  <c r="H16" i="17"/>
  <c r="H20" i="17"/>
  <c r="H10" i="17"/>
  <c r="H18" i="17"/>
  <c r="H11" i="17"/>
  <c r="H19" i="17"/>
  <c r="H9" i="17"/>
  <c r="H13" i="17"/>
  <c r="H17" i="17"/>
  <c r="H21" i="17"/>
  <c r="H14" i="17"/>
  <c r="H22" i="17"/>
  <c r="H15" i="17"/>
  <c r="H7" i="17"/>
  <c r="G105" i="9"/>
  <c r="G98" i="9"/>
  <c r="G100" i="9"/>
  <c r="G104" i="9"/>
  <c r="G106" i="9"/>
  <c r="G27" i="9"/>
  <c r="G20" i="9"/>
  <c r="G23" i="9"/>
  <c r="H153" i="9" s="1"/>
  <c r="G24" i="9"/>
  <c r="G103" i="9"/>
  <c r="G121" i="9"/>
  <c r="G76" i="9"/>
  <c r="G65" i="9"/>
  <c r="G102" i="9"/>
  <c r="H154" i="9" s="1"/>
  <c r="DL74" i="16" s="1"/>
  <c r="G21" i="9"/>
  <c r="G93" i="9"/>
  <c r="G18" i="9"/>
  <c r="H148" i="9" s="1"/>
  <c r="G127" i="9"/>
  <c r="G122" i="9"/>
  <c r="G72" i="9"/>
  <c r="G118" i="9"/>
  <c r="G79" i="9"/>
  <c r="G101" i="9"/>
  <c r="G97" i="9"/>
  <c r="H149" i="9" s="1"/>
  <c r="AL69" i="16" s="1"/>
  <c r="G125" i="9"/>
  <c r="G14" i="9"/>
  <c r="G74" i="9"/>
  <c r="G75" i="9"/>
  <c r="G117" i="9"/>
  <c r="G22" i="9"/>
  <c r="G77" i="9"/>
  <c r="G123" i="9"/>
  <c r="G25" i="9"/>
  <c r="G69" i="9"/>
  <c r="G132" i="9"/>
  <c r="G70" i="9"/>
  <c r="G128" i="9"/>
  <c r="G126" i="9"/>
  <c r="G13" i="9"/>
  <c r="H143" i="9" s="1"/>
  <c r="DL63" i="16" s="1"/>
  <c r="G73" i="9"/>
  <c r="H151" i="9" s="1"/>
  <c r="G94" i="9"/>
  <c r="G92" i="9"/>
  <c r="H144" i="9" s="1"/>
  <c r="DL64" i="16" s="1"/>
  <c r="G129" i="9"/>
  <c r="G130" i="9"/>
  <c r="G16" i="9"/>
  <c r="G19" i="9"/>
  <c r="G68" i="9"/>
  <c r="H146" i="9" s="1"/>
  <c r="G71" i="9"/>
  <c r="G91" i="9"/>
  <c r="G99" i="9"/>
  <c r="G119" i="9"/>
  <c r="G124" i="9"/>
  <c r="G17" i="9"/>
  <c r="G26" i="9"/>
  <c r="G66" i="9"/>
  <c r="G78" i="9"/>
  <c r="H156" i="9" s="1"/>
  <c r="G95" i="9"/>
  <c r="G120" i="9"/>
  <c r="G15" i="9"/>
  <c r="G28" i="9"/>
  <c r="H158" i="9" s="1"/>
  <c r="G67" i="9"/>
  <c r="G80" i="9"/>
  <c r="I24" i="8"/>
  <c r="F130" i="9" s="1"/>
  <c r="H16" i="18"/>
  <c r="H24" i="8"/>
  <c r="F91" i="9" s="1"/>
  <c r="G16" i="18"/>
  <c r="F24" i="8"/>
  <c r="F33" i="8"/>
  <c r="F39" i="8" s="1"/>
  <c r="G33" i="8"/>
  <c r="G39" i="8" s="1"/>
  <c r="I32" i="8"/>
  <c r="I38" i="8" s="1"/>
  <c r="H32" i="8"/>
  <c r="H38" i="8" s="1"/>
  <c r="G87" i="1"/>
  <c r="G42" i="8" s="1"/>
  <c r="F87" i="1"/>
  <c r="F42" i="8" s="1"/>
  <c r="F21" i="8"/>
  <c r="E43" i="9"/>
  <c r="F147" i="9" s="1"/>
  <c r="E51" i="9"/>
  <c r="E46" i="9"/>
  <c r="E44" i="9"/>
  <c r="E52" i="9"/>
  <c r="E45" i="9"/>
  <c r="E53" i="9"/>
  <c r="F157" i="9" s="1"/>
  <c r="E54" i="9"/>
  <c r="E42" i="9"/>
  <c r="E50" i="9"/>
  <c r="E48" i="9"/>
  <c r="F152" i="9" s="1"/>
  <c r="E40" i="9"/>
  <c r="E49" i="9"/>
  <c r="E39" i="9"/>
  <c r="E47" i="9"/>
  <c r="E41" i="9"/>
  <c r="I86" i="1"/>
  <c r="I41" i="8" s="1"/>
  <c r="I20" i="8"/>
  <c r="I83" i="1"/>
  <c r="E69" i="9"/>
  <c r="E77" i="9"/>
  <c r="E73" i="9"/>
  <c r="F151" i="9" s="1"/>
  <c r="E70" i="9"/>
  <c r="E78" i="9"/>
  <c r="F156" i="9" s="1"/>
  <c r="E72" i="9"/>
  <c r="E71" i="9"/>
  <c r="E79" i="9"/>
  <c r="E68" i="9"/>
  <c r="F146" i="9" s="1"/>
  <c r="E76" i="9"/>
  <c r="E80" i="9"/>
  <c r="E66" i="9"/>
  <c r="E75" i="9"/>
  <c r="E65" i="9"/>
  <c r="E67" i="9"/>
  <c r="E74" i="9"/>
  <c r="F80" i="1"/>
  <c r="G80" i="1"/>
  <c r="H86" i="1"/>
  <c r="H41" i="8" s="1"/>
  <c r="H79" i="1"/>
  <c r="H83" i="1"/>
  <c r="I79" i="1"/>
  <c r="H90" i="1"/>
  <c r="H45" i="8" s="1"/>
  <c r="I90" i="1"/>
  <c r="I45" i="8" s="1"/>
  <c r="R12" i="8"/>
  <c r="K10" i="2"/>
  <c r="DA149" i="16" l="1"/>
  <c r="CC149" i="16"/>
  <c r="AG149" i="16"/>
  <c r="CC149" i="15"/>
  <c r="AG149" i="15"/>
  <c r="CC149" i="14"/>
  <c r="BE149" i="14"/>
  <c r="CC149" i="13"/>
  <c r="BE149" i="16"/>
  <c r="DA149" i="14"/>
  <c r="I149" i="14"/>
  <c r="AG149" i="13"/>
  <c r="I149" i="13"/>
  <c r="I149" i="16"/>
  <c r="I149" i="15"/>
  <c r="DA149" i="13"/>
  <c r="DA149" i="15"/>
  <c r="BE149" i="15"/>
  <c r="BE149" i="13"/>
  <c r="AF149" i="14"/>
  <c r="CC138" i="16"/>
  <c r="AG138" i="16"/>
  <c r="I138" i="16"/>
  <c r="CC138" i="15"/>
  <c r="BE138" i="13"/>
  <c r="DA138" i="16"/>
  <c r="BE138" i="16"/>
  <c r="BE138" i="14"/>
  <c r="CC138" i="13"/>
  <c r="AG138" i="15"/>
  <c r="I138" i="15"/>
  <c r="DA138" i="14"/>
  <c r="I138" i="14"/>
  <c r="AG138" i="13"/>
  <c r="I138" i="13"/>
  <c r="DA138" i="15"/>
  <c r="BE138" i="15"/>
  <c r="CC138" i="14"/>
  <c r="DA138" i="13"/>
  <c r="AF138" i="14"/>
  <c r="DA146" i="16"/>
  <c r="CC146" i="16"/>
  <c r="AG146" i="16"/>
  <c r="I146" i="16"/>
  <c r="CC146" i="15"/>
  <c r="AG146" i="15"/>
  <c r="I146" i="14"/>
  <c r="BE146" i="13"/>
  <c r="BE146" i="16"/>
  <c r="AF146" i="14"/>
  <c r="I146" i="15"/>
  <c r="CC146" i="14"/>
  <c r="CC146" i="13"/>
  <c r="AG146" i="13"/>
  <c r="I146" i="13"/>
  <c r="DA146" i="15"/>
  <c r="DA146" i="14"/>
  <c r="DA146" i="13"/>
  <c r="BE146" i="15"/>
  <c r="BE146" i="14"/>
  <c r="CC139" i="16"/>
  <c r="AG139" i="16"/>
  <c r="I139" i="16"/>
  <c r="CC139" i="15"/>
  <c r="DA139" i="16"/>
  <c r="CC139" i="14"/>
  <c r="AF139" i="14"/>
  <c r="I139" i="14"/>
  <c r="DA139" i="13"/>
  <c r="BE139" i="16"/>
  <c r="BE139" i="14"/>
  <c r="CC139" i="13"/>
  <c r="BE139" i="13"/>
  <c r="AG139" i="15"/>
  <c r="I139" i="15"/>
  <c r="DA139" i="14"/>
  <c r="DA139" i="15"/>
  <c r="BE139" i="15"/>
  <c r="I139" i="13"/>
  <c r="AG139" i="13"/>
  <c r="H150" i="9"/>
  <c r="DA145" i="16"/>
  <c r="CC145" i="16"/>
  <c r="AG145" i="16"/>
  <c r="I145" i="16"/>
  <c r="CC145" i="15"/>
  <c r="AG145" i="15"/>
  <c r="AF145" i="14"/>
  <c r="BE145" i="16"/>
  <c r="CC145" i="14"/>
  <c r="CC145" i="13"/>
  <c r="AG145" i="13"/>
  <c r="I145" i="13"/>
  <c r="I145" i="15"/>
  <c r="DA145" i="14"/>
  <c r="BE145" i="14"/>
  <c r="I145" i="14"/>
  <c r="DA145" i="13"/>
  <c r="DA145" i="15"/>
  <c r="BE145" i="15"/>
  <c r="BE145" i="13"/>
  <c r="DA151" i="16"/>
  <c r="CC151" i="16"/>
  <c r="AG151" i="16"/>
  <c r="CC151" i="15"/>
  <c r="AG151" i="15"/>
  <c r="AF151" i="14"/>
  <c r="DA151" i="13"/>
  <c r="BE151" i="16"/>
  <c r="CC151" i="14"/>
  <c r="I151" i="14"/>
  <c r="BE151" i="13"/>
  <c r="I151" i="16"/>
  <c r="I151" i="15"/>
  <c r="DA151" i="14"/>
  <c r="BE151" i="14"/>
  <c r="CC151" i="13"/>
  <c r="DA151" i="15"/>
  <c r="I151" i="13"/>
  <c r="BE151" i="15"/>
  <c r="AG151" i="13"/>
  <c r="DA144" i="16"/>
  <c r="CC144" i="16"/>
  <c r="AG144" i="16"/>
  <c r="I144" i="16"/>
  <c r="CC144" i="15"/>
  <c r="AG144" i="15"/>
  <c r="CC144" i="14"/>
  <c r="AF144" i="14"/>
  <c r="I144" i="14"/>
  <c r="AG144" i="13"/>
  <c r="I144" i="13"/>
  <c r="BE144" i="16"/>
  <c r="I144" i="15"/>
  <c r="DA144" i="14"/>
  <c r="BE144" i="14"/>
  <c r="DA144" i="13"/>
  <c r="CC144" i="13"/>
  <c r="BE144" i="13"/>
  <c r="DA144" i="15"/>
  <c r="BE144" i="15"/>
  <c r="H145" i="9"/>
  <c r="AL65" i="16" s="1"/>
  <c r="CC140" i="16"/>
  <c r="AG140" i="16"/>
  <c r="I140" i="16"/>
  <c r="CC140" i="15"/>
  <c r="DA140" i="16"/>
  <c r="CC140" i="14"/>
  <c r="AG140" i="13"/>
  <c r="I140" i="13"/>
  <c r="BE140" i="16"/>
  <c r="BE140" i="14"/>
  <c r="AF140" i="14"/>
  <c r="DA140" i="13"/>
  <c r="AG140" i="15"/>
  <c r="I140" i="15"/>
  <c r="DA140" i="14"/>
  <c r="I140" i="14"/>
  <c r="CC140" i="13"/>
  <c r="BE140" i="13"/>
  <c r="DA140" i="15"/>
  <c r="BE140" i="15"/>
  <c r="H155" i="9"/>
  <c r="AL75" i="16" s="1"/>
  <c r="DA150" i="16"/>
  <c r="CC150" i="16"/>
  <c r="AG150" i="16"/>
  <c r="CC150" i="15"/>
  <c r="AG150" i="15"/>
  <c r="AF150" i="14"/>
  <c r="BE150" i="13"/>
  <c r="BE150" i="16"/>
  <c r="CC150" i="14"/>
  <c r="BE150" i="14"/>
  <c r="CC150" i="13"/>
  <c r="I150" i="16"/>
  <c r="I150" i="15"/>
  <c r="DA150" i="14"/>
  <c r="AG150" i="13"/>
  <c r="I150" i="13"/>
  <c r="DA150" i="15"/>
  <c r="BE150" i="15"/>
  <c r="I150" i="14"/>
  <c r="DA150" i="13"/>
  <c r="DA153" i="16"/>
  <c r="CC153" i="16"/>
  <c r="AG153" i="16"/>
  <c r="CC153" i="15"/>
  <c r="AG153" i="15"/>
  <c r="I153" i="15"/>
  <c r="BE153" i="14"/>
  <c r="I153" i="14"/>
  <c r="CC153" i="13"/>
  <c r="BE153" i="16"/>
  <c r="I153" i="16"/>
  <c r="AG153" i="13"/>
  <c r="I153" i="13"/>
  <c r="AF153" i="14"/>
  <c r="DA153" i="13"/>
  <c r="DA153" i="15"/>
  <c r="BE153" i="15"/>
  <c r="DA153" i="14"/>
  <c r="CC153" i="14"/>
  <c r="BE153" i="13"/>
  <c r="DA143" i="16"/>
  <c r="CC143" i="16"/>
  <c r="AG143" i="16"/>
  <c r="I143" i="16"/>
  <c r="CC143" i="15"/>
  <c r="AG143" i="15"/>
  <c r="DA143" i="14"/>
  <c r="BE143" i="14"/>
  <c r="DA143" i="13"/>
  <c r="CC143" i="13"/>
  <c r="BE143" i="16"/>
  <c r="I143" i="15"/>
  <c r="BE143" i="13"/>
  <c r="DA143" i="15"/>
  <c r="BE143" i="15"/>
  <c r="AG143" i="13"/>
  <c r="CC143" i="14"/>
  <c r="AF143" i="14"/>
  <c r="I143" i="13"/>
  <c r="I143" i="14"/>
  <c r="DA142" i="16"/>
  <c r="CC142" i="16"/>
  <c r="AG142" i="16"/>
  <c r="I142" i="16"/>
  <c r="CC142" i="15"/>
  <c r="AG142" i="15"/>
  <c r="I142" i="15"/>
  <c r="DA142" i="14"/>
  <c r="CC142" i="13"/>
  <c r="BE142" i="13"/>
  <c r="BE142" i="16"/>
  <c r="CC142" i="14"/>
  <c r="I142" i="14"/>
  <c r="AG142" i="13"/>
  <c r="I142" i="13"/>
  <c r="DA142" i="15"/>
  <c r="BE142" i="15"/>
  <c r="DA142" i="13"/>
  <c r="AF142" i="14"/>
  <c r="BE142" i="14"/>
  <c r="DA141" i="16"/>
  <c r="CC141" i="16"/>
  <c r="AG141" i="16"/>
  <c r="I141" i="16"/>
  <c r="CC141" i="15"/>
  <c r="I141" i="14"/>
  <c r="BE141" i="16"/>
  <c r="CC141" i="14"/>
  <c r="AG141" i="13"/>
  <c r="I141" i="13"/>
  <c r="AG141" i="15"/>
  <c r="BE141" i="14"/>
  <c r="AF141" i="14"/>
  <c r="DA141" i="13"/>
  <c r="I141" i="15"/>
  <c r="DA141" i="14"/>
  <c r="CC141" i="13"/>
  <c r="BE141" i="13"/>
  <c r="DA141" i="15"/>
  <c r="BE141" i="15"/>
  <c r="DA147" i="16"/>
  <c r="CC147" i="16"/>
  <c r="AG147" i="16"/>
  <c r="I147" i="16"/>
  <c r="CC147" i="15"/>
  <c r="AG147" i="15"/>
  <c r="I147" i="15"/>
  <c r="DA147" i="13"/>
  <c r="BE147" i="16"/>
  <c r="AF147" i="14"/>
  <c r="BE147" i="13"/>
  <c r="I147" i="14"/>
  <c r="DA147" i="15"/>
  <c r="DA147" i="14"/>
  <c r="AG147" i="13"/>
  <c r="BE147" i="15"/>
  <c r="CC147" i="14"/>
  <c r="CC147" i="13"/>
  <c r="BE147" i="14"/>
  <c r="I147" i="13"/>
  <c r="DA148" i="16"/>
  <c r="CC148" i="16"/>
  <c r="AG148" i="16"/>
  <c r="CC148" i="15"/>
  <c r="AG148" i="15"/>
  <c r="DA148" i="14"/>
  <c r="I148" i="14"/>
  <c r="CC148" i="13"/>
  <c r="AG148" i="13"/>
  <c r="I148" i="13"/>
  <c r="BE148" i="16"/>
  <c r="I148" i="15"/>
  <c r="DA148" i="13"/>
  <c r="I148" i="16"/>
  <c r="AF148" i="14"/>
  <c r="BE148" i="13"/>
  <c r="DA148" i="15"/>
  <c r="BE148" i="15"/>
  <c r="CC148" i="14"/>
  <c r="BE148" i="14"/>
  <c r="CZ151" i="15"/>
  <c r="CB151" i="15"/>
  <c r="CD151" i="15" s="1"/>
  <c r="CI151" i="15" s="1"/>
  <c r="H151" i="15"/>
  <c r="J151" i="15" s="1"/>
  <c r="O151" i="15" s="1"/>
  <c r="CB151" i="14"/>
  <c r="BD151" i="14"/>
  <c r="BF151" i="14" s="1"/>
  <c r="BK151" i="14" s="1"/>
  <c r="CB151" i="13"/>
  <c r="CD151" i="13" s="1"/>
  <c r="CI151" i="13" s="1"/>
  <c r="BD151" i="16"/>
  <c r="CZ151" i="13"/>
  <c r="H151" i="13"/>
  <c r="H151" i="16"/>
  <c r="J151" i="16" s="1"/>
  <c r="O151" i="16" s="1"/>
  <c r="AF151" i="15"/>
  <c r="AH151" i="15" s="1"/>
  <c r="AM151" i="15" s="1"/>
  <c r="CZ151" i="14"/>
  <c r="DB151" i="14" s="1"/>
  <c r="DG151" i="14" s="1"/>
  <c r="AF151" i="13"/>
  <c r="BD151" i="15"/>
  <c r="AE151" i="14"/>
  <c r="H151" i="14"/>
  <c r="J151" i="14" s="1"/>
  <c r="O151" i="14" s="1"/>
  <c r="BD151" i="13"/>
  <c r="BF151" i="13" s="1"/>
  <c r="BK151" i="13" s="1"/>
  <c r="CZ151" i="16"/>
  <c r="AF151" i="16"/>
  <c r="CB151" i="16"/>
  <c r="CD151" i="16" s="1"/>
  <c r="CI151" i="16" s="1"/>
  <c r="G79" i="1"/>
  <c r="G30" i="8" s="1"/>
  <c r="G36" i="8" s="1"/>
  <c r="F90" i="1"/>
  <c r="F45" i="8" s="1"/>
  <c r="F86" i="1"/>
  <c r="F41" i="8" s="1"/>
  <c r="G86" i="1"/>
  <c r="G41" i="8" s="1"/>
  <c r="F83" i="1"/>
  <c r="F34" i="8" s="1"/>
  <c r="F40" i="8" s="1"/>
  <c r="E87" i="1"/>
  <c r="E42" i="8" s="1"/>
  <c r="E80" i="1"/>
  <c r="E31" i="8" s="1"/>
  <c r="E37" i="8" s="1"/>
  <c r="G24" i="8"/>
  <c r="F70" i="9" s="1"/>
  <c r="H70" i="9" s="1"/>
  <c r="F79" i="1"/>
  <c r="F30" i="8" s="1"/>
  <c r="F36" i="8" s="1"/>
  <c r="G83" i="1"/>
  <c r="G34" i="8" s="1"/>
  <c r="G40" i="8" s="1"/>
  <c r="K39" i="2"/>
  <c r="K57" i="2"/>
  <c r="G90" i="1"/>
  <c r="G45" i="8" s="1"/>
  <c r="E24" i="8"/>
  <c r="F18" i="9" s="1"/>
  <c r="E83" i="1"/>
  <c r="E34" i="8" s="1"/>
  <c r="E40" i="8" s="1"/>
  <c r="E79" i="1"/>
  <c r="E30" i="8" s="1"/>
  <c r="E36" i="8" s="1"/>
  <c r="E86" i="1"/>
  <c r="E41" i="8" s="1"/>
  <c r="E90" i="1"/>
  <c r="E45" i="8" s="1"/>
  <c r="L74" i="13"/>
  <c r="AL64" i="13"/>
  <c r="L74" i="14"/>
  <c r="AL64" i="15"/>
  <c r="AL63" i="15"/>
  <c r="AL64" i="16"/>
  <c r="AL63" i="14"/>
  <c r="AL64" i="14"/>
  <c r="AL74" i="13"/>
  <c r="AL74" i="16"/>
  <c r="BL63" i="14"/>
  <c r="L64" i="13"/>
  <c r="AL74" i="14"/>
  <c r="L63" i="13"/>
  <c r="AL63" i="16"/>
  <c r="BL69" i="15"/>
  <c r="AL69" i="14"/>
  <c r="BL64" i="13"/>
  <c r="BL64" i="14"/>
  <c r="L64" i="14"/>
  <c r="BL64" i="15"/>
  <c r="BL64" i="16"/>
  <c r="L69" i="15"/>
  <c r="CL69" i="15"/>
  <c r="BL69" i="13"/>
  <c r="BL69" i="14"/>
  <c r="CL69" i="16"/>
  <c r="BL74" i="13"/>
  <c r="BL74" i="14"/>
  <c r="BL74" i="15"/>
  <c r="L74" i="15"/>
  <c r="BL74" i="16"/>
  <c r="L63" i="14"/>
  <c r="BL63" i="13"/>
  <c r="CL63" i="14"/>
  <c r="DL63" i="14"/>
  <c r="BL63" i="16"/>
  <c r="L69" i="14"/>
  <c r="AL69" i="13"/>
  <c r="CL64" i="13"/>
  <c r="DL64" i="14"/>
  <c r="L64" i="15"/>
  <c r="CL64" i="15"/>
  <c r="CL64" i="16"/>
  <c r="L69" i="16"/>
  <c r="DL69" i="15"/>
  <c r="CL69" i="13"/>
  <c r="DL69" i="14"/>
  <c r="DL69" i="16"/>
  <c r="CL74" i="13"/>
  <c r="DL74" i="14"/>
  <c r="DL74" i="15"/>
  <c r="L74" i="16"/>
  <c r="CL74" i="16"/>
  <c r="L63" i="15"/>
  <c r="CL63" i="13"/>
  <c r="DL63" i="15"/>
  <c r="BL63" i="15"/>
  <c r="CL63" i="16"/>
  <c r="BL69" i="16"/>
  <c r="DL64" i="13"/>
  <c r="CL64" i="14"/>
  <c r="L64" i="16"/>
  <c r="DL64" i="15"/>
  <c r="AL69" i="15"/>
  <c r="L69" i="13"/>
  <c r="DL69" i="13"/>
  <c r="CL69" i="14"/>
  <c r="DL74" i="13"/>
  <c r="CL74" i="14"/>
  <c r="CL74" i="15"/>
  <c r="AL74" i="15"/>
  <c r="L63" i="16"/>
  <c r="DL63" i="13"/>
  <c r="AL63" i="13"/>
  <c r="CL63" i="15"/>
  <c r="G14" i="17"/>
  <c r="G11" i="17"/>
  <c r="G15" i="17"/>
  <c r="G19" i="17"/>
  <c r="G7" i="17"/>
  <c r="G8" i="17"/>
  <c r="G12" i="17"/>
  <c r="G16" i="17"/>
  <c r="G20" i="17"/>
  <c r="G9" i="17"/>
  <c r="G13" i="17"/>
  <c r="G17" i="17"/>
  <c r="G21" i="17"/>
  <c r="G10" i="17"/>
  <c r="G18" i="17"/>
  <c r="G22" i="17"/>
  <c r="DL78" i="16"/>
  <c r="CL78" i="16"/>
  <c r="BL78" i="16"/>
  <c r="AL78" i="16"/>
  <c r="AL78" i="15"/>
  <c r="L78" i="16"/>
  <c r="L78" i="15"/>
  <c r="L78" i="14"/>
  <c r="L78" i="13"/>
  <c r="DL78" i="15"/>
  <c r="CL78" i="14"/>
  <c r="DL78" i="14"/>
  <c r="BL78" i="14"/>
  <c r="AL78" i="14"/>
  <c r="DL78" i="13"/>
  <c r="CL78" i="13"/>
  <c r="BL78" i="13"/>
  <c r="AL78" i="13"/>
  <c r="CL78" i="15"/>
  <c r="BL78" i="15"/>
  <c r="DL65" i="16"/>
  <c r="DL65" i="15"/>
  <c r="BL65" i="15"/>
  <c r="L65" i="16"/>
  <c r="L65" i="15"/>
  <c r="BL65" i="14"/>
  <c r="DL65" i="13"/>
  <c r="DL77" i="16"/>
  <c r="CL77" i="16"/>
  <c r="BL77" i="16"/>
  <c r="AL77" i="16"/>
  <c r="CL77" i="14"/>
  <c r="DL77" i="14"/>
  <c r="BL77" i="14"/>
  <c r="AL77" i="14"/>
  <c r="DL77" i="13"/>
  <c r="CL77" i="13"/>
  <c r="BL77" i="13"/>
  <c r="AL77" i="13"/>
  <c r="DL77" i="15"/>
  <c r="CL77" i="15"/>
  <c r="BL77" i="15"/>
  <c r="AL77" i="15"/>
  <c r="L77" i="16"/>
  <c r="L77" i="15"/>
  <c r="L77" i="14"/>
  <c r="L77" i="13"/>
  <c r="DL76" i="16"/>
  <c r="CL76" i="16"/>
  <c r="BL76" i="16"/>
  <c r="AL76" i="16"/>
  <c r="AL76" i="15"/>
  <c r="L76" i="16"/>
  <c r="L76" i="15"/>
  <c r="L76" i="14"/>
  <c r="BL76" i="14"/>
  <c r="AL76" i="14"/>
  <c r="DL76" i="13"/>
  <c r="CL76" i="13"/>
  <c r="BL76" i="13"/>
  <c r="DL76" i="15"/>
  <c r="L76" i="13"/>
  <c r="AL76" i="13"/>
  <c r="CL76" i="15"/>
  <c r="BL76" i="15"/>
  <c r="CL76" i="14"/>
  <c r="DL76" i="14"/>
  <c r="DL73" i="16"/>
  <c r="AL73" i="16"/>
  <c r="CL73" i="16"/>
  <c r="BL73" i="16"/>
  <c r="DL73" i="13"/>
  <c r="CL73" i="13"/>
  <c r="BL73" i="13"/>
  <c r="L73" i="13"/>
  <c r="DL73" i="15"/>
  <c r="CL73" i="15"/>
  <c r="BL73" i="15"/>
  <c r="AL73" i="15"/>
  <c r="L73" i="14"/>
  <c r="CL73" i="14"/>
  <c r="DL73" i="14"/>
  <c r="BL73" i="14"/>
  <c r="AL73" i="14"/>
  <c r="AL73" i="13"/>
  <c r="L73" i="16"/>
  <c r="L73" i="15"/>
  <c r="DL72" i="16"/>
  <c r="CL72" i="16"/>
  <c r="BL72" i="16"/>
  <c r="AL72" i="16"/>
  <c r="AL72" i="15"/>
  <c r="L72" i="16"/>
  <c r="L72" i="15"/>
  <c r="L72" i="14"/>
  <c r="L72" i="13"/>
  <c r="BL72" i="13"/>
  <c r="DL72" i="15"/>
  <c r="CL72" i="13"/>
  <c r="AL72" i="13"/>
  <c r="CL72" i="15"/>
  <c r="BL72" i="15"/>
  <c r="CL72" i="14"/>
  <c r="DL72" i="14"/>
  <c r="BL72" i="14"/>
  <c r="AL72" i="14"/>
  <c r="DL72" i="13"/>
  <c r="DL71" i="16"/>
  <c r="CL71" i="16"/>
  <c r="BL71" i="16"/>
  <c r="AL71" i="16"/>
  <c r="DL71" i="15"/>
  <c r="BL71" i="15"/>
  <c r="L71" i="13"/>
  <c r="CL71" i="14"/>
  <c r="DL71" i="14"/>
  <c r="BL71" i="14"/>
  <c r="AL71" i="14"/>
  <c r="DL71" i="13"/>
  <c r="CL71" i="13"/>
  <c r="BL71" i="13"/>
  <c r="AL71" i="13"/>
  <c r="CL71" i="15"/>
  <c r="AL71" i="15"/>
  <c r="L71" i="16"/>
  <c r="L71" i="15"/>
  <c r="L71" i="14"/>
  <c r="DL70" i="16"/>
  <c r="CL70" i="16"/>
  <c r="BL70" i="16"/>
  <c r="AL70" i="16"/>
  <c r="AL70" i="15"/>
  <c r="L70" i="16"/>
  <c r="L70" i="15"/>
  <c r="L70" i="14"/>
  <c r="L70" i="13"/>
  <c r="CL70" i="13"/>
  <c r="BL70" i="13"/>
  <c r="AL70" i="13"/>
  <c r="BL70" i="15"/>
  <c r="BL70" i="14"/>
  <c r="DL70" i="13"/>
  <c r="CL70" i="15"/>
  <c r="DL70" i="15"/>
  <c r="CL70" i="14"/>
  <c r="DL70" i="14"/>
  <c r="AL70" i="14"/>
  <c r="DL68" i="16"/>
  <c r="CL68" i="16"/>
  <c r="BL68" i="16"/>
  <c r="AL68" i="16"/>
  <c r="AL68" i="15"/>
  <c r="L68" i="16"/>
  <c r="L68" i="15"/>
  <c r="L68" i="14"/>
  <c r="BL68" i="15"/>
  <c r="DL68" i="14"/>
  <c r="DL68" i="13"/>
  <c r="BL68" i="13"/>
  <c r="DL68" i="15"/>
  <c r="L68" i="13"/>
  <c r="BL68" i="14"/>
  <c r="AL68" i="14"/>
  <c r="AL68" i="13"/>
  <c r="CL68" i="15"/>
  <c r="CL68" i="14"/>
  <c r="CL68" i="13"/>
  <c r="DL67" i="16"/>
  <c r="CL67" i="16"/>
  <c r="BL67" i="16"/>
  <c r="AL67" i="16"/>
  <c r="DL67" i="15"/>
  <c r="BL67" i="15"/>
  <c r="CL67" i="13"/>
  <c r="BL67" i="13"/>
  <c r="AL67" i="13"/>
  <c r="L67" i="13"/>
  <c r="CL67" i="14"/>
  <c r="DL67" i="14"/>
  <c r="BL67" i="14"/>
  <c r="AL67" i="14"/>
  <c r="DL67" i="13"/>
  <c r="CL67" i="15"/>
  <c r="AL67" i="15"/>
  <c r="L67" i="16"/>
  <c r="L67" i="15"/>
  <c r="L67" i="14"/>
  <c r="DL66" i="16"/>
  <c r="CL66" i="16"/>
  <c r="BL66" i="16"/>
  <c r="AL66" i="16"/>
  <c r="AL66" i="15"/>
  <c r="L66" i="16"/>
  <c r="L66" i="15"/>
  <c r="L66" i="14"/>
  <c r="AL66" i="14"/>
  <c r="BL66" i="13"/>
  <c r="AL66" i="13"/>
  <c r="BL66" i="15"/>
  <c r="L66" i="13"/>
  <c r="DL66" i="15"/>
  <c r="CL66" i="14"/>
  <c r="BL66" i="14"/>
  <c r="DL66" i="13"/>
  <c r="CL66" i="13"/>
  <c r="CL66" i="15"/>
  <c r="DL66" i="14"/>
  <c r="F132" i="9"/>
  <c r="F126" i="9"/>
  <c r="H91" i="9"/>
  <c r="F122" i="9"/>
  <c r="F127" i="9"/>
  <c r="F128" i="9"/>
  <c r="F118" i="9"/>
  <c r="F120" i="9"/>
  <c r="F124" i="9"/>
  <c r="F117" i="9"/>
  <c r="F125" i="9"/>
  <c r="F131" i="9"/>
  <c r="F119" i="9"/>
  <c r="F129" i="9"/>
  <c r="F123" i="9"/>
  <c r="F121" i="9"/>
  <c r="F102" i="9"/>
  <c r="F97" i="9"/>
  <c r="F104" i="9"/>
  <c r="H104" i="9" s="1"/>
  <c r="F96" i="9"/>
  <c r="H96" i="9" s="1"/>
  <c r="F94" i="9"/>
  <c r="H94" i="9" s="1"/>
  <c r="H130" i="9"/>
  <c r="F103" i="9"/>
  <c r="H103" i="9" s="1"/>
  <c r="F106" i="9"/>
  <c r="H106" i="9" s="1"/>
  <c r="F95" i="9"/>
  <c r="H95" i="9" s="1"/>
  <c r="F93" i="9"/>
  <c r="H93" i="9" s="1"/>
  <c r="M93" i="9" s="1"/>
  <c r="N93" i="9" s="1"/>
  <c r="O93" i="9" s="1"/>
  <c r="F98" i="9"/>
  <c r="H98" i="9" s="1"/>
  <c r="F101" i="9"/>
  <c r="H101" i="9" s="1"/>
  <c r="F105" i="9"/>
  <c r="H105" i="9" s="1"/>
  <c r="F100" i="9"/>
  <c r="H100" i="9" s="1"/>
  <c r="F92" i="9"/>
  <c r="F99" i="9"/>
  <c r="H99" i="9" s="1"/>
  <c r="M99" i="9" s="1"/>
  <c r="N99" i="9" s="1"/>
  <c r="O99" i="9" s="1"/>
  <c r="H30" i="8"/>
  <c r="H36" i="8" s="1"/>
  <c r="G31" i="8"/>
  <c r="G37" i="8" s="1"/>
  <c r="I30" i="8"/>
  <c r="I36" i="8" s="1"/>
  <c r="H34" i="8"/>
  <c r="H40" i="8" s="1"/>
  <c r="F31" i="8"/>
  <c r="F37" i="8" s="1"/>
  <c r="I34" i="8"/>
  <c r="I40" i="8" s="1"/>
  <c r="E16" i="9"/>
  <c r="E24" i="9"/>
  <c r="E17" i="9"/>
  <c r="E25" i="9"/>
  <c r="E27" i="9"/>
  <c r="E18" i="9"/>
  <c r="F148" i="9" s="1"/>
  <c r="E26" i="9"/>
  <c r="E15" i="9"/>
  <c r="E23" i="9"/>
  <c r="F153" i="9" s="1"/>
  <c r="E19" i="9"/>
  <c r="E13" i="9"/>
  <c r="F143" i="9" s="1"/>
  <c r="E21" i="9"/>
  <c r="E14" i="9"/>
  <c r="E22" i="9"/>
  <c r="E28" i="9"/>
  <c r="F158" i="9" s="1"/>
  <c r="E20" i="9"/>
  <c r="F44" i="9"/>
  <c r="H44" i="9" s="1"/>
  <c r="F52" i="9"/>
  <c r="H52" i="9" s="1"/>
  <c r="M52" i="9" s="1"/>
  <c r="N52" i="9" s="1"/>
  <c r="O52" i="9" s="1"/>
  <c r="F39" i="9"/>
  <c r="H39" i="9" s="1"/>
  <c r="M39" i="9" s="1"/>
  <c r="N39" i="9" s="1"/>
  <c r="O39" i="9" s="1"/>
  <c r="F48" i="9"/>
  <c r="F45" i="9"/>
  <c r="H45" i="9" s="1"/>
  <c r="F53" i="9"/>
  <c r="F46" i="9"/>
  <c r="H46" i="9" s="1"/>
  <c r="F54" i="9"/>
  <c r="H54" i="9" s="1"/>
  <c r="M54" i="9" s="1"/>
  <c r="N54" i="9" s="1"/>
  <c r="O54" i="9" s="1"/>
  <c r="F43" i="9"/>
  <c r="F51" i="9"/>
  <c r="H51" i="9" s="1"/>
  <c r="F47" i="9"/>
  <c r="H47" i="9" s="1"/>
  <c r="M47" i="9" s="1"/>
  <c r="N47" i="9" s="1"/>
  <c r="O47" i="9" s="1"/>
  <c r="F40" i="9"/>
  <c r="H40" i="9" s="1"/>
  <c r="M40" i="9" s="1"/>
  <c r="N40" i="9" s="1"/>
  <c r="O40" i="9" s="1"/>
  <c r="F42" i="9"/>
  <c r="H42" i="9" s="1"/>
  <c r="F49" i="9"/>
  <c r="H49" i="9" s="1"/>
  <c r="F50" i="9"/>
  <c r="H50" i="9" s="1"/>
  <c r="F41" i="9"/>
  <c r="H41" i="9" s="1"/>
  <c r="K63" i="2"/>
  <c r="Q21" i="8" s="1"/>
  <c r="K66" i="2"/>
  <c r="K14" i="2"/>
  <c r="Q12" i="8" s="1"/>
  <c r="J14" i="2"/>
  <c r="R14" i="2"/>
  <c r="S12" i="8" s="1"/>
  <c r="Y13" i="2"/>
  <c r="BL65" i="13" l="1"/>
  <c r="DL65" i="14"/>
  <c r="AL65" i="15"/>
  <c r="BL65" i="16"/>
  <c r="AH151" i="13"/>
  <c r="DB151" i="15"/>
  <c r="DG151" i="15" s="1"/>
  <c r="CL65" i="13"/>
  <c r="CL65" i="14"/>
  <c r="L65" i="13"/>
  <c r="CL65" i="16"/>
  <c r="CD151" i="14"/>
  <c r="CI151" i="14" s="1"/>
  <c r="BF151" i="16"/>
  <c r="BK151" i="16" s="1"/>
  <c r="AL75" i="13"/>
  <c r="BL75" i="15"/>
  <c r="J41" i="9"/>
  <c r="M41" i="9"/>
  <c r="N41" i="9" s="1"/>
  <c r="O41" i="9" s="1"/>
  <c r="L35" i="18" s="1"/>
  <c r="J46" i="9"/>
  <c r="M46" i="9"/>
  <c r="N46" i="9" s="1"/>
  <c r="O46" i="9" s="1"/>
  <c r="J105" i="9"/>
  <c r="M105" i="9"/>
  <c r="N105" i="9" s="1"/>
  <c r="O105" i="9" s="1"/>
  <c r="N47" i="18" s="1"/>
  <c r="J95" i="9"/>
  <c r="M95" i="9"/>
  <c r="N95" i="9" s="1"/>
  <c r="O95" i="9" s="1"/>
  <c r="N37" i="18" s="1"/>
  <c r="J94" i="9"/>
  <c r="M94" i="9"/>
  <c r="N94" i="9" s="1"/>
  <c r="O94" i="9" s="1"/>
  <c r="N36" i="18" s="1"/>
  <c r="J70" i="9"/>
  <c r="M70" i="9"/>
  <c r="N70" i="9" s="1"/>
  <c r="O70" i="9" s="1"/>
  <c r="M38" i="18" s="1"/>
  <c r="J100" i="9"/>
  <c r="M100" i="9"/>
  <c r="N100" i="9" s="1"/>
  <c r="O100" i="9" s="1"/>
  <c r="N42" i="18" s="1"/>
  <c r="J130" i="9"/>
  <c r="M130" i="9"/>
  <c r="N130" i="9" s="1"/>
  <c r="O130" i="9" s="1"/>
  <c r="J50" i="9"/>
  <c r="M50" i="9"/>
  <c r="N50" i="9" s="1"/>
  <c r="O50" i="9" s="1"/>
  <c r="L44" i="18" s="1"/>
  <c r="J49" i="9"/>
  <c r="M49" i="9"/>
  <c r="N49" i="9" s="1"/>
  <c r="O49" i="9" s="1"/>
  <c r="L43" i="18" s="1"/>
  <c r="J51" i="9"/>
  <c r="M51" i="9"/>
  <c r="N51" i="9" s="1"/>
  <c r="O51" i="9" s="1"/>
  <c r="L45" i="18" s="1"/>
  <c r="I101" i="9"/>
  <c r="M101" i="9"/>
  <c r="N101" i="9" s="1"/>
  <c r="O101" i="9" s="1"/>
  <c r="J106" i="9"/>
  <c r="M106" i="9"/>
  <c r="N106" i="9" s="1"/>
  <c r="O106" i="9" s="1"/>
  <c r="J96" i="9"/>
  <c r="M96" i="9"/>
  <c r="N96" i="9" s="1"/>
  <c r="O96" i="9" s="1"/>
  <c r="N38" i="18" s="1"/>
  <c r="J42" i="9"/>
  <c r="M42" i="9"/>
  <c r="N42" i="9" s="1"/>
  <c r="O42" i="9" s="1"/>
  <c r="L36" i="18" s="1"/>
  <c r="J45" i="9"/>
  <c r="M45" i="9"/>
  <c r="N45" i="9" s="1"/>
  <c r="O45" i="9" s="1"/>
  <c r="L39" i="18" s="1"/>
  <c r="J44" i="9"/>
  <c r="M44" i="9"/>
  <c r="N44" i="9" s="1"/>
  <c r="O44" i="9" s="1"/>
  <c r="J98" i="9"/>
  <c r="M98" i="9"/>
  <c r="N98" i="9" s="1"/>
  <c r="O98" i="9" s="1"/>
  <c r="N40" i="18" s="1"/>
  <c r="J103" i="9"/>
  <c r="M103" i="9"/>
  <c r="N103" i="9" s="1"/>
  <c r="O103" i="9" s="1"/>
  <c r="J104" i="9"/>
  <c r="M104" i="9"/>
  <c r="N104" i="9" s="1"/>
  <c r="O104" i="9" s="1"/>
  <c r="I91" i="9"/>
  <c r="M91" i="9"/>
  <c r="N91" i="9" s="1"/>
  <c r="O91" i="9" s="1"/>
  <c r="L75" i="13"/>
  <c r="CL75" i="14"/>
  <c r="J151" i="13"/>
  <c r="L75" i="15"/>
  <c r="DL75" i="13"/>
  <c r="BL75" i="16"/>
  <c r="L75" i="16"/>
  <c r="AL75" i="14"/>
  <c r="CL75" i="16"/>
  <c r="DB151" i="13"/>
  <c r="AL75" i="15"/>
  <c r="BL75" i="13"/>
  <c r="BL75" i="14"/>
  <c r="DL75" i="15"/>
  <c r="DL75" i="16"/>
  <c r="AH151" i="16"/>
  <c r="AM151" i="16" s="1"/>
  <c r="AG151" i="14"/>
  <c r="L75" i="14"/>
  <c r="CL75" i="15"/>
  <c r="CL75" i="13"/>
  <c r="DL75" i="14"/>
  <c r="AL65" i="13"/>
  <c r="AL65" i="14"/>
  <c r="L65" i="14"/>
  <c r="CL65" i="15"/>
  <c r="DB151" i="16"/>
  <c r="BF151" i="15"/>
  <c r="H121" i="9"/>
  <c r="CZ142" i="16"/>
  <c r="DB142" i="16" s="1"/>
  <c r="DG142" i="16" s="1"/>
  <c r="CB142" i="16"/>
  <c r="CD142" i="16" s="1"/>
  <c r="CI142" i="16" s="1"/>
  <c r="AF142" i="16"/>
  <c r="AH142" i="16" s="1"/>
  <c r="AM142" i="16" s="1"/>
  <c r="AF142" i="15"/>
  <c r="AH142" i="15" s="1"/>
  <c r="AM142" i="15" s="1"/>
  <c r="H142" i="15"/>
  <c r="J142" i="15" s="1"/>
  <c r="O142" i="15" s="1"/>
  <c r="CZ142" i="14"/>
  <c r="DB142" i="14" s="1"/>
  <c r="DG142" i="14" s="1"/>
  <c r="H142" i="16"/>
  <c r="J142" i="16" s="1"/>
  <c r="O142" i="16" s="1"/>
  <c r="AE142" i="14"/>
  <c r="AG142" i="14" s="1"/>
  <c r="AL142" i="14" s="1"/>
  <c r="H142" i="14"/>
  <c r="J142" i="14" s="1"/>
  <c r="O142" i="14" s="1"/>
  <c r="CZ142" i="13"/>
  <c r="DB142" i="13" s="1"/>
  <c r="DG142" i="13" s="1"/>
  <c r="CB142" i="13"/>
  <c r="CD142" i="13" s="1"/>
  <c r="CI142" i="13" s="1"/>
  <c r="CB142" i="14"/>
  <c r="CD142" i="14" s="1"/>
  <c r="CI142" i="14" s="1"/>
  <c r="AF142" i="13"/>
  <c r="AH142" i="13" s="1"/>
  <c r="AM142" i="13" s="1"/>
  <c r="H142" i="13"/>
  <c r="J142" i="13" s="1"/>
  <c r="O142" i="13" s="1"/>
  <c r="BD142" i="15"/>
  <c r="BF142" i="15" s="1"/>
  <c r="BK142" i="15" s="1"/>
  <c r="CZ142" i="15"/>
  <c r="DB142" i="15" s="1"/>
  <c r="DG142" i="15" s="1"/>
  <c r="BD142" i="13"/>
  <c r="BF142" i="13" s="1"/>
  <c r="BK142" i="13" s="1"/>
  <c r="CB142" i="15"/>
  <c r="CD142" i="15" s="1"/>
  <c r="CI142" i="15" s="1"/>
  <c r="BD142" i="16"/>
  <c r="BF142" i="16" s="1"/>
  <c r="BK142" i="16" s="1"/>
  <c r="BD142" i="14"/>
  <c r="BF142" i="14" s="1"/>
  <c r="BK142" i="14" s="1"/>
  <c r="H131" i="9"/>
  <c r="BD152" i="16"/>
  <c r="BF152" i="16" s="1"/>
  <c r="BK152" i="16" s="1"/>
  <c r="BD152" i="15"/>
  <c r="BF152" i="15" s="1"/>
  <c r="BK152" i="15" s="1"/>
  <c r="H152" i="15"/>
  <c r="J152" i="15" s="1"/>
  <c r="O152" i="15" s="1"/>
  <c r="CZ152" i="14"/>
  <c r="DB152" i="14" s="1"/>
  <c r="DG152" i="14" s="1"/>
  <c r="CB152" i="14"/>
  <c r="CD152" i="14" s="1"/>
  <c r="CI152" i="14" s="1"/>
  <c r="BD152" i="14"/>
  <c r="BF152" i="14" s="1"/>
  <c r="BK152" i="14" s="1"/>
  <c r="H152" i="14"/>
  <c r="J152" i="14" s="1"/>
  <c r="O152" i="14" s="1"/>
  <c r="CB152" i="13"/>
  <c r="CD152" i="13" s="1"/>
  <c r="CI152" i="13" s="1"/>
  <c r="H152" i="16"/>
  <c r="J152" i="16" s="1"/>
  <c r="O152" i="16" s="1"/>
  <c r="CZ152" i="15"/>
  <c r="DB152" i="15" s="1"/>
  <c r="DG152" i="15" s="1"/>
  <c r="AF152" i="15"/>
  <c r="AH152" i="15" s="1"/>
  <c r="AM152" i="15" s="1"/>
  <c r="CZ152" i="13"/>
  <c r="DB152" i="13" s="1"/>
  <c r="DG152" i="13" s="1"/>
  <c r="AF152" i="13"/>
  <c r="AH152" i="13" s="1"/>
  <c r="AM152" i="13" s="1"/>
  <c r="H152" i="13"/>
  <c r="J152" i="13" s="1"/>
  <c r="O152" i="13" s="1"/>
  <c r="CZ152" i="16"/>
  <c r="DB152" i="16" s="1"/>
  <c r="DG152" i="16" s="1"/>
  <c r="CB152" i="16"/>
  <c r="CD152" i="16" s="1"/>
  <c r="CI152" i="16" s="1"/>
  <c r="AF152" i="16"/>
  <c r="AH152" i="16" s="1"/>
  <c r="AM152" i="16" s="1"/>
  <c r="AE152" i="14"/>
  <c r="AG152" i="14" s="1"/>
  <c r="AL152" i="14" s="1"/>
  <c r="BD152" i="13"/>
  <c r="BF152" i="13" s="1"/>
  <c r="BK152" i="13" s="1"/>
  <c r="CB152" i="15"/>
  <c r="CD152" i="15" s="1"/>
  <c r="CI152" i="15" s="1"/>
  <c r="H120" i="9"/>
  <c r="M120" i="9" s="1"/>
  <c r="N120" i="9" s="1"/>
  <c r="O120" i="9" s="1"/>
  <c r="H141" i="15"/>
  <c r="J141" i="15" s="1"/>
  <c r="O141" i="15" s="1"/>
  <c r="CZ141" i="14"/>
  <c r="DB141" i="14" s="1"/>
  <c r="DG141" i="14" s="1"/>
  <c r="CB141" i="14"/>
  <c r="CD141" i="14" s="1"/>
  <c r="CI141" i="14" s="1"/>
  <c r="H141" i="14"/>
  <c r="J141" i="14" s="1"/>
  <c r="O141" i="14" s="1"/>
  <c r="BD141" i="16"/>
  <c r="BF141" i="16" s="1"/>
  <c r="BK141" i="16" s="1"/>
  <c r="CZ141" i="15"/>
  <c r="DB141" i="15" s="1"/>
  <c r="DG141" i="15" s="1"/>
  <c r="CB141" i="15"/>
  <c r="CD141" i="15" s="1"/>
  <c r="CI141" i="15" s="1"/>
  <c r="AE141" i="14"/>
  <c r="AG141" i="14" s="1"/>
  <c r="AL141" i="14" s="1"/>
  <c r="CZ141" i="13"/>
  <c r="DB141" i="13" s="1"/>
  <c r="DG141" i="13" s="1"/>
  <c r="CB141" i="13"/>
  <c r="CD141" i="13" s="1"/>
  <c r="CI141" i="13" s="1"/>
  <c r="H141" i="13"/>
  <c r="J141" i="13" s="1"/>
  <c r="O141" i="13" s="1"/>
  <c r="H141" i="16"/>
  <c r="J141" i="16" s="1"/>
  <c r="O141" i="16" s="1"/>
  <c r="AF141" i="15"/>
  <c r="AH141" i="15" s="1"/>
  <c r="AM141" i="15" s="1"/>
  <c r="AF141" i="13"/>
  <c r="AH141" i="13" s="1"/>
  <c r="AM141" i="13" s="1"/>
  <c r="CZ141" i="16"/>
  <c r="DB141" i="16" s="1"/>
  <c r="DG141" i="16" s="1"/>
  <c r="CB141" i="16"/>
  <c r="CD141" i="16" s="1"/>
  <c r="CI141" i="16" s="1"/>
  <c r="AF141" i="16"/>
  <c r="AH141" i="16" s="1"/>
  <c r="AM141" i="16" s="1"/>
  <c r="BD141" i="13"/>
  <c r="BF141" i="13" s="1"/>
  <c r="BK141" i="13" s="1"/>
  <c r="BD141" i="15"/>
  <c r="BF141" i="15" s="1"/>
  <c r="BK141" i="15" s="1"/>
  <c r="BD141" i="14"/>
  <c r="BF141" i="14" s="1"/>
  <c r="BK141" i="14" s="1"/>
  <c r="H122" i="9"/>
  <c r="H143" i="16"/>
  <c r="J143" i="16" s="1"/>
  <c r="O143" i="16" s="1"/>
  <c r="CZ143" i="15"/>
  <c r="DB143" i="15" s="1"/>
  <c r="DG143" i="15" s="1"/>
  <c r="H143" i="15"/>
  <c r="J143" i="15" s="1"/>
  <c r="O143" i="15" s="1"/>
  <c r="H143" i="14"/>
  <c r="J143" i="14" s="1"/>
  <c r="O143" i="14" s="1"/>
  <c r="CZ143" i="13"/>
  <c r="DB143" i="13" s="1"/>
  <c r="DG143" i="13" s="1"/>
  <c r="CZ143" i="16"/>
  <c r="DB143" i="16" s="1"/>
  <c r="DG143" i="16" s="1"/>
  <c r="CB143" i="16"/>
  <c r="CD143" i="16" s="1"/>
  <c r="CI143" i="16" s="1"/>
  <c r="AF143" i="16"/>
  <c r="AH143" i="16" s="1"/>
  <c r="AM143" i="16" s="1"/>
  <c r="BD143" i="15"/>
  <c r="BF143" i="15" s="1"/>
  <c r="BK143" i="15" s="1"/>
  <c r="CB143" i="14"/>
  <c r="CD143" i="14" s="1"/>
  <c r="CI143" i="14" s="1"/>
  <c r="AF143" i="13"/>
  <c r="AH143" i="13" s="1"/>
  <c r="AM143" i="13" s="1"/>
  <c r="BD143" i="16"/>
  <c r="BF143" i="16" s="1"/>
  <c r="BK143" i="16" s="1"/>
  <c r="CB143" i="15"/>
  <c r="CD143" i="15" s="1"/>
  <c r="CI143" i="15" s="1"/>
  <c r="AF143" i="15"/>
  <c r="AH143" i="15" s="1"/>
  <c r="AM143" i="15" s="1"/>
  <c r="CB143" i="13"/>
  <c r="CD143" i="13" s="1"/>
  <c r="CI143" i="13" s="1"/>
  <c r="BD143" i="13"/>
  <c r="BF143" i="13" s="1"/>
  <c r="BK143" i="13" s="1"/>
  <c r="AE143" i="14"/>
  <c r="AG143" i="14" s="1"/>
  <c r="AL143" i="14" s="1"/>
  <c r="H143" i="13"/>
  <c r="J143" i="13" s="1"/>
  <c r="O143" i="13" s="1"/>
  <c r="BD143" i="14"/>
  <c r="BF143" i="14" s="1"/>
  <c r="BK143" i="14" s="1"/>
  <c r="CZ143" i="14"/>
  <c r="DB143" i="14" s="1"/>
  <c r="DG143" i="14" s="1"/>
  <c r="H123" i="9"/>
  <c r="M123" i="9" s="1"/>
  <c r="N123" i="9" s="1"/>
  <c r="O123" i="9" s="1"/>
  <c r="BD144" i="16"/>
  <c r="BF144" i="16" s="1"/>
  <c r="BK144" i="16" s="1"/>
  <c r="CB144" i="15"/>
  <c r="CD144" i="15" s="1"/>
  <c r="CI144" i="15" s="1"/>
  <c r="BD144" i="15"/>
  <c r="BF144" i="15" s="1"/>
  <c r="BK144" i="15" s="1"/>
  <c r="H144" i="13"/>
  <c r="J144" i="13" s="1"/>
  <c r="O144" i="13" s="1"/>
  <c r="CZ144" i="16"/>
  <c r="DB144" i="16" s="1"/>
  <c r="DG144" i="16" s="1"/>
  <c r="CB144" i="16"/>
  <c r="CD144" i="16" s="1"/>
  <c r="CI144" i="16" s="1"/>
  <c r="AF144" i="16"/>
  <c r="AH144" i="16" s="1"/>
  <c r="AM144" i="16" s="1"/>
  <c r="CB144" i="14"/>
  <c r="CD144" i="14" s="1"/>
  <c r="CI144" i="14" s="1"/>
  <c r="H144" i="14"/>
  <c r="J144" i="14" s="1"/>
  <c r="O144" i="14" s="1"/>
  <c r="CZ144" i="13"/>
  <c r="DB144" i="13" s="1"/>
  <c r="DG144" i="13" s="1"/>
  <c r="H144" i="15"/>
  <c r="J144" i="15" s="1"/>
  <c r="O144" i="15" s="1"/>
  <c r="AF144" i="13"/>
  <c r="AH144" i="13" s="1"/>
  <c r="AM144" i="13" s="1"/>
  <c r="CZ144" i="15"/>
  <c r="DB144" i="15" s="1"/>
  <c r="DG144" i="15" s="1"/>
  <c r="AF144" i="15"/>
  <c r="AH144" i="15" s="1"/>
  <c r="AM144" i="15" s="1"/>
  <c r="CB144" i="13"/>
  <c r="CD144" i="13" s="1"/>
  <c r="CI144" i="13" s="1"/>
  <c r="BD144" i="13"/>
  <c r="BF144" i="13" s="1"/>
  <c r="BK144" i="13" s="1"/>
  <c r="AE144" i="14"/>
  <c r="AG144" i="14" s="1"/>
  <c r="AL144" i="14" s="1"/>
  <c r="H144" i="16"/>
  <c r="J144" i="16" s="1"/>
  <c r="O144" i="16" s="1"/>
  <c r="BD144" i="14"/>
  <c r="BF144" i="14" s="1"/>
  <c r="BK144" i="14" s="1"/>
  <c r="CZ144" i="14"/>
  <c r="DB144" i="14" s="1"/>
  <c r="DG144" i="14" s="1"/>
  <c r="H125" i="9"/>
  <c r="CZ146" i="16"/>
  <c r="DB146" i="16" s="1"/>
  <c r="DG146" i="16" s="1"/>
  <c r="CB146" i="16"/>
  <c r="CD146" i="16" s="1"/>
  <c r="CI146" i="16" s="1"/>
  <c r="AF146" i="16"/>
  <c r="AH146" i="16" s="1"/>
  <c r="AM146" i="16" s="1"/>
  <c r="AF146" i="15"/>
  <c r="AH146" i="15" s="1"/>
  <c r="AM146" i="15" s="1"/>
  <c r="AE146" i="14"/>
  <c r="AG146" i="14" s="1"/>
  <c r="AL146" i="14" s="1"/>
  <c r="BD146" i="16"/>
  <c r="BF146" i="16" s="1"/>
  <c r="BK146" i="16" s="1"/>
  <c r="CZ146" i="15"/>
  <c r="DB146" i="15" s="1"/>
  <c r="DG146" i="15" s="1"/>
  <c r="CB146" i="15"/>
  <c r="CD146" i="15" s="1"/>
  <c r="CI146" i="15" s="1"/>
  <c r="H146" i="15"/>
  <c r="J146" i="15" s="1"/>
  <c r="O146" i="15" s="1"/>
  <c r="CB146" i="14"/>
  <c r="CD146" i="14" s="1"/>
  <c r="CI146" i="14" s="1"/>
  <c r="CZ146" i="13"/>
  <c r="DB146" i="13" s="1"/>
  <c r="DG146" i="13" s="1"/>
  <c r="H146" i="13"/>
  <c r="J146" i="13" s="1"/>
  <c r="O146" i="13" s="1"/>
  <c r="H146" i="16"/>
  <c r="J146" i="16" s="1"/>
  <c r="O146" i="16" s="1"/>
  <c r="AF146" i="13"/>
  <c r="AH146" i="13" s="1"/>
  <c r="AM146" i="13" s="1"/>
  <c r="BD146" i="13"/>
  <c r="BF146" i="13" s="1"/>
  <c r="BK146" i="13" s="1"/>
  <c r="BD146" i="15"/>
  <c r="BF146" i="15" s="1"/>
  <c r="BK146" i="15" s="1"/>
  <c r="H146" i="14"/>
  <c r="J146" i="14" s="1"/>
  <c r="O146" i="14" s="1"/>
  <c r="BD146" i="14"/>
  <c r="BF146" i="14" s="1"/>
  <c r="BK146" i="14" s="1"/>
  <c r="CZ146" i="14"/>
  <c r="DB146" i="14" s="1"/>
  <c r="DG146" i="14" s="1"/>
  <c r="CB146" i="13"/>
  <c r="CD146" i="13" s="1"/>
  <c r="CI146" i="13" s="1"/>
  <c r="H118" i="9"/>
  <c r="CZ139" i="16"/>
  <c r="DB139" i="16" s="1"/>
  <c r="DG139" i="16" s="1"/>
  <c r="H139" i="16"/>
  <c r="J139" i="16" s="1"/>
  <c r="O139" i="16" s="1"/>
  <c r="CZ139" i="15"/>
  <c r="DB139" i="15" s="1"/>
  <c r="DG139" i="15" s="1"/>
  <c r="AF139" i="15"/>
  <c r="AH139" i="15" s="1"/>
  <c r="AM139" i="15" s="1"/>
  <c r="CB139" i="16"/>
  <c r="CD139" i="16" s="1"/>
  <c r="CI139" i="16" s="1"/>
  <c r="AF139" i="16"/>
  <c r="AH139" i="16" s="1"/>
  <c r="AM139" i="16" s="1"/>
  <c r="BD139" i="15"/>
  <c r="BF139" i="15" s="1"/>
  <c r="BK139" i="15" s="1"/>
  <c r="BD139" i="14"/>
  <c r="BF139" i="14" s="1"/>
  <c r="BK139" i="14" s="1"/>
  <c r="AE139" i="14"/>
  <c r="AG139" i="14" s="1"/>
  <c r="AL139" i="14" s="1"/>
  <c r="H139" i="14"/>
  <c r="J139" i="14" s="1"/>
  <c r="O139" i="14" s="1"/>
  <c r="CZ139" i="13"/>
  <c r="DB139" i="13" s="1"/>
  <c r="DG139" i="13" s="1"/>
  <c r="CB139" i="13"/>
  <c r="CD139" i="13" s="1"/>
  <c r="CI139" i="13" s="1"/>
  <c r="BD139" i="16"/>
  <c r="BF139" i="16" s="1"/>
  <c r="BK139" i="16" s="1"/>
  <c r="CB139" i="15"/>
  <c r="CD139" i="15" s="1"/>
  <c r="CI139" i="15" s="1"/>
  <c r="CB139" i="14"/>
  <c r="CD139" i="14" s="1"/>
  <c r="CI139" i="14" s="1"/>
  <c r="AF139" i="13"/>
  <c r="AH139" i="13" s="1"/>
  <c r="AM139" i="13" s="1"/>
  <c r="BD139" i="13"/>
  <c r="BF139" i="13" s="1"/>
  <c r="BK139" i="13" s="1"/>
  <c r="H139" i="13"/>
  <c r="J139" i="13" s="1"/>
  <c r="O139" i="13" s="1"/>
  <c r="H139" i="15"/>
  <c r="J139" i="15" s="1"/>
  <c r="O139" i="15" s="1"/>
  <c r="CZ139" i="14"/>
  <c r="DB139" i="14" s="1"/>
  <c r="DG139" i="14" s="1"/>
  <c r="CZ150" i="16"/>
  <c r="DB150" i="16" s="1"/>
  <c r="DG150" i="16" s="1"/>
  <c r="CB150" i="16"/>
  <c r="CD150" i="16" s="1"/>
  <c r="CI150" i="16" s="1"/>
  <c r="AF150" i="16"/>
  <c r="AH150" i="16" s="1"/>
  <c r="AM150" i="16" s="1"/>
  <c r="H150" i="16"/>
  <c r="J150" i="16" s="1"/>
  <c r="O150" i="16" s="1"/>
  <c r="AF150" i="15"/>
  <c r="AH150" i="15" s="1"/>
  <c r="AM150" i="15" s="1"/>
  <c r="BD150" i="14"/>
  <c r="BF150" i="14" s="1"/>
  <c r="BK150" i="14" s="1"/>
  <c r="CB150" i="13"/>
  <c r="CD150" i="13" s="1"/>
  <c r="CI150" i="13" s="1"/>
  <c r="CB150" i="15"/>
  <c r="CD150" i="15" s="1"/>
  <c r="CI150" i="15" s="1"/>
  <c r="BD150" i="15"/>
  <c r="BF150" i="15" s="1"/>
  <c r="BK150" i="15" s="1"/>
  <c r="CZ150" i="13"/>
  <c r="DB150" i="13" s="1"/>
  <c r="DG150" i="13" s="1"/>
  <c r="BD150" i="16"/>
  <c r="BF150" i="16" s="1"/>
  <c r="BK150" i="16" s="1"/>
  <c r="CZ150" i="15"/>
  <c r="DB150" i="15" s="1"/>
  <c r="DG150" i="15" s="1"/>
  <c r="AF150" i="13"/>
  <c r="AH150" i="13" s="1"/>
  <c r="AM150" i="13" s="1"/>
  <c r="BD150" i="13"/>
  <c r="BF150" i="13" s="1"/>
  <c r="BK150" i="13" s="1"/>
  <c r="H150" i="13"/>
  <c r="J150" i="13" s="1"/>
  <c r="O150" i="13" s="1"/>
  <c r="AE150" i="14"/>
  <c r="AG150" i="14" s="1"/>
  <c r="AL150" i="14" s="1"/>
  <c r="CZ150" i="14"/>
  <c r="DB150" i="14" s="1"/>
  <c r="DG150" i="14" s="1"/>
  <c r="H150" i="15"/>
  <c r="J150" i="15" s="1"/>
  <c r="O150" i="15" s="1"/>
  <c r="CB150" i="14"/>
  <c r="CD150" i="14" s="1"/>
  <c r="CI150" i="14" s="1"/>
  <c r="H150" i="14"/>
  <c r="J150" i="14" s="1"/>
  <c r="O150" i="14" s="1"/>
  <c r="H117" i="9"/>
  <c r="CB138" i="16"/>
  <c r="CD138" i="16" s="1"/>
  <c r="CI138" i="16" s="1"/>
  <c r="AF138" i="16"/>
  <c r="AH138" i="16" s="1"/>
  <c r="AM138" i="16" s="1"/>
  <c r="BD138" i="14"/>
  <c r="BF138" i="14" s="1"/>
  <c r="BK138" i="14" s="1"/>
  <c r="CB138" i="13"/>
  <c r="CD138" i="13" s="1"/>
  <c r="CI138" i="13" s="1"/>
  <c r="H138" i="15"/>
  <c r="J138" i="15" s="1"/>
  <c r="O138" i="15" s="1"/>
  <c r="AE138" i="14"/>
  <c r="AG138" i="14" s="1"/>
  <c r="AL138" i="14" s="1"/>
  <c r="CZ138" i="13"/>
  <c r="DB138" i="13" s="1"/>
  <c r="DG138" i="13" s="1"/>
  <c r="BD138" i="15"/>
  <c r="BF138" i="15" s="1"/>
  <c r="BK138" i="15" s="1"/>
  <c r="CB138" i="14"/>
  <c r="CD138" i="14" s="1"/>
  <c r="CI138" i="14" s="1"/>
  <c r="AF138" i="13"/>
  <c r="AH138" i="13" s="1"/>
  <c r="AM138" i="13" s="1"/>
  <c r="CZ138" i="16"/>
  <c r="DB138" i="16" s="1"/>
  <c r="DG138" i="16" s="1"/>
  <c r="BD138" i="16"/>
  <c r="BF138" i="16" s="1"/>
  <c r="BK138" i="16" s="1"/>
  <c r="CZ138" i="15"/>
  <c r="DB138" i="15" s="1"/>
  <c r="DG138" i="15" s="1"/>
  <c r="CB138" i="15"/>
  <c r="CD138" i="15" s="1"/>
  <c r="CI138" i="15" s="1"/>
  <c r="H138" i="14"/>
  <c r="J138" i="14" s="1"/>
  <c r="O138" i="14" s="1"/>
  <c r="BD138" i="13"/>
  <c r="BF138" i="13" s="1"/>
  <c r="BK138" i="13" s="1"/>
  <c r="H138" i="13"/>
  <c r="J138" i="13" s="1"/>
  <c r="O138" i="13" s="1"/>
  <c r="H138" i="16"/>
  <c r="J138" i="16" s="1"/>
  <c r="O138" i="16" s="1"/>
  <c r="AF138" i="15"/>
  <c r="AH138" i="15" s="1"/>
  <c r="AM138" i="15" s="1"/>
  <c r="CZ138" i="14"/>
  <c r="DB138" i="14" s="1"/>
  <c r="DG138" i="14" s="1"/>
  <c r="H128" i="9"/>
  <c r="M128" i="9" s="1"/>
  <c r="N128" i="9" s="1"/>
  <c r="O128" i="9" s="1"/>
  <c r="BD149" i="14"/>
  <c r="BF149" i="14" s="1"/>
  <c r="BK149" i="14" s="1"/>
  <c r="CB149" i="13"/>
  <c r="CD149" i="13" s="1"/>
  <c r="CI149" i="13" s="1"/>
  <c r="CZ149" i="16"/>
  <c r="DB149" i="16" s="1"/>
  <c r="DG149" i="16" s="1"/>
  <c r="CB149" i="16"/>
  <c r="CD149" i="16" s="1"/>
  <c r="CI149" i="16" s="1"/>
  <c r="AF149" i="16"/>
  <c r="AH149" i="16" s="1"/>
  <c r="AM149" i="16" s="1"/>
  <c r="H149" i="15"/>
  <c r="J149" i="15" s="1"/>
  <c r="O149" i="15" s="1"/>
  <c r="CZ149" i="13"/>
  <c r="DB149" i="13" s="1"/>
  <c r="DG149" i="13" s="1"/>
  <c r="CB149" i="15"/>
  <c r="CD149" i="15" s="1"/>
  <c r="CI149" i="15" s="1"/>
  <c r="BD149" i="15"/>
  <c r="BF149" i="15" s="1"/>
  <c r="BK149" i="15" s="1"/>
  <c r="H149" i="14"/>
  <c r="J149" i="14" s="1"/>
  <c r="O149" i="14" s="1"/>
  <c r="AF149" i="13"/>
  <c r="AH149" i="13" s="1"/>
  <c r="AM149" i="13" s="1"/>
  <c r="BD149" i="16"/>
  <c r="BF149" i="16" s="1"/>
  <c r="BK149" i="16" s="1"/>
  <c r="H149" i="16"/>
  <c r="J149" i="16" s="1"/>
  <c r="O149" i="16" s="1"/>
  <c r="CZ149" i="15"/>
  <c r="DB149" i="15" s="1"/>
  <c r="DG149" i="15" s="1"/>
  <c r="AF149" i="15"/>
  <c r="AH149" i="15" s="1"/>
  <c r="AM149" i="15" s="1"/>
  <c r="BD149" i="13"/>
  <c r="BF149" i="13" s="1"/>
  <c r="BK149" i="13" s="1"/>
  <c r="AE149" i="14"/>
  <c r="AG149" i="14" s="1"/>
  <c r="AL149" i="14" s="1"/>
  <c r="CZ149" i="14"/>
  <c r="DB149" i="14" s="1"/>
  <c r="DG149" i="14" s="1"/>
  <c r="CB149" i="14"/>
  <c r="CD149" i="14" s="1"/>
  <c r="CI149" i="14" s="1"/>
  <c r="H149" i="13"/>
  <c r="J149" i="13" s="1"/>
  <c r="O149" i="13" s="1"/>
  <c r="H126" i="9"/>
  <c r="H147" i="16"/>
  <c r="J147" i="16" s="1"/>
  <c r="O147" i="16" s="1"/>
  <c r="CZ147" i="15"/>
  <c r="DB147" i="15" s="1"/>
  <c r="DG147" i="15" s="1"/>
  <c r="H147" i="14"/>
  <c r="J147" i="14" s="1"/>
  <c r="O147" i="14" s="1"/>
  <c r="AF147" i="15"/>
  <c r="AH147" i="15" s="1"/>
  <c r="AM147" i="15" s="1"/>
  <c r="H147" i="15"/>
  <c r="J147" i="15" s="1"/>
  <c r="O147" i="15" s="1"/>
  <c r="CB147" i="14"/>
  <c r="CD147" i="14" s="1"/>
  <c r="CI147" i="14" s="1"/>
  <c r="CZ147" i="13"/>
  <c r="DB147" i="13" s="1"/>
  <c r="DG147" i="13" s="1"/>
  <c r="AF147" i="13"/>
  <c r="AH147" i="13" s="1"/>
  <c r="AM147" i="13" s="1"/>
  <c r="H147" i="13"/>
  <c r="J147" i="13" s="1"/>
  <c r="O147" i="13" s="1"/>
  <c r="CZ147" i="16"/>
  <c r="DB147" i="16" s="1"/>
  <c r="DG147" i="16" s="1"/>
  <c r="CB147" i="16"/>
  <c r="CD147" i="16" s="1"/>
  <c r="CI147" i="16" s="1"/>
  <c r="AF147" i="16"/>
  <c r="AH147" i="16" s="1"/>
  <c r="AM147" i="16" s="1"/>
  <c r="BD147" i="15"/>
  <c r="BF147" i="15" s="1"/>
  <c r="BK147" i="15" s="1"/>
  <c r="CB147" i="15"/>
  <c r="CD147" i="15" s="1"/>
  <c r="CI147" i="15" s="1"/>
  <c r="BD147" i="13"/>
  <c r="BF147" i="13" s="1"/>
  <c r="BK147" i="13" s="1"/>
  <c r="BD147" i="16"/>
  <c r="BF147" i="16" s="1"/>
  <c r="BK147" i="16" s="1"/>
  <c r="BD147" i="14"/>
  <c r="BF147" i="14" s="1"/>
  <c r="BK147" i="14" s="1"/>
  <c r="AE147" i="14"/>
  <c r="AG147" i="14" s="1"/>
  <c r="AL147" i="14" s="1"/>
  <c r="CZ147" i="14"/>
  <c r="DB147" i="14" s="1"/>
  <c r="DG147" i="14" s="1"/>
  <c r="CB147" i="13"/>
  <c r="CD147" i="13" s="1"/>
  <c r="CI147" i="13" s="1"/>
  <c r="CE151" i="16"/>
  <c r="CJ151" i="16" s="1"/>
  <c r="CF151" i="16"/>
  <c r="CK151" i="16" s="1"/>
  <c r="K151" i="14"/>
  <c r="P151" i="14" s="1"/>
  <c r="L151" i="14"/>
  <c r="Q151" i="14" s="1"/>
  <c r="DC151" i="14"/>
  <c r="DH151" i="14" s="1"/>
  <c r="DD151" i="14"/>
  <c r="DI151" i="14" s="1"/>
  <c r="CE151" i="14"/>
  <c r="CJ151" i="14" s="1"/>
  <c r="BD140" i="16"/>
  <c r="BF140" i="16" s="1"/>
  <c r="BK140" i="16" s="1"/>
  <c r="CB140" i="15"/>
  <c r="CD140" i="15" s="1"/>
  <c r="CI140" i="15" s="1"/>
  <c r="BD140" i="15"/>
  <c r="BF140" i="15" s="1"/>
  <c r="BK140" i="15" s="1"/>
  <c r="H140" i="15"/>
  <c r="J140" i="15" s="1"/>
  <c r="O140" i="15" s="1"/>
  <c r="CZ140" i="14"/>
  <c r="DB140" i="14" s="1"/>
  <c r="DG140" i="14" s="1"/>
  <c r="CB140" i="14"/>
  <c r="CD140" i="14" s="1"/>
  <c r="CI140" i="14" s="1"/>
  <c r="H140" i="13"/>
  <c r="J140" i="13" s="1"/>
  <c r="O140" i="13" s="1"/>
  <c r="CZ140" i="16"/>
  <c r="DB140" i="16" s="1"/>
  <c r="DG140" i="16" s="1"/>
  <c r="AE140" i="14"/>
  <c r="AG140" i="14" s="1"/>
  <c r="AL140" i="14" s="1"/>
  <c r="CZ140" i="13"/>
  <c r="DB140" i="13" s="1"/>
  <c r="DG140" i="13" s="1"/>
  <c r="CB140" i="13"/>
  <c r="CD140" i="13" s="1"/>
  <c r="CI140" i="13" s="1"/>
  <c r="CZ140" i="15"/>
  <c r="DB140" i="15" s="1"/>
  <c r="DG140" i="15" s="1"/>
  <c r="H140" i="14"/>
  <c r="J140" i="14" s="1"/>
  <c r="O140" i="14" s="1"/>
  <c r="AF140" i="13"/>
  <c r="AH140" i="13" s="1"/>
  <c r="AM140" i="13" s="1"/>
  <c r="H140" i="16"/>
  <c r="J140" i="16" s="1"/>
  <c r="O140" i="16" s="1"/>
  <c r="BD140" i="13"/>
  <c r="BF140" i="13" s="1"/>
  <c r="BK140" i="13" s="1"/>
  <c r="CB140" i="16"/>
  <c r="CD140" i="16" s="1"/>
  <c r="CI140" i="16" s="1"/>
  <c r="AF140" i="15"/>
  <c r="AH140" i="15" s="1"/>
  <c r="AM140" i="15" s="1"/>
  <c r="BD140" i="14"/>
  <c r="BF140" i="14" s="1"/>
  <c r="BK140" i="14" s="1"/>
  <c r="AF140" i="16"/>
  <c r="AH140" i="16" s="1"/>
  <c r="AM140" i="16" s="1"/>
  <c r="AE145" i="14"/>
  <c r="AG145" i="14" s="1"/>
  <c r="AL145" i="14" s="1"/>
  <c r="BD145" i="15"/>
  <c r="BF145" i="15" s="1"/>
  <c r="BK145" i="15" s="1"/>
  <c r="CB145" i="14"/>
  <c r="CD145" i="14" s="1"/>
  <c r="CI145" i="14" s="1"/>
  <c r="CZ145" i="13"/>
  <c r="DB145" i="13" s="1"/>
  <c r="DG145" i="13" s="1"/>
  <c r="BD145" i="16"/>
  <c r="BF145" i="16" s="1"/>
  <c r="BK145" i="16" s="1"/>
  <c r="CZ145" i="15"/>
  <c r="DB145" i="15" s="1"/>
  <c r="DG145" i="15" s="1"/>
  <c r="CB145" i="15"/>
  <c r="CD145" i="15" s="1"/>
  <c r="CI145" i="15" s="1"/>
  <c r="AF145" i="15"/>
  <c r="AH145" i="15" s="1"/>
  <c r="AM145" i="15" s="1"/>
  <c r="H145" i="15"/>
  <c r="J145" i="15" s="1"/>
  <c r="O145" i="15" s="1"/>
  <c r="H145" i="14"/>
  <c r="J145" i="14" s="1"/>
  <c r="O145" i="14" s="1"/>
  <c r="AF145" i="13"/>
  <c r="AH145" i="13" s="1"/>
  <c r="AM145" i="13" s="1"/>
  <c r="H145" i="16"/>
  <c r="J145" i="16" s="1"/>
  <c r="O145" i="16" s="1"/>
  <c r="CB145" i="16"/>
  <c r="CD145" i="16" s="1"/>
  <c r="CI145" i="16" s="1"/>
  <c r="BD145" i="13"/>
  <c r="BF145" i="13" s="1"/>
  <c r="BK145" i="13" s="1"/>
  <c r="CZ145" i="16"/>
  <c r="DB145" i="16" s="1"/>
  <c r="DG145" i="16" s="1"/>
  <c r="AF145" i="16"/>
  <c r="AH145" i="16" s="1"/>
  <c r="AM145" i="16" s="1"/>
  <c r="BD145" i="14"/>
  <c r="BF145" i="14" s="1"/>
  <c r="BK145" i="14" s="1"/>
  <c r="H145" i="13"/>
  <c r="J145" i="13" s="1"/>
  <c r="O145" i="13" s="1"/>
  <c r="CZ145" i="14"/>
  <c r="DB145" i="14" s="1"/>
  <c r="DG145" i="14" s="1"/>
  <c r="CB145" i="13"/>
  <c r="CD145" i="13" s="1"/>
  <c r="CI145" i="13" s="1"/>
  <c r="H127" i="9"/>
  <c r="BD148" i="16"/>
  <c r="BF148" i="16" s="1"/>
  <c r="BK148" i="16" s="1"/>
  <c r="CB148" i="15"/>
  <c r="CD148" i="15" s="1"/>
  <c r="CI148" i="15" s="1"/>
  <c r="BD148" i="15"/>
  <c r="BF148" i="15" s="1"/>
  <c r="BK148" i="15" s="1"/>
  <c r="BD148" i="14"/>
  <c r="BF148" i="14" s="1"/>
  <c r="BK148" i="14" s="1"/>
  <c r="H148" i="13"/>
  <c r="J148" i="13" s="1"/>
  <c r="O148" i="13" s="1"/>
  <c r="H148" i="15"/>
  <c r="J148" i="15" s="1"/>
  <c r="O148" i="15" s="1"/>
  <c r="CZ148" i="13"/>
  <c r="DB148" i="13" s="1"/>
  <c r="DG148" i="13" s="1"/>
  <c r="CZ148" i="16"/>
  <c r="DB148" i="16" s="1"/>
  <c r="DG148" i="16" s="1"/>
  <c r="CB148" i="16"/>
  <c r="CD148" i="16" s="1"/>
  <c r="CI148" i="16" s="1"/>
  <c r="AF148" i="16"/>
  <c r="AH148" i="16" s="1"/>
  <c r="AM148" i="16" s="1"/>
  <c r="H148" i="14"/>
  <c r="J148" i="14" s="1"/>
  <c r="O148" i="14" s="1"/>
  <c r="AF148" i="13"/>
  <c r="AH148" i="13" s="1"/>
  <c r="AM148" i="13" s="1"/>
  <c r="H148" i="16"/>
  <c r="J148" i="16" s="1"/>
  <c r="O148" i="16" s="1"/>
  <c r="BD148" i="13"/>
  <c r="BF148" i="13" s="1"/>
  <c r="BK148" i="13" s="1"/>
  <c r="AE148" i="14"/>
  <c r="AG148" i="14" s="1"/>
  <c r="AL148" i="14" s="1"/>
  <c r="CZ148" i="14"/>
  <c r="DB148" i="14" s="1"/>
  <c r="DG148" i="14" s="1"/>
  <c r="CZ148" i="15"/>
  <c r="DB148" i="15" s="1"/>
  <c r="DG148" i="15" s="1"/>
  <c r="AF148" i="15"/>
  <c r="AH148" i="15" s="1"/>
  <c r="AM148" i="15" s="1"/>
  <c r="CB148" i="14"/>
  <c r="CD148" i="14" s="1"/>
  <c r="CI148" i="14" s="1"/>
  <c r="CB148" i="13"/>
  <c r="CD148" i="13" s="1"/>
  <c r="CI148" i="13" s="1"/>
  <c r="H132" i="9"/>
  <c r="H153" i="16"/>
  <c r="J153" i="16" s="1"/>
  <c r="O153" i="16" s="1"/>
  <c r="H153" i="15"/>
  <c r="J153" i="15" s="1"/>
  <c r="O153" i="15" s="1"/>
  <c r="CZ153" i="14"/>
  <c r="DB153" i="14" s="1"/>
  <c r="DG153" i="14" s="1"/>
  <c r="CB153" i="14"/>
  <c r="CD153" i="14" s="1"/>
  <c r="CI153" i="14" s="1"/>
  <c r="BD153" i="14"/>
  <c r="BF153" i="14" s="1"/>
  <c r="BK153" i="14" s="1"/>
  <c r="H153" i="14"/>
  <c r="J153" i="14" s="1"/>
  <c r="O153" i="14" s="1"/>
  <c r="CB153" i="13"/>
  <c r="CD153" i="13" s="1"/>
  <c r="CI153" i="13" s="1"/>
  <c r="CZ153" i="13"/>
  <c r="DB153" i="13" s="1"/>
  <c r="DG153" i="13" s="1"/>
  <c r="CZ153" i="16"/>
  <c r="DB153" i="16" s="1"/>
  <c r="DG153" i="16" s="1"/>
  <c r="CB153" i="16"/>
  <c r="CD153" i="16" s="1"/>
  <c r="CI153" i="16" s="1"/>
  <c r="AF153" i="16"/>
  <c r="AH153" i="16" s="1"/>
  <c r="AM153" i="16" s="1"/>
  <c r="AF153" i="13"/>
  <c r="AH153" i="13" s="1"/>
  <c r="AM153" i="13" s="1"/>
  <c r="CB153" i="15"/>
  <c r="CD153" i="15" s="1"/>
  <c r="CI153" i="15" s="1"/>
  <c r="BD153" i="15"/>
  <c r="BF153" i="15" s="1"/>
  <c r="BK153" i="15" s="1"/>
  <c r="BD153" i="16"/>
  <c r="BF153" i="16" s="1"/>
  <c r="BK153" i="16" s="1"/>
  <c r="AE153" i="14"/>
  <c r="AG153" i="14" s="1"/>
  <c r="AL153" i="14" s="1"/>
  <c r="BD153" i="13"/>
  <c r="BF153" i="13" s="1"/>
  <c r="BK153" i="13" s="1"/>
  <c r="H153" i="13"/>
  <c r="J153" i="13" s="1"/>
  <c r="O153" i="13" s="1"/>
  <c r="CZ153" i="15"/>
  <c r="DB153" i="15" s="1"/>
  <c r="DG153" i="15" s="1"/>
  <c r="AF153" i="15"/>
  <c r="AH153" i="15" s="1"/>
  <c r="AM153" i="15" s="1"/>
  <c r="AI151" i="15"/>
  <c r="AN151" i="15" s="1"/>
  <c r="AJ151" i="15"/>
  <c r="AO151" i="15" s="1"/>
  <c r="K151" i="15"/>
  <c r="P151" i="15" s="1"/>
  <c r="L151" i="15"/>
  <c r="Q151" i="15" s="1"/>
  <c r="K151" i="16"/>
  <c r="P151" i="16" s="1"/>
  <c r="L151" i="16"/>
  <c r="Q151" i="16" s="1"/>
  <c r="CE151" i="13"/>
  <c r="CJ151" i="13" s="1"/>
  <c r="CF151" i="13"/>
  <c r="CK151" i="13" s="1"/>
  <c r="CE151" i="15"/>
  <c r="CJ151" i="15" s="1"/>
  <c r="CF151" i="15"/>
  <c r="CK151" i="15" s="1"/>
  <c r="BG151" i="13"/>
  <c r="BL151" i="13" s="1"/>
  <c r="BH151" i="13"/>
  <c r="BM151" i="13" s="1"/>
  <c r="AJ151" i="13"/>
  <c r="AO151" i="13" s="1"/>
  <c r="BG151" i="14"/>
  <c r="BL151" i="14" s="1"/>
  <c r="BH151" i="14"/>
  <c r="BM151" i="14" s="1"/>
  <c r="DC151" i="15"/>
  <c r="DH151" i="15" s="1"/>
  <c r="DD151" i="15"/>
  <c r="DI151" i="15" s="1"/>
  <c r="F16" i="9"/>
  <c r="H16" i="9" s="1"/>
  <c r="F76" i="9"/>
  <c r="H76" i="9" s="1"/>
  <c r="M76" i="9" s="1"/>
  <c r="N76" i="9" s="1"/>
  <c r="O76" i="9" s="1"/>
  <c r="F75" i="9"/>
  <c r="H75" i="9" s="1"/>
  <c r="F80" i="9"/>
  <c r="H80" i="9" s="1"/>
  <c r="F72" i="9"/>
  <c r="H72" i="9" s="1"/>
  <c r="F77" i="9"/>
  <c r="H77" i="9" s="1"/>
  <c r="F79" i="9"/>
  <c r="H79" i="9" s="1"/>
  <c r="F69" i="9"/>
  <c r="H69" i="9" s="1"/>
  <c r="M69" i="9" s="1"/>
  <c r="N69" i="9" s="1"/>
  <c r="O69" i="9" s="1"/>
  <c r="F71" i="9"/>
  <c r="H71" i="9" s="1"/>
  <c r="F68" i="9"/>
  <c r="F74" i="9"/>
  <c r="H74" i="9" s="1"/>
  <c r="F66" i="9"/>
  <c r="H66" i="9" s="1"/>
  <c r="F78" i="9"/>
  <c r="H78" i="9" s="1"/>
  <c r="F67" i="9"/>
  <c r="H67" i="9" s="1"/>
  <c r="F73" i="9"/>
  <c r="H73" i="9" s="1"/>
  <c r="F65" i="9"/>
  <c r="H65" i="9" s="1"/>
  <c r="F17" i="9"/>
  <c r="H17" i="9" s="1"/>
  <c r="F20" i="9"/>
  <c r="H20" i="9" s="1"/>
  <c r="F26" i="9"/>
  <c r="H26" i="9" s="1"/>
  <c r="M26" i="9" s="1"/>
  <c r="N26" i="9" s="1"/>
  <c r="O26" i="9" s="1"/>
  <c r="P12" i="8"/>
  <c r="F23" i="9"/>
  <c r="H23" i="9" s="1"/>
  <c r="F13" i="9"/>
  <c r="H13" i="9" s="1"/>
  <c r="M13" i="9" s="1"/>
  <c r="N13" i="9" s="1"/>
  <c r="O13" i="9" s="1"/>
  <c r="F21" i="9"/>
  <c r="H21" i="9" s="1"/>
  <c r="F27" i="9"/>
  <c r="H27" i="9" s="1"/>
  <c r="F15" i="9"/>
  <c r="H15" i="9" s="1"/>
  <c r="F25" i="9"/>
  <c r="H25" i="9" s="1"/>
  <c r="F28" i="9"/>
  <c r="H28" i="9" s="1"/>
  <c r="F19" i="9"/>
  <c r="H19" i="9" s="1"/>
  <c r="F24" i="9"/>
  <c r="H24" i="9" s="1"/>
  <c r="F14" i="9"/>
  <c r="H14" i="9" s="1"/>
  <c r="F22" i="9"/>
  <c r="H22" i="9" s="1"/>
  <c r="H48" i="9"/>
  <c r="G152" i="9"/>
  <c r="H68" i="9"/>
  <c r="G146" i="9"/>
  <c r="I146" i="9" s="1"/>
  <c r="N146" i="9" s="1"/>
  <c r="H129" i="9"/>
  <c r="G155" i="9"/>
  <c r="H53" i="9"/>
  <c r="G157" i="9"/>
  <c r="H97" i="9"/>
  <c r="G149" i="9"/>
  <c r="H43" i="9"/>
  <c r="M43" i="9" s="1"/>
  <c r="N43" i="9" s="1"/>
  <c r="O43" i="9" s="1"/>
  <c r="G147" i="9"/>
  <c r="H92" i="9"/>
  <c r="G144" i="9"/>
  <c r="H102" i="9"/>
  <c r="G154" i="9"/>
  <c r="H119" i="9"/>
  <c r="G145" i="9"/>
  <c r="H124" i="9"/>
  <c r="G150" i="9"/>
  <c r="I150" i="9" s="1"/>
  <c r="N150" i="9" s="1"/>
  <c r="H18" i="9"/>
  <c r="M18" i="9" s="1"/>
  <c r="N18" i="9" s="1"/>
  <c r="O18" i="9" s="1"/>
  <c r="G148" i="9"/>
  <c r="I18" i="17"/>
  <c r="L18" i="17" s="1"/>
  <c r="I17" i="17"/>
  <c r="M17" i="17" s="1"/>
  <c r="I14" i="17"/>
  <c r="L14" i="17" s="1"/>
  <c r="I13" i="17"/>
  <c r="L13" i="17" s="1"/>
  <c r="I10" i="17"/>
  <c r="M10" i="17" s="1"/>
  <c r="I19" i="17"/>
  <c r="L19" i="17" s="1"/>
  <c r="I22" i="17"/>
  <c r="M22" i="17" s="1"/>
  <c r="I16" i="17"/>
  <c r="L16" i="17" s="1"/>
  <c r="I20" i="17"/>
  <c r="L20" i="17" s="1"/>
  <c r="I12" i="17"/>
  <c r="L12" i="17" s="1"/>
  <c r="I21" i="17"/>
  <c r="L21" i="17" s="1"/>
  <c r="I9" i="17"/>
  <c r="L9" i="17" s="1"/>
  <c r="I8" i="17"/>
  <c r="L8" i="17" s="1"/>
  <c r="I11" i="17"/>
  <c r="L11" i="17" s="1"/>
  <c r="I15" i="17"/>
  <c r="L15" i="17" s="1"/>
  <c r="I7" i="17"/>
  <c r="L7" i="17" s="1"/>
  <c r="N7" i="17" s="1"/>
  <c r="J91" i="9"/>
  <c r="I105" i="9"/>
  <c r="I104" i="9"/>
  <c r="I96" i="9"/>
  <c r="I98" i="9"/>
  <c r="I106" i="9"/>
  <c r="I94" i="9"/>
  <c r="G36" i="18" s="1"/>
  <c r="I130" i="9"/>
  <c r="I103" i="9"/>
  <c r="N15" i="23"/>
  <c r="M15" i="23"/>
  <c r="N20" i="23"/>
  <c r="M20" i="23"/>
  <c r="N8" i="23"/>
  <c r="M8" i="23"/>
  <c r="N16" i="23"/>
  <c r="M16" i="23"/>
  <c r="N13" i="23"/>
  <c r="M13" i="23"/>
  <c r="N17" i="23"/>
  <c r="M17" i="23"/>
  <c r="N11" i="23"/>
  <c r="M11" i="23"/>
  <c r="N21" i="23"/>
  <c r="M21" i="23"/>
  <c r="N19" i="23"/>
  <c r="M19" i="23"/>
  <c r="N18" i="23"/>
  <c r="M18" i="23"/>
  <c r="N12" i="23"/>
  <c r="M12" i="23"/>
  <c r="N9" i="23"/>
  <c r="M9" i="23"/>
  <c r="N10" i="23"/>
  <c r="M10" i="23"/>
  <c r="N22" i="23"/>
  <c r="M22" i="23"/>
  <c r="N14" i="23"/>
  <c r="M14" i="23"/>
  <c r="I99" i="9"/>
  <c r="J93" i="9"/>
  <c r="L38" i="18"/>
  <c r="I95" i="9"/>
  <c r="I93" i="9"/>
  <c r="L40" i="18"/>
  <c r="J99" i="9"/>
  <c r="I100" i="9"/>
  <c r="J101" i="9"/>
  <c r="I40" i="9"/>
  <c r="I47" i="9"/>
  <c r="I39" i="9"/>
  <c r="J39" i="9"/>
  <c r="I70" i="9"/>
  <c r="I52" i="9"/>
  <c r="I50" i="9"/>
  <c r="I46" i="9"/>
  <c r="I51" i="9"/>
  <c r="I41" i="9"/>
  <c r="I49" i="9"/>
  <c r="J47" i="9"/>
  <c r="I44" i="9"/>
  <c r="J52" i="9"/>
  <c r="J40" i="9"/>
  <c r="I54" i="9"/>
  <c r="I42" i="9"/>
  <c r="I45" i="9"/>
  <c r="J54" i="9"/>
  <c r="R13" i="2"/>
  <c r="K13" i="2"/>
  <c r="AE14" i="2"/>
  <c r="V12" i="8" s="1"/>
  <c r="AF14" i="2"/>
  <c r="W12" i="8" s="1"/>
  <c r="J16" i="2"/>
  <c r="J18" i="2" s="1"/>
  <c r="Q16" i="2"/>
  <c r="Q18" i="2" s="1"/>
  <c r="DC151" i="16" l="1"/>
  <c r="DH151" i="16" s="1"/>
  <c r="DG151" i="16"/>
  <c r="DC151" i="13"/>
  <c r="DH151" i="13" s="1"/>
  <c r="DG151" i="13"/>
  <c r="BG151" i="15"/>
  <c r="BL151" i="15" s="1"/>
  <c r="BK151" i="15"/>
  <c r="L151" i="13"/>
  <c r="Q151" i="13" s="1"/>
  <c r="O151" i="13"/>
  <c r="CF151" i="14"/>
  <c r="CK151" i="14" s="1"/>
  <c r="AH151" i="14"/>
  <c r="AM151" i="14" s="1"/>
  <c r="AL151" i="14"/>
  <c r="AI151" i="13"/>
  <c r="AN151" i="13" s="1"/>
  <c r="AM151" i="13"/>
  <c r="BG151" i="16"/>
  <c r="BL151" i="16" s="1"/>
  <c r="BH151" i="16"/>
  <c r="BM151" i="16" s="1"/>
  <c r="BH151" i="15"/>
  <c r="BM151" i="15" s="1"/>
  <c r="K151" i="13"/>
  <c r="P151" i="13" s="1"/>
  <c r="G48" i="18"/>
  <c r="G47" i="18"/>
  <c r="G33" i="18"/>
  <c r="G45" i="18"/>
  <c r="N33" i="18"/>
  <c r="G43" i="18"/>
  <c r="J120" i="9"/>
  <c r="O36" i="18" s="1"/>
  <c r="DD151" i="16"/>
  <c r="DI151" i="16" s="1"/>
  <c r="H46" i="18"/>
  <c r="G40" i="18"/>
  <c r="G38" i="18"/>
  <c r="J92" i="9"/>
  <c r="M92" i="9"/>
  <c r="N92" i="9" s="1"/>
  <c r="O92" i="9" s="1"/>
  <c r="I48" i="9"/>
  <c r="M48" i="9"/>
  <c r="N48" i="9" s="1"/>
  <c r="O48" i="9" s="1"/>
  <c r="J80" i="9"/>
  <c r="M80" i="9"/>
  <c r="N80" i="9" s="1"/>
  <c r="O80" i="9" s="1"/>
  <c r="J132" i="9"/>
  <c r="M132" i="9"/>
  <c r="N132" i="9" s="1"/>
  <c r="O132" i="9" s="1"/>
  <c r="J118" i="9"/>
  <c r="M118" i="9"/>
  <c r="N118" i="9" s="1"/>
  <c r="O118" i="9" s="1"/>
  <c r="J119" i="9"/>
  <c r="M119" i="9"/>
  <c r="N119" i="9" s="1"/>
  <c r="O119" i="9" s="1"/>
  <c r="J28" i="9"/>
  <c r="M28" i="9"/>
  <c r="N28" i="9" s="1"/>
  <c r="O28" i="9" s="1"/>
  <c r="K48" i="18" s="1"/>
  <c r="Q22" i="17" s="1"/>
  <c r="J74" i="9"/>
  <c r="M74" i="9"/>
  <c r="N74" i="9" s="1"/>
  <c r="O74" i="9" s="1"/>
  <c r="J127" i="9"/>
  <c r="M127" i="9"/>
  <c r="N127" i="9" s="1"/>
  <c r="O127" i="9" s="1"/>
  <c r="J126" i="9"/>
  <c r="M126" i="9"/>
  <c r="N126" i="9" s="1"/>
  <c r="O126" i="9" s="1"/>
  <c r="J125" i="9"/>
  <c r="M125" i="9"/>
  <c r="N125" i="9" s="1"/>
  <c r="O125" i="9" s="1"/>
  <c r="J131" i="9"/>
  <c r="M131" i="9"/>
  <c r="N131" i="9" s="1"/>
  <c r="O131" i="9" s="1"/>
  <c r="N46" i="18"/>
  <c r="O46" i="18"/>
  <c r="J129" i="9"/>
  <c r="M129" i="9"/>
  <c r="N129" i="9" s="1"/>
  <c r="O129" i="9" s="1"/>
  <c r="I27" i="9"/>
  <c r="M27" i="9"/>
  <c r="N27" i="9" s="1"/>
  <c r="O27" i="9" s="1"/>
  <c r="J65" i="9"/>
  <c r="M65" i="9"/>
  <c r="N65" i="9" s="1"/>
  <c r="O65" i="9" s="1"/>
  <c r="I22" i="9"/>
  <c r="M22" i="9"/>
  <c r="N22" i="9" s="1"/>
  <c r="O22" i="9" s="1"/>
  <c r="J21" i="9"/>
  <c r="M21" i="9"/>
  <c r="N21" i="9" s="1"/>
  <c r="O21" i="9" s="1"/>
  <c r="K41" i="18" s="1"/>
  <c r="Q15" i="17" s="1"/>
  <c r="J73" i="9"/>
  <c r="M73" i="9"/>
  <c r="N73" i="9" s="1"/>
  <c r="O73" i="9" s="1"/>
  <c r="J75" i="9"/>
  <c r="M75" i="9"/>
  <c r="N75" i="9" s="1"/>
  <c r="O75" i="9" s="1"/>
  <c r="G46" i="18"/>
  <c r="I124" i="9"/>
  <c r="M124" i="9"/>
  <c r="N124" i="9" s="1"/>
  <c r="O124" i="9" s="1"/>
  <c r="J102" i="9"/>
  <c r="M102" i="9"/>
  <c r="N102" i="9" s="1"/>
  <c r="O102" i="9" s="1"/>
  <c r="J53" i="9"/>
  <c r="M53" i="9"/>
  <c r="N53" i="9" s="1"/>
  <c r="O53" i="9" s="1"/>
  <c r="J68" i="9"/>
  <c r="M68" i="9"/>
  <c r="N68" i="9" s="1"/>
  <c r="O68" i="9" s="1"/>
  <c r="I14" i="9"/>
  <c r="M14" i="9"/>
  <c r="N14" i="9" s="1"/>
  <c r="O14" i="9" s="1"/>
  <c r="J25" i="9"/>
  <c r="M25" i="9"/>
  <c r="N25" i="9" s="1"/>
  <c r="O25" i="9" s="1"/>
  <c r="J20" i="9"/>
  <c r="M20" i="9"/>
  <c r="N20" i="9" s="1"/>
  <c r="O20" i="9" s="1"/>
  <c r="K40" i="18" s="1"/>
  <c r="Q14" i="17" s="1"/>
  <c r="J67" i="9"/>
  <c r="M67" i="9"/>
  <c r="N67" i="9" s="1"/>
  <c r="O67" i="9" s="1"/>
  <c r="J77" i="9"/>
  <c r="M77" i="9"/>
  <c r="N77" i="9" s="1"/>
  <c r="O77" i="9" s="1"/>
  <c r="DD151" i="13"/>
  <c r="DI151" i="13" s="1"/>
  <c r="J121" i="9"/>
  <c r="M121" i="9"/>
  <c r="N121" i="9" s="1"/>
  <c r="O121" i="9" s="1"/>
  <c r="J97" i="9"/>
  <c r="M97" i="9"/>
  <c r="N97" i="9" s="1"/>
  <c r="O97" i="9" s="1"/>
  <c r="J19" i="9"/>
  <c r="M19" i="9"/>
  <c r="N19" i="9" s="1"/>
  <c r="O19" i="9" s="1"/>
  <c r="J66" i="9"/>
  <c r="M66" i="9"/>
  <c r="N66" i="9" s="1"/>
  <c r="O66" i="9" s="1"/>
  <c r="I97" i="9"/>
  <c r="J79" i="9"/>
  <c r="M79" i="9"/>
  <c r="N79" i="9" s="1"/>
  <c r="O79" i="9" s="1"/>
  <c r="J24" i="9"/>
  <c r="M24" i="9"/>
  <c r="N24" i="9" s="1"/>
  <c r="O24" i="9" s="1"/>
  <c r="J15" i="9"/>
  <c r="M15" i="9"/>
  <c r="N15" i="9" s="1"/>
  <c r="O15" i="9" s="1"/>
  <c r="K35" i="18" s="1"/>
  <c r="Q9" i="17" s="1"/>
  <c r="J23" i="9"/>
  <c r="M23" i="9"/>
  <c r="N23" i="9" s="1"/>
  <c r="O23" i="9" s="1"/>
  <c r="J17" i="9"/>
  <c r="M17" i="9"/>
  <c r="N17" i="9" s="1"/>
  <c r="O17" i="9" s="1"/>
  <c r="K37" i="18" s="1"/>
  <c r="Q11" i="17" s="1"/>
  <c r="I78" i="9"/>
  <c r="M78" i="9"/>
  <c r="N78" i="9" s="1"/>
  <c r="O78" i="9" s="1"/>
  <c r="J71" i="9"/>
  <c r="M71" i="9"/>
  <c r="N71" i="9" s="1"/>
  <c r="O71" i="9" s="1"/>
  <c r="J72" i="9"/>
  <c r="M72" i="9"/>
  <c r="N72" i="9" s="1"/>
  <c r="O72" i="9" s="1"/>
  <c r="J16" i="9"/>
  <c r="M16" i="9"/>
  <c r="N16" i="9" s="1"/>
  <c r="O16" i="9" s="1"/>
  <c r="K36" i="18" s="1"/>
  <c r="Q10" i="17" s="1"/>
  <c r="J117" i="9"/>
  <c r="M117" i="9"/>
  <c r="N117" i="9" s="1"/>
  <c r="O117" i="9" s="1"/>
  <c r="J122" i="9"/>
  <c r="M122" i="9"/>
  <c r="N122" i="9" s="1"/>
  <c r="O122" i="9" s="1"/>
  <c r="N45" i="18"/>
  <c r="N48" i="18"/>
  <c r="AJ151" i="16"/>
  <c r="AO151" i="16" s="1"/>
  <c r="I123" i="9"/>
  <c r="H39" i="18" s="1"/>
  <c r="AI151" i="16"/>
  <c r="AN151" i="16" s="1"/>
  <c r="J123" i="9"/>
  <c r="O39" i="18" s="1"/>
  <c r="J128" i="9"/>
  <c r="O44" i="18" s="1"/>
  <c r="I121" i="9"/>
  <c r="I128" i="9"/>
  <c r="H44" i="18" s="1"/>
  <c r="I16" i="9"/>
  <c r="I126" i="9"/>
  <c r="I131" i="9"/>
  <c r="I67" i="9"/>
  <c r="I125" i="9"/>
  <c r="AI151" i="14"/>
  <c r="AN151" i="14" s="1"/>
  <c r="J76" i="9"/>
  <c r="I20" i="9"/>
  <c r="I122" i="9"/>
  <c r="I132" i="9"/>
  <c r="AI148" i="15"/>
  <c r="AN148" i="15" s="1"/>
  <c r="AJ148" i="15"/>
  <c r="AO148" i="15" s="1"/>
  <c r="AI148" i="16"/>
  <c r="AN148" i="16" s="1"/>
  <c r="AJ148" i="16"/>
  <c r="AO148" i="16" s="1"/>
  <c r="CE148" i="15"/>
  <c r="CJ148" i="15" s="1"/>
  <c r="CF148" i="15"/>
  <c r="CK148" i="15" s="1"/>
  <c r="DC145" i="16"/>
  <c r="DH145" i="16" s="1"/>
  <c r="DD145" i="16"/>
  <c r="DI145" i="16" s="1"/>
  <c r="CF145" i="15"/>
  <c r="CK145" i="15" s="1"/>
  <c r="CE145" i="15"/>
  <c r="CJ145" i="15" s="1"/>
  <c r="BG140" i="14"/>
  <c r="BL140" i="14" s="1"/>
  <c r="BH140" i="14"/>
  <c r="BM140" i="14" s="1"/>
  <c r="CE140" i="13"/>
  <c r="CJ140" i="13" s="1"/>
  <c r="CF140" i="13"/>
  <c r="CK140" i="13" s="1"/>
  <c r="K140" i="13"/>
  <c r="P140" i="13" s="1"/>
  <c r="L140" i="13"/>
  <c r="Q140" i="13" s="1"/>
  <c r="AI147" i="14"/>
  <c r="AN147" i="14" s="1"/>
  <c r="AH147" i="14"/>
  <c r="AM147" i="14" s="1"/>
  <c r="DC147" i="16"/>
  <c r="DH147" i="16" s="1"/>
  <c r="DD147" i="16"/>
  <c r="DI147" i="16" s="1"/>
  <c r="DC147" i="15"/>
  <c r="DH147" i="15" s="1"/>
  <c r="DD147" i="15"/>
  <c r="DI147" i="15" s="1"/>
  <c r="AI149" i="15"/>
  <c r="AN149" i="15" s="1"/>
  <c r="AJ149" i="15"/>
  <c r="AO149" i="15" s="1"/>
  <c r="DC149" i="13"/>
  <c r="DH149" i="13" s="1"/>
  <c r="DD149" i="13"/>
  <c r="DI149" i="13" s="1"/>
  <c r="DL138" i="14"/>
  <c r="DC138" i="14"/>
  <c r="DD138" i="14"/>
  <c r="BP138" i="16"/>
  <c r="BH138" i="16"/>
  <c r="BG138" i="16"/>
  <c r="AI150" i="13"/>
  <c r="AN150" i="13" s="1"/>
  <c r="AJ150" i="13"/>
  <c r="AO150" i="13" s="1"/>
  <c r="AI150" i="15"/>
  <c r="AN150" i="15" s="1"/>
  <c r="AJ150" i="15"/>
  <c r="AO150" i="15" s="1"/>
  <c r="BH139" i="13"/>
  <c r="BM139" i="13" s="1"/>
  <c r="BG139" i="13"/>
  <c r="BL139" i="13" s="1"/>
  <c r="AH139" i="14"/>
  <c r="AM139" i="14" s="1"/>
  <c r="AI139" i="14"/>
  <c r="AN139" i="14" s="1"/>
  <c r="DD139" i="16"/>
  <c r="DI139" i="16" s="1"/>
  <c r="DC139" i="16"/>
  <c r="DH139" i="16" s="1"/>
  <c r="AI146" i="13"/>
  <c r="AN146" i="13" s="1"/>
  <c r="AJ146" i="13"/>
  <c r="AO146" i="13" s="1"/>
  <c r="CE146" i="16"/>
  <c r="CJ146" i="16" s="1"/>
  <c r="CF146" i="16"/>
  <c r="CK146" i="16" s="1"/>
  <c r="CE144" i="13"/>
  <c r="CJ144" i="13" s="1"/>
  <c r="CF144" i="13"/>
  <c r="CK144" i="13" s="1"/>
  <c r="AI144" i="16"/>
  <c r="AN144" i="16" s="1"/>
  <c r="AJ144" i="16"/>
  <c r="AO144" i="16" s="1"/>
  <c r="DC143" i="14"/>
  <c r="DH143" i="14" s="1"/>
  <c r="DD143" i="14"/>
  <c r="DI143" i="14" s="1"/>
  <c r="BG143" i="16"/>
  <c r="BL143" i="16" s="1"/>
  <c r="BH143" i="16"/>
  <c r="BM143" i="16" s="1"/>
  <c r="AI141" i="15"/>
  <c r="AN141" i="15" s="1"/>
  <c r="AJ141" i="15"/>
  <c r="AO141" i="15" s="1"/>
  <c r="BG141" i="16"/>
  <c r="BL141" i="16" s="1"/>
  <c r="BH141" i="16"/>
  <c r="BM141" i="16" s="1"/>
  <c r="AI152" i="14"/>
  <c r="AN152" i="14" s="1"/>
  <c r="AH152" i="14"/>
  <c r="AM152" i="14" s="1"/>
  <c r="DC152" i="15"/>
  <c r="DH152" i="15" s="1"/>
  <c r="DD152" i="15"/>
  <c r="DI152" i="15" s="1"/>
  <c r="BG152" i="15"/>
  <c r="BL152" i="15" s="1"/>
  <c r="BH152" i="15"/>
  <c r="BM152" i="15" s="1"/>
  <c r="BG142" i="15"/>
  <c r="BL142" i="15" s="1"/>
  <c r="BH142" i="15"/>
  <c r="BM142" i="15" s="1"/>
  <c r="AI142" i="16"/>
  <c r="AN142" i="16" s="1"/>
  <c r="AJ142" i="16"/>
  <c r="AO142" i="16" s="1"/>
  <c r="I117" i="9"/>
  <c r="AI153" i="15"/>
  <c r="AN153" i="15" s="1"/>
  <c r="AJ153" i="15"/>
  <c r="AO153" i="15" s="1"/>
  <c r="CE153" i="14"/>
  <c r="CJ153" i="14" s="1"/>
  <c r="CF153" i="14"/>
  <c r="CK153" i="14" s="1"/>
  <c r="K149" i="14"/>
  <c r="P149" i="14" s="1"/>
  <c r="L149" i="14"/>
  <c r="Q149" i="14" s="1"/>
  <c r="CF149" i="13"/>
  <c r="CK149" i="13" s="1"/>
  <c r="CE149" i="13"/>
  <c r="CJ149" i="13" s="1"/>
  <c r="T138" i="14"/>
  <c r="K138" i="14"/>
  <c r="L138" i="14"/>
  <c r="DL138" i="13"/>
  <c r="DC138" i="13"/>
  <c r="DD138" i="13"/>
  <c r="K150" i="14"/>
  <c r="P150" i="14" s="1"/>
  <c r="L150" i="14"/>
  <c r="Q150" i="14" s="1"/>
  <c r="DC150" i="15"/>
  <c r="DH150" i="15" s="1"/>
  <c r="DD150" i="15"/>
  <c r="DI150" i="15" s="1"/>
  <c r="K150" i="16"/>
  <c r="P150" i="16" s="1"/>
  <c r="L150" i="16"/>
  <c r="Q150" i="16" s="1"/>
  <c r="AI139" i="13"/>
  <c r="AN139" i="13" s="1"/>
  <c r="AJ139" i="13"/>
  <c r="AO139" i="13" s="1"/>
  <c r="BG139" i="14"/>
  <c r="BL139" i="14" s="1"/>
  <c r="BH139" i="14"/>
  <c r="BM139" i="14" s="1"/>
  <c r="K146" i="16"/>
  <c r="P146" i="16" s="1"/>
  <c r="L146" i="16"/>
  <c r="Q146" i="16" s="1"/>
  <c r="AH146" i="14"/>
  <c r="AM146" i="14" s="1"/>
  <c r="AI146" i="14"/>
  <c r="AN146" i="14" s="1"/>
  <c r="K144" i="16"/>
  <c r="P144" i="16" s="1"/>
  <c r="L144" i="16"/>
  <c r="Q144" i="16" s="1"/>
  <c r="DC144" i="13"/>
  <c r="DH144" i="13" s="1"/>
  <c r="DD144" i="13"/>
  <c r="DI144" i="13" s="1"/>
  <c r="CE144" i="15"/>
  <c r="CJ144" i="15" s="1"/>
  <c r="CF144" i="15"/>
  <c r="CK144" i="15" s="1"/>
  <c r="CE143" i="13"/>
  <c r="CJ143" i="13" s="1"/>
  <c r="CF143" i="13"/>
  <c r="CK143" i="13" s="1"/>
  <c r="CE143" i="16"/>
  <c r="CJ143" i="16" s="1"/>
  <c r="CF143" i="16"/>
  <c r="CK143" i="16" s="1"/>
  <c r="BG141" i="14"/>
  <c r="BL141" i="14" s="1"/>
  <c r="BH141" i="14"/>
  <c r="BM141" i="14" s="1"/>
  <c r="K141" i="16"/>
  <c r="P141" i="16" s="1"/>
  <c r="L141" i="16"/>
  <c r="Q141" i="16" s="1"/>
  <c r="AI152" i="13"/>
  <c r="AN152" i="13" s="1"/>
  <c r="AJ152" i="13"/>
  <c r="AO152" i="13" s="1"/>
  <c r="CE152" i="14"/>
  <c r="CJ152" i="14" s="1"/>
  <c r="CF152" i="14"/>
  <c r="CK152" i="14" s="1"/>
  <c r="BG152" i="16"/>
  <c r="BL152" i="16" s="1"/>
  <c r="BH152" i="16"/>
  <c r="BM152" i="16" s="1"/>
  <c r="K142" i="13"/>
  <c r="P142" i="13" s="1"/>
  <c r="L142" i="13"/>
  <c r="Q142" i="13" s="1"/>
  <c r="DC142" i="14"/>
  <c r="DH142" i="14" s="1"/>
  <c r="DD142" i="14"/>
  <c r="DI142" i="14" s="1"/>
  <c r="DC153" i="15"/>
  <c r="DH153" i="15" s="1"/>
  <c r="DD153" i="15"/>
  <c r="DI153" i="15" s="1"/>
  <c r="BG153" i="16"/>
  <c r="BL153" i="16" s="1"/>
  <c r="BH153" i="16"/>
  <c r="BM153" i="16" s="1"/>
  <c r="AI153" i="16"/>
  <c r="AN153" i="16" s="1"/>
  <c r="AJ153" i="16"/>
  <c r="AO153" i="16" s="1"/>
  <c r="CE153" i="13"/>
  <c r="CJ153" i="13" s="1"/>
  <c r="CF153" i="13"/>
  <c r="CK153" i="13" s="1"/>
  <c r="DD153" i="14"/>
  <c r="DI153" i="14" s="1"/>
  <c r="DC153" i="14"/>
  <c r="DH153" i="14" s="1"/>
  <c r="CE148" i="13"/>
  <c r="CJ148" i="13" s="1"/>
  <c r="CF148" i="13"/>
  <c r="CK148" i="13" s="1"/>
  <c r="DC148" i="14"/>
  <c r="DH148" i="14" s="1"/>
  <c r="DD148" i="14"/>
  <c r="DI148" i="14" s="1"/>
  <c r="AI148" i="13"/>
  <c r="AN148" i="13" s="1"/>
  <c r="AJ148" i="13"/>
  <c r="AO148" i="13" s="1"/>
  <c r="DC148" i="16"/>
  <c r="DH148" i="16" s="1"/>
  <c r="DD148" i="16"/>
  <c r="DI148" i="16" s="1"/>
  <c r="BG148" i="14"/>
  <c r="BL148" i="14" s="1"/>
  <c r="BH148" i="14"/>
  <c r="BM148" i="14" s="1"/>
  <c r="BG145" i="14"/>
  <c r="BL145" i="14" s="1"/>
  <c r="BH145" i="14"/>
  <c r="BM145" i="14" s="1"/>
  <c r="CE145" i="16"/>
  <c r="CJ145" i="16" s="1"/>
  <c r="CF145" i="16"/>
  <c r="CK145" i="16" s="1"/>
  <c r="K145" i="15"/>
  <c r="P145" i="15" s="1"/>
  <c r="L145" i="15"/>
  <c r="Q145" i="15" s="1"/>
  <c r="BG145" i="16"/>
  <c r="BL145" i="16" s="1"/>
  <c r="BH145" i="16"/>
  <c r="BM145" i="16" s="1"/>
  <c r="AH145" i="14"/>
  <c r="AM145" i="14" s="1"/>
  <c r="AI145" i="14"/>
  <c r="AN145" i="14" s="1"/>
  <c r="CE140" i="16"/>
  <c r="CJ140" i="16" s="1"/>
  <c r="CF140" i="16"/>
  <c r="CK140" i="16" s="1"/>
  <c r="K140" i="14"/>
  <c r="P140" i="14" s="1"/>
  <c r="L140" i="14"/>
  <c r="Q140" i="14" s="1"/>
  <c r="AH140" i="14"/>
  <c r="AM140" i="14" s="1"/>
  <c r="AI140" i="14"/>
  <c r="AN140" i="14" s="1"/>
  <c r="DC140" i="14"/>
  <c r="DH140" i="14" s="1"/>
  <c r="DD140" i="14"/>
  <c r="DI140" i="14" s="1"/>
  <c r="BG140" i="16"/>
  <c r="BL140" i="16" s="1"/>
  <c r="BH140" i="16"/>
  <c r="BM140" i="16" s="1"/>
  <c r="CE147" i="13"/>
  <c r="CJ147" i="13" s="1"/>
  <c r="CF147" i="13"/>
  <c r="CK147" i="13" s="1"/>
  <c r="BG147" i="16"/>
  <c r="BL147" i="16" s="1"/>
  <c r="BH147" i="16"/>
  <c r="BM147" i="16" s="1"/>
  <c r="AI147" i="16"/>
  <c r="AN147" i="16" s="1"/>
  <c r="AJ147" i="16"/>
  <c r="AO147" i="16" s="1"/>
  <c r="AI147" i="13"/>
  <c r="AN147" i="13" s="1"/>
  <c r="AJ147" i="13"/>
  <c r="AO147" i="13" s="1"/>
  <c r="AI147" i="15"/>
  <c r="AN147" i="15" s="1"/>
  <c r="AJ147" i="15"/>
  <c r="AO147" i="15" s="1"/>
  <c r="AH149" i="14"/>
  <c r="AM149" i="14" s="1"/>
  <c r="AI149" i="14"/>
  <c r="AN149" i="14" s="1"/>
  <c r="K149" i="16"/>
  <c r="P149" i="16" s="1"/>
  <c r="L149" i="16"/>
  <c r="Q149" i="16" s="1"/>
  <c r="BG149" i="15"/>
  <c r="BL149" i="15" s="1"/>
  <c r="BH149" i="15"/>
  <c r="BM149" i="15" s="1"/>
  <c r="AI149" i="16"/>
  <c r="AN149" i="16" s="1"/>
  <c r="AJ149" i="16"/>
  <c r="AO149" i="16" s="1"/>
  <c r="BG149" i="14"/>
  <c r="BL149" i="14" s="1"/>
  <c r="BH149" i="14"/>
  <c r="BM149" i="14" s="1"/>
  <c r="T138" i="16"/>
  <c r="K138" i="16"/>
  <c r="L138" i="16"/>
  <c r="CN138" i="15"/>
  <c r="CE138" i="15"/>
  <c r="CF138" i="15"/>
  <c r="AR138" i="13"/>
  <c r="AJ138" i="13"/>
  <c r="AI138" i="13"/>
  <c r="AQ138" i="14"/>
  <c r="AH138" i="14"/>
  <c r="AI138" i="14"/>
  <c r="AR138" i="16"/>
  <c r="AI138" i="16"/>
  <c r="AJ138" i="16"/>
  <c r="CE150" i="14"/>
  <c r="CJ150" i="14" s="1"/>
  <c r="CF150" i="14"/>
  <c r="CK150" i="14" s="1"/>
  <c r="K150" i="13"/>
  <c r="P150" i="13" s="1"/>
  <c r="L150" i="13"/>
  <c r="Q150" i="13" s="1"/>
  <c r="BH150" i="16"/>
  <c r="BM150" i="16" s="1"/>
  <c r="BG150" i="16"/>
  <c r="BL150" i="16" s="1"/>
  <c r="CE150" i="13"/>
  <c r="CJ150" i="13" s="1"/>
  <c r="CF150" i="13"/>
  <c r="CK150" i="13" s="1"/>
  <c r="AI150" i="16"/>
  <c r="AN150" i="16" s="1"/>
  <c r="AJ150" i="16"/>
  <c r="AO150" i="16" s="1"/>
  <c r="K139" i="15"/>
  <c r="P139" i="15" s="1"/>
  <c r="L139" i="15"/>
  <c r="Q139" i="15" s="1"/>
  <c r="CE139" i="14"/>
  <c r="CJ139" i="14" s="1"/>
  <c r="CF139" i="14"/>
  <c r="CK139" i="14" s="1"/>
  <c r="DC139" i="13"/>
  <c r="DH139" i="13" s="1"/>
  <c r="DD139" i="13"/>
  <c r="DI139" i="13" s="1"/>
  <c r="BG139" i="15"/>
  <c r="BL139" i="15" s="1"/>
  <c r="BH139" i="15"/>
  <c r="BM139" i="15" s="1"/>
  <c r="DC139" i="15"/>
  <c r="DH139" i="15" s="1"/>
  <c r="DD139" i="15"/>
  <c r="DI139" i="15" s="1"/>
  <c r="CE146" i="13"/>
  <c r="CJ146" i="13" s="1"/>
  <c r="CF146" i="13"/>
  <c r="CK146" i="13" s="1"/>
  <c r="BG146" i="15"/>
  <c r="BL146" i="15" s="1"/>
  <c r="BH146" i="15"/>
  <c r="BM146" i="15" s="1"/>
  <c r="K146" i="13"/>
  <c r="P146" i="13" s="1"/>
  <c r="L146" i="13"/>
  <c r="Q146" i="13" s="1"/>
  <c r="CE146" i="15"/>
  <c r="CJ146" i="15" s="1"/>
  <c r="CF146" i="15"/>
  <c r="CK146" i="15" s="1"/>
  <c r="AI146" i="15"/>
  <c r="AN146" i="15" s="1"/>
  <c r="AJ146" i="15"/>
  <c r="AO146" i="15" s="1"/>
  <c r="AH144" i="14"/>
  <c r="AM144" i="14" s="1"/>
  <c r="AI144" i="14"/>
  <c r="AN144" i="14" s="1"/>
  <c r="DC144" i="15"/>
  <c r="DH144" i="15" s="1"/>
  <c r="DD144" i="15"/>
  <c r="DI144" i="15" s="1"/>
  <c r="K144" i="14"/>
  <c r="P144" i="14" s="1"/>
  <c r="L144" i="14"/>
  <c r="Q144" i="14" s="1"/>
  <c r="DD144" i="16"/>
  <c r="DI144" i="16" s="1"/>
  <c r="DC144" i="16"/>
  <c r="DH144" i="16" s="1"/>
  <c r="BG144" i="16"/>
  <c r="BL144" i="16" s="1"/>
  <c r="BH144" i="16"/>
  <c r="BM144" i="16" s="1"/>
  <c r="K143" i="13"/>
  <c r="P143" i="13" s="1"/>
  <c r="L143" i="13"/>
  <c r="Q143" i="13" s="1"/>
  <c r="AI143" i="15"/>
  <c r="AN143" i="15" s="1"/>
  <c r="AJ143" i="15"/>
  <c r="AO143" i="15" s="1"/>
  <c r="CE143" i="14"/>
  <c r="CJ143" i="14" s="1"/>
  <c r="CF143" i="14"/>
  <c r="CK143" i="14" s="1"/>
  <c r="DC143" i="16"/>
  <c r="DH143" i="16" s="1"/>
  <c r="DD143" i="16"/>
  <c r="DI143" i="16" s="1"/>
  <c r="DC143" i="15"/>
  <c r="DH143" i="15" s="1"/>
  <c r="DD143" i="15"/>
  <c r="DI143" i="15" s="1"/>
  <c r="BH141" i="15"/>
  <c r="BM141" i="15" s="1"/>
  <c r="BG141" i="15"/>
  <c r="BL141" i="15" s="1"/>
  <c r="DC141" i="16"/>
  <c r="DH141" i="16" s="1"/>
  <c r="DD141" i="16"/>
  <c r="DI141" i="16" s="1"/>
  <c r="K141" i="13"/>
  <c r="P141" i="13" s="1"/>
  <c r="L141" i="13"/>
  <c r="Q141" i="13" s="1"/>
  <c r="CE141" i="15"/>
  <c r="CJ141" i="15" s="1"/>
  <c r="CF141" i="15"/>
  <c r="CK141" i="15" s="1"/>
  <c r="CE141" i="14"/>
  <c r="CJ141" i="14" s="1"/>
  <c r="CF141" i="14"/>
  <c r="CK141" i="14" s="1"/>
  <c r="CE152" i="15"/>
  <c r="CJ152" i="15" s="1"/>
  <c r="CF152" i="15"/>
  <c r="CK152" i="15" s="1"/>
  <c r="CE152" i="16"/>
  <c r="CJ152" i="16" s="1"/>
  <c r="CF152" i="16"/>
  <c r="CK152" i="16" s="1"/>
  <c r="DC152" i="13"/>
  <c r="DH152" i="13" s="1"/>
  <c r="DD152" i="13"/>
  <c r="DI152" i="13" s="1"/>
  <c r="CF152" i="13"/>
  <c r="CK152" i="13" s="1"/>
  <c r="CE152" i="13"/>
  <c r="CJ152" i="13" s="1"/>
  <c r="DC152" i="14"/>
  <c r="DH152" i="14" s="1"/>
  <c r="DD152" i="14"/>
  <c r="DI152" i="14" s="1"/>
  <c r="BG142" i="13"/>
  <c r="BL142" i="13" s="1"/>
  <c r="BH142" i="13"/>
  <c r="BM142" i="13" s="1"/>
  <c r="AI142" i="13"/>
  <c r="AN142" i="13" s="1"/>
  <c r="AJ142" i="13"/>
  <c r="AO142" i="13" s="1"/>
  <c r="K142" i="14"/>
  <c r="P142" i="14" s="1"/>
  <c r="L142" i="14"/>
  <c r="Q142" i="14" s="1"/>
  <c r="K142" i="15"/>
  <c r="P142" i="15" s="1"/>
  <c r="L142" i="15"/>
  <c r="Q142" i="15" s="1"/>
  <c r="DD142" i="16"/>
  <c r="DI142" i="16" s="1"/>
  <c r="DC142" i="16"/>
  <c r="DH142" i="16" s="1"/>
  <c r="BG153" i="13"/>
  <c r="BL153" i="13" s="1"/>
  <c r="BH153" i="13"/>
  <c r="BM153" i="13" s="1"/>
  <c r="CE153" i="15"/>
  <c r="CJ153" i="15" s="1"/>
  <c r="CF153" i="15"/>
  <c r="CK153" i="15" s="1"/>
  <c r="DC153" i="16"/>
  <c r="DH153" i="16" s="1"/>
  <c r="DD153" i="16"/>
  <c r="DI153" i="16" s="1"/>
  <c r="BG153" i="14"/>
  <c r="BL153" i="14" s="1"/>
  <c r="BH153" i="14"/>
  <c r="BM153" i="14" s="1"/>
  <c r="K153" i="16"/>
  <c r="P153" i="16" s="1"/>
  <c r="L153" i="16"/>
  <c r="Q153" i="16" s="1"/>
  <c r="BH148" i="13"/>
  <c r="BM148" i="13" s="1"/>
  <c r="BG148" i="13"/>
  <c r="BL148" i="13" s="1"/>
  <c r="K148" i="15"/>
  <c r="P148" i="15" s="1"/>
  <c r="L148" i="15"/>
  <c r="Q148" i="15" s="1"/>
  <c r="DC145" i="14"/>
  <c r="DH145" i="14" s="1"/>
  <c r="DD145" i="14"/>
  <c r="DI145" i="14" s="1"/>
  <c r="AI145" i="13"/>
  <c r="AN145" i="13" s="1"/>
  <c r="AJ145" i="13"/>
  <c r="AO145" i="13" s="1"/>
  <c r="CE145" i="14"/>
  <c r="CJ145" i="14" s="1"/>
  <c r="CF145" i="14"/>
  <c r="CK145" i="14" s="1"/>
  <c r="K140" i="16"/>
  <c r="P140" i="16" s="1"/>
  <c r="L140" i="16"/>
  <c r="Q140" i="16" s="1"/>
  <c r="BG140" i="15"/>
  <c r="BL140" i="15" s="1"/>
  <c r="BH140" i="15"/>
  <c r="BM140" i="15" s="1"/>
  <c r="CE147" i="15"/>
  <c r="CJ147" i="15" s="1"/>
  <c r="CF147" i="15"/>
  <c r="CK147" i="15" s="1"/>
  <c r="CE147" i="14"/>
  <c r="CJ147" i="14" s="1"/>
  <c r="CF147" i="14"/>
  <c r="CK147" i="14" s="1"/>
  <c r="CE149" i="14"/>
  <c r="CJ149" i="14" s="1"/>
  <c r="CF149" i="14"/>
  <c r="CK149" i="14" s="1"/>
  <c r="AI149" i="13"/>
  <c r="AN149" i="13" s="1"/>
  <c r="AJ149" i="13"/>
  <c r="AO149" i="13" s="1"/>
  <c r="DC149" i="16"/>
  <c r="DH149" i="16" s="1"/>
  <c r="DD149" i="16"/>
  <c r="DI149" i="16" s="1"/>
  <c r="BP138" i="13"/>
  <c r="BG138" i="13"/>
  <c r="BH138" i="13"/>
  <c r="BP138" i="15"/>
  <c r="BP139" i="15" s="1"/>
  <c r="BG138" i="15"/>
  <c r="BH138" i="15"/>
  <c r="CN138" i="13"/>
  <c r="CE138" i="13"/>
  <c r="CF138" i="13"/>
  <c r="DC150" i="14"/>
  <c r="DH150" i="14" s="1"/>
  <c r="DD150" i="14"/>
  <c r="DI150" i="14" s="1"/>
  <c r="BG150" i="15"/>
  <c r="BL150" i="15" s="1"/>
  <c r="BH150" i="15"/>
  <c r="BM150" i="15" s="1"/>
  <c r="DC150" i="16"/>
  <c r="DH150" i="16" s="1"/>
  <c r="DD150" i="16"/>
  <c r="DI150" i="16" s="1"/>
  <c r="BG139" i="16"/>
  <c r="BL139" i="16" s="1"/>
  <c r="BH139" i="16"/>
  <c r="BM139" i="16" s="1"/>
  <c r="CF139" i="16"/>
  <c r="CK139" i="16" s="1"/>
  <c r="CE139" i="16"/>
  <c r="CJ139" i="16" s="1"/>
  <c r="BG146" i="14"/>
  <c r="BL146" i="14" s="1"/>
  <c r="BH146" i="14"/>
  <c r="BM146" i="14" s="1"/>
  <c r="CE146" i="14"/>
  <c r="CJ146" i="14" s="1"/>
  <c r="CF146" i="14"/>
  <c r="CK146" i="14" s="1"/>
  <c r="BH146" i="16"/>
  <c r="BM146" i="16" s="1"/>
  <c r="BG146" i="16"/>
  <c r="BL146" i="16" s="1"/>
  <c r="BG144" i="14"/>
  <c r="BL144" i="14" s="1"/>
  <c r="BH144" i="14"/>
  <c r="BM144" i="14" s="1"/>
  <c r="K144" i="15"/>
  <c r="P144" i="15" s="1"/>
  <c r="L144" i="15"/>
  <c r="Q144" i="15" s="1"/>
  <c r="BG144" i="15"/>
  <c r="BL144" i="15" s="1"/>
  <c r="BH144" i="15"/>
  <c r="BM144" i="15" s="1"/>
  <c r="BG143" i="13"/>
  <c r="BL143" i="13" s="1"/>
  <c r="BH143" i="13"/>
  <c r="BM143" i="13" s="1"/>
  <c r="AI143" i="16"/>
  <c r="AN143" i="16" s="1"/>
  <c r="AJ143" i="16"/>
  <c r="AO143" i="16" s="1"/>
  <c r="K143" i="14"/>
  <c r="P143" i="14" s="1"/>
  <c r="L143" i="14"/>
  <c r="Q143" i="14" s="1"/>
  <c r="AI141" i="16"/>
  <c r="AN141" i="16" s="1"/>
  <c r="AJ141" i="16"/>
  <c r="AO141" i="16" s="1"/>
  <c r="DC141" i="13"/>
  <c r="DH141" i="13" s="1"/>
  <c r="DD141" i="13"/>
  <c r="DI141" i="13" s="1"/>
  <c r="K141" i="15"/>
  <c r="P141" i="15" s="1"/>
  <c r="L141" i="15"/>
  <c r="Q141" i="15" s="1"/>
  <c r="K152" i="13"/>
  <c r="P152" i="13" s="1"/>
  <c r="L152" i="13"/>
  <c r="Q152" i="13" s="1"/>
  <c r="BG152" i="14"/>
  <c r="BL152" i="14" s="1"/>
  <c r="BH152" i="14"/>
  <c r="BM152" i="14" s="1"/>
  <c r="BG142" i="16"/>
  <c r="BL142" i="16" s="1"/>
  <c r="BH142" i="16"/>
  <c r="BM142" i="16" s="1"/>
  <c r="CE142" i="13"/>
  <c r="CJ142" i="13" s="1"/>
  <c r="CF142" i="13"/>
  <c r="CK142" i="13" s="1"/>
  <c r="K142" i="16"/>
  <c r="P142" i="16" s="1"/>
  <c r="L142" i="16"/>
  <c r="Q142" i="16" s="1"/>
  <c r="AH153" i="14"/>
  <c r="AM153" i="14" s="1"/>
  <c r="AI153" i="14"/>
  <c r="AN153" i="14" s="1"/>
  <c r="AI153" i="13"/>
  <c r="AN153" i="13" s="1"/>
  <c r="AJ153" i="13"/>
  <c r="AO153" i="13" s="1"/>
  <c r="DC153" i="13"/>
  <c r="DH153" i="13" s="1"/>
  <c r="DD153" i="13"/>
  <c r="DI153" i="13" s="1"/>
  <c r="DC148" i="15"/>
  <c r="DH148" i="15" s="1"/>
  <c r="DD148" i="15"/>
  <c r="DI148" i="15" s="1"/>
  <c r="L148" i="16"/>
  <c r="Q148" i="16" s="1"/>
  <c r="K148" i="16"/>
  <c r="P148" i="16" s="1"/>
  <c r="CE148" i="16"/>
  <c r="CJ148" i="16" s="1"/>
  <c r="CF148" i="16"/>
  <c r="CK148" i="16" s="1"/>
  <c r="K148" i="13"/>
  <c r="P148" i="13" s="1"/>
  <c r="L148" i="13"/>
  <c r="Q148" i="13" s="1"/>
  <c r="BG148" i="16"/>
  <c r="BL148" i="16" s="1"/>
  <c r="BH148" i="16"/>
  <c r="BM148" i="16" s="1"/>
  <c r="K145" i="13"/>
  <c r="P145" i="13" s="1"/>
  <c r="L145" i="13"/>
  <c r="Q145" i="13" s="1"/>
  <c r="BG145" i="13"/>
  <c r="BL145" i="13" s="1"/>
  <c r="BH145" i="13"/>
  <c r="BM145" i="13" s="1"/>
  <c r="K145" i="14"/>
  <c r="P145" i="14" s="1"/>
  <c r="L145" i="14"/>
  <c r="Q145" i="14" s="1"/>
  <c r="DC145" i="15"/>
  <c r="DH145" i="15" s="1"/>
  <c r="DD145" i="15"/>
  <c r="DI145" i="15" s="1"/>
  <c r="BG145" i="15"/>
  <c r="BL145" i="15" s="1"/>
  <c r="BH145" i="15"/>
  <c r="BM145" i="15" s="1"/>
  <c r="AI140" i="15"/>
  <c r="AN140" i="15" s="1"/>
  <c r="AJ140" i="15"/>
  <c r="AO140" i="15" s="1"/>
  <c r="AI140" i="13"/>
  <c r="AN140" i="13" s="1"/>
  <c r="AJ140" i="13"/>
  <c r="AO140" i="13" s="1"/>
  <c r="DC140" i="13"/>
  <c r="DH140" i="13" s="1"/>
  <c r="DD140" i="13"/>
  <c r="DI140" i="13" s="1"/>
  <c r="CE140" i="14"/>
  <c r="CJ140" i="14" s="1"/>
  <c r="CF140" i="14"/>
  <c r="CK140" i="14" s="1"/>
  <c r="CE140" i="15"/>
  <c r="CJ140" i="15" s="1"/>
  <c r="CF140" i="15"/>
  <c r="CK140" i="15" s="1"/>
  <c r="BG147" i="14"/>
  <c r="BL147" i="14" s="1"/>
  <c r="BH147" i="14"/>
  <c r="BM147" i="14" s="1"/>
  <c r="BG147" i="15"/>
  <c r="BL147" i="15" s="1"/>
  <c r="BH147" i="15"/>
  <c r="BM147" i="15" s="1"/>
  <c r="K147" i="13"/>
  <c r="P147" i="13" s="1"/>
  <c r="L147" i="13"/>
  <c r="Q147" i="13" s="1"/>
  <c r="K147" i="15"/>
  <c r="P147" i="15" s="1"/>
  <c r="L147" i="15"/>
  <c r="Q147" i="15" s="1"/>
  <c r="K147" i="16"/>
  <c r="P147" i="16" s="1"/>
  <c r="L147" i="16"/>
  <c r="Q147" i="16" s="1"/>
  <c r="DC149" i="14"/>
  <c r="DH149" i="14" s="1"/>
  <c r="DD149" i="14"/>
  <c r="DI149" i="14" s="1"/>
  <c r="DC149" i="15"/>
  <c r="DH149" i="15" s="1"/>
  <c r="DD149" i="15"/>
  <c r="DI149" i="15" s="1"/>
  <c r="K149" i="15"/>
  <c r="P149" i="15" s="1"/>
  <c r="L149" i="15"/>
  <c r="Q149" i="15" s="1"/>
  <c r="AR138" i="15"/>
  <c r="AJ138" i="15"/>
  <c r="AI138" i="15"/>
  <c r="DL138" i="16"/>
  <c r="DL139" i="16" s="1"/>
  <c r="DD138" i="16"/>
  <c r="DC138" i="16"/>
  <c r="BP138" i="14"/>
  <c r="BG138" i="14"/>
  <c r="BH138" i="14"/>
  <c r="AH150" i="14"/>
  <c r="AM150" i="14" s="1"/>
  <c r="AI150" i="14"/>
  <c r="AN150" i="14" s="1"/>
  <c r="CE150" i="15"/>
  <c r="CJ150" i="15" s="1"/>
  <c r="CF150" i="15"/>
  <c r="CK150" i="15" s="1"/>
  <c r="DC139" i="14"/>
  <c r="DH139" i="14" s="1"/>
  <c r="DD139" i="14"/>
  <c r="DI139" i="14" s="1"/>
  <c r="CE139" i="13"/>
  <c r="CJ139" i="13" s="1"/>
  <c r="CF139" i="13"/>
  <c r="CK139" i="13" s="1"/>
  <c r="AI139" i="15"/>
  <c r="AN139" i="15" s="1"/>
  <c r="AJ139" i="15"/>
  <c r="AO139" i="15" s="1"/>
  <c r="K146" i="14"/>
  <c r="P146" i="14" s="1"/>
  <c r="L146" i="14"/>
  <c r="Q146" i="14" s="1"/>
  <c r="K146" i="15"/>
  <c r="P146" i="15" s="1"/>
  <c r="L146" i="15"/>
  <c r="Q146" i="15" s="1"/>
  <c r="DC146" i="16"/>
  <c r="DH146" i="16" s="1"/>
  <c r="DD146" i="16"/>
  <c r="DI146" i="16" s="1"/>
  <c r="AI144" i="15"/>
  <c r="AN144" i="15" s="1"/>
  <c r="AJ144" i="15"/>
  <c r="AO144" i="15" s="1"/>
  <c r="CE144" i="16"/>
  <c r="CJ144" i="16" s="1"/>
  <c r="CF144" i="16"/>
  <c r="CK144" i="16" s="1"/>
  <c r="BG143" i="14"/>
  <c r="BL143" i="14" s="1"/>
  <c r="BH143" i="14"/>
  <c r="BM143" i="14" s="1"/>
  <c r="AI143" i="13"/>
  <c r="AN143" i="13" s="1"/>
  <c r="AJ143" i="13"/>
  <c r="AO143" i="13" s="1"/>
  <c r="K143" i="15"/>
  <c r="P143" i="15" s="1"/>
  <c r="L143" i="15"/>
  <c r="Q143" i="15" s="1"/>
  <c r="CE141" i="16"/>
  <c r="CJ141" i="16" s="1"/>
  <c r="CF141" i="16"/>
  <c r="CK141" i="16" s="1"/>
  <c r="AH141" i="14"/>
  <c r="AM141" i="14" s="1"/>
  <c r="AI141" i="14"/>
  <c r="AN141" i="14" s="1"/>
  <c r="K141" i="14"/>
  <c r="P141" i="14" s="1"/>
  <c r="L141" i="14"/>
  <c r="Q141" i="14" s="1"/>
  <c r="AI152" i="16"/>
  <c r="AN152" i="16" s="1"/>
  <c r="AJ152" i="16"/>
  <c r="AO152" i="16" s="1"/>
  <c r="K152" i="16"/>
  <c r="P152" i="16" s="1"/>
  <c r="L152" i="16"/>
  <c r="Q152" i="16" s="1"/>
  <c r="CE142" i="15"/>
  <c r="CJ142" i="15" s="1"/>
  <c r="CF142" i="15"/>
  <c r="CK142" i="15" s="1"/>
  <c r="DC142" i="13"/>
  <c r="DH142" i="13" s="1"/>
  <c r="DD142" i="13"/>
  <c r="DI142" i="13" s="1"/>
  <c r="CE142" i="16"/>
  <c r="CJ142" i="16" s="1"/>
  <c r="CF142" i="16"/>
  <c r="CK142" i="16" s="1"/>
  <c r="I118" i="9"/>
  <c r="H34" i="18" s="1"/>
  <c r="R117" i="9"/>
  <c r="I120" i="9"/>
  <c r="H36" i="18" s="1"/>
  <c r="I127" i="9"/>
  <c r="L153" i="13"/>
  <c r="Q153" i="13" s="1"/>
  <c r="K153" i="13"/>
  <c r="P153" i="13" s="1"/>
  <c r="BH153" i="15"/>
  <c r="BM153" i="15" s="1"/>
  <c r="BG153" i="15"/>
  <c r="BL153" i="15" s="1"/>
  <c r="CE153" i="16"/>
  <c r="CJ153" i="16" s="1"/>
  <c r="CF153" i="16"/>
  <c r="CK153" i="16" s="1"/>
  <c r="K153" i="14"/>
  <c r="P153" i="14" s="1"/>
  <c r="L153" i="14"/>
  <c r="Q153" i="14" s="1"/>
  <c r="K153" i="15"/>
  <c r="P153" i="15" s="1"/>
  <c r="L153" i="15"/>
  <c r="Q153" i="15" s="1"/>
  <c r="CE148" i="14"/>
  <c r="CJ148" i="14" s="1"/>
  <c r="CF148" i="14"/>
  <c r="CK148" i="14" s="1"/>
  <c r="AH148" i="14"/>
  <c r="AM148" i="14" s="1"/>
  <c r="AI148" i="14"/>
  <c r="AN148" i="14" s="1"/>
  <c r="K148" i="14"/>
  <c r="P148" i="14" s="1"/>
  <c r="L148" i="14"/>
  <c r="Q148" i="14" s="1"/>
  <c r="DC148" i="13"/>
  <c r="DH148" i="13" s="1"/>
  <c r="DD148" i="13"/>
  <c r="DI148" i="13" s="1"/>
  <c r="BG148" i="15"/>
  <c r="BL148" i="15" s="1"/>
  <c r="BH148" i="15"/>
  <c r="BM148" i="15" s="1"/>
  <c r="CE145" i="13"/>
  <c r="CJ145" i="13" s="1"/>
  <c r="CF145" i="13"/>
  <c r="CK145" i="13" s="1"/>
  <c r="AI145" i="16"/>
  <c r="AN145" i="16" s="1"/>
  <c r="AJ145" i="16"/>
  <c r="AO145" i="16" s="1"/>
  <c r="K145" i="16"/>
  <c r="P145" i="16" s="1"/>
  <c r="L145" i="16"/>
  <c r="Q145" i="16" s="1"/>
  <c r="AI145" i="15"/>
  <c r="AN145" i="15" s="1"/>
  <c r="AJ145" i="15"/>
  <c r="AO145" i="15" s="1"/>
  <c r="DC145" i="13"/>
  <c r="DH145" i="13" s="1"/>
  <c r="DD145" i="13"/>
  <c r="DI145" i="13" s="1"/>
  <c r="AI140" i="16"/>
  <c r="AN140" i="16" s="1"/>
  <c r="AJ140" i="16"/>
  <c r="AO140" i="16" s="1"/>
  <c r="BG140" i="13"/>
  <c r="BL140" i="13" s="1"/>
  <c r="BH140" i="13"/>
  <c r="BM140" i="13" s="1"/>
  <c r="DC140" i="15"/>
  <c r="DH140" i="15" s="1"/>
  <c r="DD140" i="15"/>
  <c r="DI140" i="15" s="1"/>
  <c r="DC140" i="16"/>
  <c r="DH140" i="16" s="1"/>
  <c r="DD140" i="16"/>
  <c r="DI140" i="16" s="1"/>
  <c r="K140" i="15"/>
  <c r="P140" i="15" s="1"/>
  <c r="L140" i="15"/>
  <c r="Q140" i="15" s="1"/>
  <c r="DC147" i="14"/>
  <c r="DH147" i="14" s="1"/>
  <c r="DD147" i="14"/>
  <c r="DI147" i="14" s="1"/>
  <c r="BH147" i="13"/>
  <c r="BM147" i="13" s="1"/>
  <c r="BG147" i="13"/>
  <c r="BL147" i="13" s="1"/>
  <c r="CE147" i="16"/>
  <c r="CJ147" i="16" s="1"/>
  <c r="CF147" i="16"/>
  <c r="CK147" i="16" s="1"/>
  <c r="DC147" i="13"/>
  <c r="DH147" i="13" s="1"/>
  <c r="DD147" i="13"/>
  <c r="DI147" i="13" s="1"/>
  <c r="K147" i="14"/>
  <c r="P147" i="14" s="1"/>
  <c r="L147" i="14"/>
  <c r="Q147" i="14" s="1"/>
  <c r="L149" i="13"/>
  <c r="Q149" i="13" s="1"/>
  <c r="K149" i="13"/>
  <c r="P149" i="13" s="1"/>
  <c r="BG149" i="13"/>
  <c r="BL149" i="13" s="1"/>
  <c r="BH149" i="13"/>
  <c r="BM149" i="13" s="1"/>
  <c r="BG149" i="16"/>
  <c r="BL149" i="16" s="1"/>
  <c r="BH149" i="16"/>
  <c r="BM149" i="16" s="1"/>
  <c r="CF149" i="15"/>
  <c r="CK149" i="15" s="1"/>
  <c r="CE149" i="15"/>
  <c r="CJ149" i="15" s="1"/>
  <c r="CE149" i="16"/>
  <c r="CJ149" i="16" s="1"/>
  <c r="CF149" i="16"/>
  <c r="CK149" i="16" s="1"/>
  <c r="T138" i="13"/>
  <c r="L138" i="13"/>
  <c r="K138" i="13"/>
  <c r="DL138" i="15"/>
  <c r="DC138" i="15"/>
  <c r="DD138" i="15"/>
  <c r="CN138" i="14"/>
  <c r="CE138" i="14"/>
  <c r="CF138" i="14"/>
  <c r="T138" i="15"/>
  <c r="K138" i="15"/>
  <c r="L138" i="15"/>
  <c r="CN138" i="16"/>
  <c r="CE138" i="16"/>
  <c r="CF138" i="16"/>
  <c r="K150" i="15"/>
  <c r="P150" i="15" s="1"/>
  <c r="L150" i="15"/>
  <c r="Q150" i="15" s="1"/>
  <c r="BG150" i="13"/>
  <c r="BL150" i="13" s="1"/>
  <c r="BH150" i="13"/>
  <c r="BM150" i="13" s="1"/>
  <c r="DC150" i="13"/>
  <c r="DH150" i="13" s="1"/>
  <c r="DD150" i="13"/>
  <c r="DI150" i="13" s="1"/>
  <c r="BG150" i="14"/>
  <c r="BL150" i="14" s="1"/>
  <c r="BH150" i="14"/>
  <c r="BM150" i="14" s="1"/>
  <c r="CE150" i="16"/>
  <c r="CJ150" i="16" s="1"/>
  <c r="CF150" i="16"/>
  <c r="CK150" i="16" s="1"/>
  <c r="K139" i="13"/>
  <c r="P139" i="13" s="1"/>
  <c r="L139" i="13"/>
  <c r="Q139" i="13" s="1"/>
  <c r="CE139" i="15"/>
  <c r="CJ139" i="15" s="1"/>
  <c r="CF139" i="15"/>
  <c r="CK139" i="15" s="1"/>
  <c r="K139" i="14"/>
  <c r="P139" i="14" s="1"/>
  <c r="L139" i="14"/>
  <c r="Q139" i="14" s="1"/>
  <c r="AI139" i="16"/>
  <c r="AN139" i="16" s="1"/>
  <c r="AJ139" i="16"/>
  <c r="AO139" i="16" s="1"/>
  <c r="K139" i="16"/>
  <c r="P139" i="16" s="1"/>
  <c r="L139" i="16"/>
  <c r="Q139" i="16" s="1"/>
  <c r="DC146" i="14"/>
  <c r="DH146" i="14" s="1"/>
  <c r="DD146" i="14"/>
  <c r="DI146" i="14" s="1"/>
  <c r="BG146" i="13"/>
  <c r="BL146" i="13" s="1"/>
  <c r="BH146" i="13"/>
  <c r="BM146" i="13" s="1"/>
  <c r="DC146" i="13"/>
  <c r="DH146" i="13" s="1"/>
  <c r="DD146" i="13"/>
  <c r="DI146" i="13" s="1"/>
  <c r="DC146" i="15"/>
  <c r="DH146" i="15" s="1"/>
  <c r="DD146" i="15"/>
  <c r="DI146" i="15" s="1"/>
  <c r="AI146" i="16"/>
  <c r="AN146" i="16" s="1"/>
  <c r="AJ146" i="16"/>
  <c r="AO146" i="16" s="1"/>
  <c r="DC144" i="14"/>
  <c r="DH144" i="14" s="1"/>
  <c r="DD144" i="14"/>
  <c r="DI144" i="14" s="1"/>
  <c r="BG144" i="13"/>
  <c r="BL144" i="13" s="1"/>
  <c r="BH144" i="13"/>
  <c r="BM144" i="13" s="1"/>
  <c r="AI144" i="13"/>
  <c r="AN144" i="13" s="1"/>
  <c r="AJ144" i="13"/>
  <c r="AO144" i="13" s="1"/>
  <c r="CE144" i="14"/>
  <c r="CJ144" i="14" s="1"/>
  <c r="CF144" i="14"/>
  <c r="CK144" i="14" s="1"/>
  <c r="K144" i="13"/>
  <c r="P144" i="13" s="1"/>
  <c r="L144" i="13"/>
  <c r="Q144" i="13" s="1"/>
  <c r="AH143" i="14"/>
  <c r="AM143" i="14" s="1"/>
  <c r="AI143" i="14"/>
  <c r="AN143" i="14" s="1"/>
  <c r="CE143" i="15"/>
  <c r="CJ143" i="15" s="1"/>
  <c r="CF143" i="15"/>
  <c r="CK143" i="15" s="1"/>
  <c r="BG143" i="15"/>
  <c r="BL143" i="15" s="1"/>
  <c r="BH143" i="15"/>
  <c r="BM143" i="15" s="1"/>
  <c r="DC143" i="13"/>
  <c r="DH143" i="13" s="1"/>
  <c r="DD143" i="13"/>
  <c r="DI143" i="13" s="1"/>
  <c r="K143" i="16"/>
  <c r="P143" i="16" s="1"/>
  <c r="L143" i="16"/>
  <c r="Q143" i="16" s="1"/>
  <c r="BG141" i="13"/>
  <c r="BL141" i="13" s="1"/>
  <c r="BH141" i="13"/>
  <c r="BM141" i="13" s="1"/>
  <c r="AI141" i="13"/>
  <c r="AN141" i="13" s="1"/>
  <c r="AJ141" i="13"/>
  <c r="AO141" i="13" s="1"/>
  <c r="CE141" i="13"/>
  <c r="CJ141" i="13" s="1"/>
  <c r="CF141" i="13"/>
  <c r="CK141" i="13" s="1"/>
  <c r="DC141" i="15"/>
  <c r="DH141" i="15" s="1"/>
  <c r="DD141" i="15"/>
  <c r="DI141" i="15" s="1"/>
  <c r="DC141" i="14"/>
  <c r="DH141" i="14" s="1"/>
  <c r="DD141" i="14"/>
  <c r="DI141" i="14" s="1"/>
  <c r="BH152" i="13"/>
  <c r="BM152" i="13" s="1"/>
  <c r="BG152" i="13"/>
  <c r="BL152" i="13" s="1"/>
  <c r="DC152" i="16"/>
  <c r="DH152" i="16" s="1"/>
  <c r="DD152" i="16"/>
  <c r="DI152" i="16" s="1"/>
  <c r="AI152" i="15"/>
  <c r="AN152" i="15" s="1"/>
  <c r="AJ152" i="15"/>
  <c r="AO152" i="15" s="1"/>
  <c r="K152" i="14"/>
  <c r="P152" i="14" s="1"/>
  <c r="L152" i="14"/>
  <c r="Q152" i="14" s="1"/>
  <c r="K152" i="15"/>
  <c r="P152" i="15" s="1"/>
  <c r="L152" i="15"/>
  <c r="Q152" i="15" s="1"/>
  <c r="BG142" i="14"/>
  <c r="BL142" i="14" s="1"/>
  <c r="BH142" i="14"/>
  <c r="BM142" i="14" s="1"/>
  <c r="DC142" i="15"/>
  <c r="DH142" i="15" s="1"/>
  <c r="DD142" i="15"/>
  <c r="DI142" i="15" s="1"/>
  <c r="CE142" i="14"/>
  <c r="CJ142" i="14" s="1"/>
  <c r="CF142" i="14"/>
  <c r="CK142" i="14" s="1"/>
  <c r="AH142" i="14"/>
  <c r="AM142" i="14" s="1"/>
  <c r="AI142" i="14"/>
  <c r="AN142" i="14" s="1"/>
  <c r="AI142" i="15"/>
  <c r="AN142" i="15" s="1"/>
  <c r="AJ142" i="15"/>
  <c r="AO142" i="15" s="1"/>
  <c r="I68" i="9"/>
  <c r="I76" i="9"/>
  <c r="I79" i="9"/>
  <c r="I75" i="9"/>
  <c r="I80" i="9"/>
  <c r="F48" i="18" s="1"/>
  <c r="I66" i="9"/>
  <c r="I72" i="9"/>
  <c r="G156" i="9"/>
  <c r="BK76" i="16" s="1"/>
  <c r="BM76" i="16" s="1"/>
  <c r="BR76" i="16" s="1"/>
  <c r="I71" i="9"/>
  <c r="I74" i="9"/>
  <c r="I77" i="9"/>
  <c r="I25" i="9"/>
  <c r="D45" i="18" s="1"/>
  <c r="P19" i="17" s="1"/>
  <c r="G143" i="9"/>
  <c r="AK63" i="16" s="1"/>
  <c r="AM63" i="16" s="1"/>
  <c r="AR63" i="16" s="1"/>
  <c r="J69" i="9"/>
  <c r="I69" i="9"/>
  <c r="F37" i="18" s="1"/>
  <c r="G151" i="9"/>
  <c r="CK71" i="16" s="1"/>
  <c r="CM71" i="16" s="1"/>
  <c r="CR71" i="16" s="1"/>
  <c r="J14" i="9"/>
  <c r="I17" i="9"/>
  <c r="I65" i="9"/>
  <c r="I24" i="9"/>
  <c r="D44" i="18" s="1"/>
  <c r="P18" i="17" s="1"/>
  <c r="I15" i="9"/>
  <c r="J26" i="9"/>
  <c r="K46" i="18" s="1"/>
  <c r="Q20" i="17" s="1"/>
  <c r="I26" i="9"/>
  <c r="D46" i="18" s="1"/>
  <c r="P20" i="17" s="1"/>
  <c r="G153" i="9"/>
  <c r="BK73" i="16" s="1"/>
  <c r="BM73" i="16" s="1"/>
  <c r="BR73" i="16" s="1"/>
  <c r="I73" i="9"/>
  <c r="F41" i="18" s="1"/>
  <c r="J22" i="9"/>
  <c r="I21" i="9"/>
  <c r="J43" i="9"/>
  <c r="L37" i="18" s="1"/>
  <c r="J27" i="9"/>
  <c r="K47" i="18" s="1"/>
  <c r="Q21" i="17" s="1"/>
  <c r="G158" i="9"/>
  <c r="CK78" i="16" s="1"/>
  <c r="CM78" i="16" s="1"/>
  <c r="CR78" i="16" s="1"/>
  <c r="J78" i="9"/>
  <c r="I19" i="9"/>
  <c r="I92" i="9"/>
  <c r="J48" i="9"/>
  <c r="I129" i="9"/>
  <c r="I43" i="9"/>
  <c r="E37" i="18" s="1"/>
  <c r="I119" i="9"/>
  <c r="I28" i="9"/>
  <c r="I23" i="9"/>
  <c r="I53" i="9"/>
  <c r="J124" i="9"/>
  <c r="M11" i="17"/>
  <c r="I102" i="9"/>
  <c r="M20" i="17"/>
  <c r="L10" i="17"/>
  <c r="J18" i="9"/>
  <c r="K38" i="18" s="1"/>
  <c r="Q12" i="17" s="1"/>
  <c r="L22" i="17"/>
  <c r="M21" i="17"/>
  <c r="I18" i="9"/>
  <c r="D38" i="18" s="1"/>
  <c r="P12" i="17" s="1"/>
  <c r="J13" i="9"/>
  <c r="K33" i="18" s="1"/>
  <c r="Q7" i="17" s="1"/>
  <c r="M14" i="17"/>
  <c r="I13" i="9"/>
  <c r="D33" i="18" s="1"/>
  <c r="P7" i="17" s="1"/>
  <c r="L17" i="17"/>
  <c r="M13" i="17"/>
  <c r="M16" i="17"/>
  <c r="M7" i="17"/>
  <c r="O7" i="17" s="1"/>
  <c r="M18" i="17"/>
  <c r="M9" i="17"/>
  <c r="CK65" i="16"/>
  <c r="CM65" i="16" s="1"/>
  <c r="CR65" i="16" s="1"/>
  <c r="AK65" i="16"/>
  <c r="AM65" i="16" s="1"/>
  <c r="AR65" i="16" s="1"/>
  <c r="DK65" i="16"/>
  <c r="DM65" i="16" s="1"/>
  <c r="DR65" i="16" s="1"/>
  <c r="BK65" i="16"/>
  <c r="BM65" i="16" s="1"/>
  <c r="BR65" i="16" s="1"/>
  <c r="CK65" i="14"/>
  <c r="CM65" i="14" s="1"/>
  <c r="CR65" i="14" s="1"/>
  <c r="DK65" i="14"/>
  <c r="DM65" i="14" s="1"/>
  <c r="DR65" i="14" s="1"/>
  <c r="BK65" i="14"/>
  <c r="BM65" i="14" s="1"/>
  <c r="BR65" i="14" s="1"/>
  <c r="AK65" i="14"/>
  <c r="AM65" i="14" s="1"/>
  <c r="AR65" i="14" s="1"/>
  <c r="DK65" i="13"/>
  <c r="DM65" i="13" s="1"/>
  <c r="DR65" i="13" s="1"/>
  <c r="CK65" i="13"/>
  <c r="CM65" i="13" s="1"/>
  <c r="CR65" i="13" s="1"/>
  <c r="BK65" i="13"/>
  <c r="BM65" i="13" s="1"/>
  <c r="BR65" i="13" s="1"/>
  <c r="AK65" i="13"/>
  <c r="AM65" i="13" s="1"/>
  <c r="AR65" i="13" s="1"/>
  <c r="DK65" i="15"/>
  <c r="BK65" i="15"/>
  <c r="K65" i="13"/>
  <c r="M65" i="13" s="1"/>
  <c r="R65" i="13" s="1"/>
  <c r="CK65" i="15"/>
  <c r="AK65" i="15"/>
  <c r="K65" i="16"/>
  <c r="M65" i="16" s="1"/>
  <c r="R65" i="16" s="1"/>
  <c r="K65" i="15"/>
  <c r="M65" i="15" s="1"/>
  <c r="R65" i="15" s="1"/>
  <c r="K65" i="14"/>
  <c r="M65" i="14" s="1"/>
  <c r="R65" i="14" s="1"/>
  <c r="N8" i="17"/>
  <c r="N9" i="17" s="1"/>
  <c r="DK77" i="16"/>
  <c r="DM77" i="16" s="1"/>
  <c r="DR77" i="16" s="1"/>
  <c r="CK77" i="16"/>
  <c r="CM77" i="16" s="1"/>
  <c r="CR77" i="16" s="1"/>
  <c r="BK77" i="16"/>
  <c r="BM77" i="16" s="1"/>
  <c r="BR77" i="16" s="1"/>
  <c r="AK77" i="16"/>
  <c r="AM77" i="16" s="1"/>
  <c r="AR77" i="16" s="1"/>
  <c r="K77" i="13"/>
  <c r="M77" i="13" s="1"/>
  <c r="R77" i="13" s="1"/>
  <c r="CK77" i="14"/>
  <c r="CM77" i="14" s="1"/>
  <c r="CR77" i="14" s="1"/>
  <c r="DK77" i="14"/>
  <c r="DM77" i="14" s="1"/>
  <c r="DR77" i="14" s="1"/>
  <c r="BK77" i="14"/>
  <c r="BM77" i="14" s="1"/>
  <c r="BR77" i="14" s="1"/>
  <c r="AK77" i="14"/>
  <c r="AM77" i="14" s="1"/>
  <c r="AR77" i="14" s="1"/>
  <c r="DK77" i="13"/>
  <c r="DM77" i="13" s="1"/>
  <c r="DR77" i="13" s="1"/>
  <c r="CK77" i="13"/>
  <c r="CM77" i="13" s="1"/>
  <c r="CR77" i="13" s="1"/>
  <c r="BK77" i="13"/>
  <c r="BM77" i="13" s="1"/>
  <c r="BR77" i="13" s="1"/>
  <c r="AK77" i="13"/>
  <c r="AM77" i="13" s="1"/>
  <c r="AR77" i="13" s="1"/>
  <c r="DK77" i="15"/>
  <c r="CK77" i="15"/>
  <c r="BK77" i="15"/>
  <c r="AK77" i="15"/>
  <c r="K77" i="16"/>
  <c r="M77" i="16" s="1"/>
  <c r="R77" i="16" s="1"/>
  <c r="K77" i="15"/>
  <c r="M77" i="15" s="1"/>
  <c r="R77" i="15" s="1"/>
  <c r="K77" i="14"/>
  <c r="M77" i="14" s="1"/>
  <c r="R77" i="14" s="1"/>
  <c r="I155" i="9"/>
  <c r="N155" i="9" s="1"/>
  <c r="DK75" i="16"/>
  <c r="DM75" i="16" s="1"/>
  <c r="DR75" i="16" s="1"/>
  <c r="CK75" i="16"/>
  <c r="CM75" i="16" s="1"/>
  <c r="CR75" i="16" s="1"/>
  <c r="BK75" i="16"/>
  <c r="BM75" i="16" s="1"/>
  <c r="BR75" i="16" s="1"/>
  <c r="AK75" i="16"/>
  <c r="AM75" i="16" s="1"/>
  <c r="AR75" i="16" s="1"/>
  <c r="AK75" i="15"/>
  <c r="DK75" i="15"/>
  <c r="BK75" i="15"/>
  <c r="K75" i="13"/>
  <c r="M75" i="13" s="1"/>
  <c r="R75" i="13" s="1"/>
  <c r="CK75" i="14"/>
  <c r="CM75" i="14" s="1"/>
  <c r="CR75" i="14" s="1"/>
  <c r="DK75" i="14"/>
  <c r="DM75" i="14" s="1"/>
  <c r="DR75" i="14" s="1"/>
  <c r="BK75" i="14"/>
  <c r="BM75" i="14" s="1"/>
  <c r="BR75" i="14" s="1"/>
  <c r="AK75" i="14"/>
  <c r="AM75" i="14" s="1"/>
  <c r="AR75" i="14" s="1"/>
  <c r="DK75" i="13"/>
  <c r="DM75" i="13" s="1"/>
  <c r="DR75" i="13" s="1"/>
  <c r="CK75" i="13"/>
  <c r="CM75" i="13" s="1"/>
  <c r="CR75" i="13" s="1"/>
  <c r="BK75" i="13"/>
  <c r="BM75" i="13" s="1"/>
  <c r="BR75" i="13" s="1"/>
  <c r="AK75" i="13"/>
  <c r="AM75" i="13" s="1"/>
  <c r="AR75" i="13" s="1"/>
  <c r="CK75" i="15"/>
  <c r="K75" i="16"/>
  <c r="M75" i="16" s="1"/>
  <c r="R75" i="16" s="1"/>
  <c r="K75" i="15"/>
  <c r="M75" i="15" s="1"/>
  <c r="R75" i="15" s="1"/>
  <c r="K75" i="14"/>
  <c r="M75" i="14" s="1"/>
  <c r="R75" i="14" s="1"/>
  <c r="I154" i="9"/>
  <c r="N154" i="9" s="1"/>
  <c r="DK74" i="16"/>
  <c r="DM74" i="16" s="1"/>
  <c r="DR74" i="16" s="1"/>
  <c r="CK74" i="16"/>
  <c r="CM74" i="16" s="1"/>
  <c r="CR74" i="16" s="1"/>
  <c r="BK74" i="16"/>
  <c r="BM74" i="16" s="1"/>
  <c r="BR74" i="16" s="1"/>
  <c r="AK74" i="16"/>
  <c r="AM74" i="16" s="1"/>
  <c r="AR74" i="16" s="1"/>
  <c r="DK74" i="15"/>
  <c r="CK74" i="14"/>
  <c r="CM74" i="14" s="1"/>
  <c r="CR74" i="14" s="1"/>
  <c r="DK74" i="14"/>
  <c r="DM74" i="14" s="1"/>
  <c r="DR74" i="14" s="1"/>
  <c r="BK74" i="14"/>
  <c r="BM74" i="14" s="1"/>
  <c r="BR74" i="14" s="1"/>
  <c r="AK74" i="14"/>
  <c r="AM74" i="14" s="1"/>
  <c r="AR74" i="14" s="1"/>
  <c r="DK74" i="13"/>
  <c r="DM74" i="13" s="1"/>
  <c r="DR74" i="13" s="1"/>
  <c r="CK74" i="13"/>
  <c r="CM74" i="13" s="1"/>
  <c r="CR74" i="13" s="1"/>
  <c r="BK74" i="13"/>
  <c r="BM74" i="13" s="1"/>
  <c r="BR74" i="13" s="1"/>
  <c r="AK74" i="13"/>
  <c r="AM74" i="13" s="1"/>
  <c r="AR74" i="13" s="1"/>
  <c r="K74" i="13"/>
  <c r="M74" i="13" s="1"/>
  <c r="R74" i="13" s="1"/>
  <c r="CK74" i="15"/>
  <c r="AK74" i="15"/>
  <c r="K74" i="16"/>
  <c r="M74" i="16" s="1"/>
  <c r="R74" i="16" s="1"/>
  <c r="K74" i="15"/>
  <c r="M74" i="15" s="1"/>
  <c r="R74" i="15" s="1"/>
  <c r="K74" i="14"/>
  <c r="M74" i="14" s="1"/>
  <c r="R74" i="14" s="1"/>
  <c r="BK74" i="15"/>
  <c r="CK72" i="16"/>
  <c r="CM72" i="16" s="1"/>
  <c r="CR72" i="16" s="1"/>
  <c r="DK72" i="16"/>
  <c r="DM72" i="16" s="1"/>
  <c r="DR72" i="16" s="1"/>
  <c r="BK72" i="16"/>
  <c r="BM72" i="16" s="1"/>
  <c r="BR72" i="16" s="1"/>
  <c r="AK72" i="16"/>
  <c r="AM72" i="16" s="1"/>
  <c r="AR72" i="16" s="1"/>
  <c r="BK72" i="15"/>
  <c r="CK72" i="14"/>
  <c r="CM72" i="14" s="1"/>
  <c r="CR72" i="14" s="1"/>
  <c r="DK72" i="14"/>
  <c r="DM72" i="14" s="1"/>
  <c r="DR72" i="14" s="1"/>
  <c r="BK72" i="14"/>
  <c r="BM72" i="14" s="1"/>
  <c r="BR72" i="14" s="1"/>
  <c r="AK72" i="14"/>
  <c r="AM72" i="14" s="1"/>
  <c r="AR72" i="14" s="1"/>
  <c r="DK72" i="13"/>
  <c r="DM72" i="13" s="1"/>
  <c r="DR72" i="13" s="1"/>
  <c r="CK72" i="13"/>
  <c r="CM72" i="13" s="1"/>
  <c r="CR72" i="13" s="1"/>
  <c r="BK72" i="13"/>
  <c r="BM72" i="13" s="1"/>
  <c r="BR72" i="13" s="1"/>
  <c r="AK72" i="13"/>
  <c r="AM72" i="13" s="1"/>
  <c r="AR72" i="13" s="1"/>
  <c r="AK72" i="15"/>
  <c r="K72" i="16"/>
  <c r="M72" i="16" s="1"/>
  <c r="R72" i="16" s="1"/>
  <c r="K72" i="15"/>
  <c r="M72" i="15" s="1"/>
  <c r="R72" i="15" s="1"/>
  <c r="K72" i="14"/>
  <c r="M72" i="14" s="1"/>
  <c r="R72" i="14" s="1"/>
  <c r="DK72" i="15"/>
  <c r="K72" i="13"/>
  <c r="M72" i="13" s="1"/>
  <c r="R72" i="13" s="1"/>
  <c r="CK72" i="15"/>
  <c r="K150" i="9"/>
  <c r="P150" i="9" s="1"/>
  <c r="CM70" i="15"/>
  <c r="CR70" i="15" s="1"/>
  <c r="BM70" i="15"/>
  <c r="BR70" i="15" s="1"/>
  <c r="DM70" i="15"/>
  <c r="DR70" i="15" s="1"/>
  <c r="AM70" i="15"/>
  <c r="AR70" i="15" s="1"/>
  <c r="CK70" i="16"/>
  <c r="CM70" i="16" s="1"/>
  <c r="CR70" i="16" s="1"/>
  <c r="DK70" i="16"/>
  <c r="DM70" i="16" s="1"/>
  <c r="DR70" i="16" s="1"/>
  <c r="BK70" i="16"/>
  <c r="BM70" i="16" s="1"/>
  <c r="BR70" i="16" s="1"/>
  <c r="AK70" i="16"/>
  <c r="AM70" i="16" s="1"/>
  <c r="AR70" i="16" s="1"/>
  <c r="DK70" i="15"/>
  <c r="CK70" i="14"/>
  <c r="CM70" i="14" s="1"/>
  <c r="CR70" i="14" s="1"/>
  <c r="DK70" i="14"/>
  <c r="DM70" i="14" s="1"/>
  <c r="DR70" i="14" s="1"/>
  <c r="BK70" i="14"/>
  <c r="BM70" i="14" s="1"/>
  <c r="BR70" i="14" s="1"/>
  <c r="AK70" i="14"/>
  <c r="AM70" i="14" s="1"/>
  <c r="AR70" i="14" s="1"/>
  <c r="DK70" i="13"/>
  <c r="DM70" i="13" s="1"/>
  <c r="DR70" i="13" s="1"/>
  <c r="CK70" i="13"/>
  <c r="CM70" i="13" s="1"/>
  <c r="CR70" i="13" s="1"/>
  <c r="BK70" i="13"/>
  <c r="BM70" i="13" s="1"/>
  <c r="BR70" i="13" s="1"/>
  <c r="AK70" i="13"/>
  <c r="AM70" i="13" s="1"/>
  <c r="AR70" i="13" s="1"/>
  <c r="K70" i="13"/>
  <c r="M70" i="13" s="1"/>
  <c r="R70" i="13" s="1"/>
  <c r="CK70" i="15"/>
  <c r="AK70" i="15"/>
  <c r="K70" i="16"/>
  <c r="M70" i="16" s="1"/>
  <c r="R70" i="16" s="1"/>
  <c r="K70" i="15"/>
  <c r="M70" i="15" s="1"/>
  <c r="R70" i="15" s="1"/>
  <c r="K70" i="14"/>
  <c r="M70" i="14" s="1"/>
  <c r="R70" i="14" s="1"/>
  <c r="BK70" i="15"/>
  <c r="CK69" i="16"/>
  <c r="CM69" i="16" s="1"/>
  <c r="CR69" i="16" s="1"/>
  <c r="BK69" i="16"/>
  <c r="BM69" i="16" s="1"/>
  <c r="BR69" i="16" s="1"/>
  <c r="DK69" i="16"/>
  <c r="DM69" i="16" s="1"/>
  <c r="DR69" i="16" s="1"/>
  <c r="AK69" i="16"/>
  <c r="AM69" i="16" s="1"/>
  <c r="AR69" i="16" s="1"/>
  <c r="K69" i="16"/>
  <c r="M69" i="16" s="1"/>
  <c r="R69" i="16" s="1"/>
  <c r="K69" i="14"/>
  <c r="M69" i="14" s="1"/>
  <c r="R69" i="14" s="1"/>
  <c r="K69" i="13"/>
  <c r="M69" i="13" s="1"/>
  <c r="R69" i="13" s="1"/>
  <c r="DK69" i="15"/>
  <c r="CK69" i="15"/>
  <c r="AK69" i="15"/>
  <c r="K69" i="15"/>
  <c r="M69" i="15" s="1"/>
  <c r="R69" i="15" s="1"/>
  <c r="CK69" i="14"/>
  <c r="CM69" i="14" s="1"/>
  <c r="CR69" i="14" s="1"/>
  <c r="DK69" i="14"/>
  <c r="DM69" i="14" s="1"/>
  <c r="DR69" i="14" s="1"/>
  <c r="BK69" i="14"/>
  <c r="BM69" i="14" s="1"/>
  <c r="BR69" i="14" s="1"/>
  <c r="AK69" i="14"/>
  <c r="AM69" i="14" s="1"/>
  <c r="AR69" i="14" s="1"/>
  <c r="DK69" i="13"/>
  <c r="DM69" i="13" s="1"/>
  <c r="DR69" i="13" s="1"/>
  <c r="CK69" i="13"/>
  <c r="CM69" i="13" s="1"/>
  <c r="CR69" i="13" s="1"/>
  <c r="BK69" i="13"/>
  <c r="BM69" i="13" s="1"/>
  <c r="BR69" i="13" s="1"/>
  <c r="AK69" i="13"/>
  <c r="AM69" i="13" s="1"/>
  <c r="AR69" i="13" s="1"/>
  <c r="BK69" i="15"/>
  <c r="M12" i="17"/>
  <c r="I148" i="9"/>
  <c r="DK68" i="16"/>
  <c r="DM68" i="16" s="1"/>
  <c r="DR68" i="16" s="1"/>
  <c r="CK68" i="16"/>
  <c r="CM68" i="16" s="1"/>
  <c r="CR68" i="16" s="1"/>
  <c r="BK68" i="16"/>
  <c r="BM68" i="16" s="1"/>
  <c r="BR68" i="16" s="1"/>
  <c r="AK68" i="16"/>
  <c r="AM68" i="16" s="1"/>
  <c r="AR68" i="16" s="1"/>
  <c r="BK68" i="15"/>
  <c r="CK68" i="14"/>
  <c r="CM68" i="14" s="1"/>
  <c r="CR68" i="14" s="1"/>
  <c r="DK68" i="14"/>
  <c r="DM68" i="14" s="1"/>
  <c r="DR68" i="14" s="1"/>
  <c r="BK68" i="14"/>
  <c r="BM68" i="14" s="1"/>
  <c r="BR68" i="14" s="1"/>
  <c r="AK68" i="14"/>
  <c r="AM68" i="14" s="1"/>
  <c r="AR68" i="14" s="1"/>
  <c r="DK68" i="13"/>
  <c r="DM68" i="13" s="1"/>
  <c r="DR68" i="13" s="1"/>
  <c r="CK68" i="13"/>
  <c r="CM68" i="13" s="1"/>
  <c r="CR68" i="13" s="1"/>
  <c r="BK68" i="13"/>
  <c r="BM68" i="13" s="1"/>
  <c r="BR68" i="13" s="1"/>
  <c r="AK68" i="13"/>
  <c r="AM68" i="13" s="1"/>
  <c r="AR68" i="13" s="1"/>
  <c r="CK68" i="15"/>
  <c r="AK68" i="15"/>
  <c r="K68" i="16"/>
  <c r="M68" i="16" s="1"/>
  <c r="R68" i="16" s="1"/>
  <c r="K68" i="15"/>
  <c r="M68" i="15" s="1"/>
  <c r="R68" i="15" s="1"/>
  <c r="K68" i="14"/>
  <c r="M68" i="14" s="1"/>
  <c r="R68" i="14" s="1"/>
  <c r="DK68" i="15"/>
  <c r="K68" i="13"/>
  <c r="M68" i="13" s="1"/>
  <c r="R68" i="13" s="1"/>
  <c r="DK67" i="16"/>
  <c r="DM67" i="16" s="1"/>
  <c r="DR67" i="16" s="1"/>
  <c r="CK67" i="16"/>
  <c r="CM67" i="16" s="1"/>
  <c r="CR67" i="16" s="1"/>
  <c r="BK67" i="16"/>
  <c r="BM67" i="16" s="1"/>
  <c r="BR67" i="16" s="1"/>
  <c r="AK67" i="16"/>
  <c r="AM67" i="16" s="1"/>
  <c r="AR67" i="16" s="1"/>
  <c r="DK67" i="15"/>
  <c r="BK67" i="15"/>
  <c r="CK67" i="14"/>
  <c r="CM67" i="14" s="1"/>
  <c r="CR67" i="14" s="1"/>
  <c r="DK67" i="14"/>
  <c r="DM67" i="14" s="1"/>
  <c r="DR67" i="14" s="1"/>
  <c r="BK67" i="14"/>
  <c r="BM67" i="14" s="1"/>
  <c r="BR67" i="14" s="1"/>
  <c r="AK67" i="14"/>
  <c r="AM67" i="14" s="1"/>
  <c r="AR67" i="14" s="1"/>
  <c r="DK67" i="13"/>
  <c r="DM67" i="13" s="1"/>
  <c r="DR67" i="13" s="1"/>
  <c r="CK67" i="13"/>
  <c r="CM67" i="13" s="1"/>
  <c r="CR67" i="13" s="1"/>
  <c r="BK67" i="13"/>
  <c r="BM67" i="13" s="1"/>
  <c r="BR67" i="13" s="1"/>
  <c r="AK67" i="13"/>
  <c r="AM67" i="13" s="1"/>
  <c r="AR67" i="13" s="1"/>
  <c r="CK67" i="15"/>
  <c r="AK67" i="15"/>
  <c r="K67" i="16"/>
  <c r="M67" i="16" s="1"/>
  <c r="R67" i="16" s="1"/>
  <c r="K67" i="15"/>
  <c r="M67" i="15" s="1"/>
  <c r="R67" i="15" s="1"/>
  <c r="K67" i="14"/>
  <c r="M67" i="14" s="1"/>
  <c r="R67" i="14" s="1"/>
  <c r="K67" i="13"/>
  <c r="M67" i="13" s="1"/>
  <c r="R67" i="13" s="1"/>
  <c r="CK66" i="16"/>
  <c r="CM66" i="16" s="1"/>
  <c r="CR66" i="16" s="1"/>
  <c r="BK66" i="16"/>
  <c r="BM66" i="16" s="1"/>
  <c r="BR66" i="16" s="1"/>
  <c r="AK66" i="16"/>
  <c r="AM66" i="16" s="1"/>
  <c r="AR66" i="16" s="1"/>
  <c r="DK66" i="16"/>
  <c r="DM66" i="16" s="1"/>
  <c r="DR66" i="16" s="1"/>
  <c r="DK66" i="15"/>
  <c r="CK66" i="14"/>
  <c r="CM66" i="14" s="1"/>
  <c r="CR66" i="14" s="1"/>
  <c r="DK66" i="14"/>
  <c r="DM66" i="14" s="1"/>
  <c r="DR66" i="14" s="1"/>
  <c r="BK66" i="14"/>
  <c r="BM66" i="14" s="1"/>
  <c r="BR66" i="14" s="1"/>
  <c r="AK66" i="14"/>
  <c r="AM66" i="14" s="1"/>
  <c r="AR66" i="14" s="1"/>
  <c r="DK66" i="13"/>
  <c r="DM66" i="13" s="1"/>
  <c r="DR66" i="13" s="1"/>
  <c r="CK66" i="13"/>
  <c r="CM66" i="13" s="1"/>
  <c r="CR66" i="13" s="1"/>
  <c r="BK66" i="13"/>
  <c r="BM66" i="13" s="1"/>
  <c r="BR66" i="13" s="1"/>
  <c r="AK66" i="13"/>
  <c r="AM66" i="13" s="1"/>
  <c r="AR66" i="13" s="1"/>
  <c r="K66" i="13"/>
  <c r="M66" i="13" s="1"/>
  <c r="R66" i="13" s="1"/>
  <c r="AK66" i="15"/>
  <c r="K66" i="16"/>
  <c r="M66" i="16" s="1"/>
  <c r="R66" i="16" s="1"/>
  <c r="K66" i="15"/>
  <c r="M66" i="15" s="1"/>
  <c r="R66" i="15" s="1"/>
  <c r="K66" i="14"/>
  <c r="M66" i="14" s="1"/>
  <c r="R66" i="14" s="1"/>
  <c r="BK66" i="15"/>
  <c r="CK66" i="15"/>
  <c r="K146" i="9"/>
  <c r="P146" i="9" s="1"/>
  <c r="CM66" i="15"/>
  <c r="CR66" i="15" s="1"/>
  <c r="DM66" i="15"/>
  <c r="DR66" i="15" s="1"/>
  <c r="AM66" i="15"/>
  <c r="AR66" i="15" s="1"/>
  <c r="BM66" i="15"/>
  <c r="BR66" i="15" s="1"/>
  <c r="DK64" i="16"/>
  <c r="DM64" i="16" s="1"/>
  <c r="DR64" i="16" s="1"/>
  <c r="CK64" i="16"/>
  <c r="CM64" i="16" s="1"/>
  <c r="CR64" i="16" s="1"/>
  <c r="BK64" i="16"/>
  <c r="BM64" i="16" s="1"/>
  <c r="BR64" i="16" s="1"/>
  <c r="AK64" i="16"/>
  <c r="AM64" i="16" s="1"/>
  <c r="AR64" i="16" s="1"/>
  <c r="K64" i="13"/>
  <c r="M64" i="13" s="1"/>
  <c r="R64" i="13" s="1"/>
  <c r="DK64" i="15"/>
  <c r="CK64" i="15"/>
  <c r="BK64" i="15"/>
  <c r="AK64" i="15"/>
  <c r="K64" i="16"/>
  <c r="M64" i="16" s="1"/>
  <c r="R64" i="16" s="1"/>
  <c r="K64" i="15"/>
  <c r="M64" i="15" s="1"/>
  <c r="R64" i="15" s="1"/>
  <c r="K64" i="14"/>
  <c r="M64" i="14" s="1"/>
  <c r="R64" i="14" s="1"/>
  <c r="CK64" i="14"/>
  <c r="CM64" i="14" s="1"/>
  <c r="CR64" i="14" s="1"/>
  <c r="DK64" i="14"/>
  <c r="DM64" i="14" s="1"/>
  <c r="DR64" i="14" s="1"/>
  <c r="BK64" i="14"/>
  <c r="BM64" i="14" s="1"/>
  <c r="BR64" i="14" s="1"/>
  <c r="AK64" i="14"/>
  <c r="AM64" i="14" s="1"/>
  <c r="AR64" i="14" s="1"/>
  <c r="DK64" i="13"/>
  <c r="DM64" i="13" s="1"/>
  <c r="DR64" i="13" s="1"/>
  <c r="CK64" i="13"/>
  <c r="CM64" i="13" s="1"/>
  <c r="CR64" i="13" s="1"/>
  <c r="BK64" i="13"/>
  <c r="BM64" i="13" s="1"/>
  <c r="BR64" i="13" s="1"/>
  <c r="AK64" i="13"/>
  <c r="AM64" i="13" s="1"/>
  <c r="AR64" i="13" s="1"/>
  <c r="M15" i="17"/>
  <c r="I144" i="9"/>
  <c r="N144" i="9" s="1"/>
  <c r="I145" i="9"/>
  <c r="I152" i="9"/>
  <c r="M8" i="17"/>
  <c r="S13" i="8"/>
  <c r="R13" i="8"/>
  <c r="M19" i="17"/>
  <c r="I149" i="9"/>
  <c r="I147" i="9"/>
  <c r="N147" i="9" s="1"/>
  <c r="Q13" i="8"/>
  <c r="P13" i="8"/>
  <c r="I157" i="9"/>
  <c r="J146" i="9"/>
  <c r="O146" i="9" s="1"/>
  <c r="J150" i="9"/>
  <c r="O150" i="9" s="1"/>
  <c r="E36" i="18"/>
  <c r="E45" i="18"/>
  <c r="E44" i="18"/>
  <c r="N43" i="18"/>
  <c r="M37" i="18"/>
  <c r="F36" i="18"/>
  <c r="N35" i="18"/>
  <c r="E43" i="18"/>
  <c r="L33" i="18"/>
  <c r="F44" i="18"/>
  <c r="K43" i="18"/>
  <c r="Q17" i="17" s="1"/>
  <c r="G37" i="18"/>
  <c r="G41" i="18"/>
  <c r="L48" i="18"/>
  <c r="K39" i="18"/>
  <c r="Q13" i="17" s="1"/>
  <c r="E34" i="18"/>
  <c r="E35" i="18"/>
  <c r="E48" i="18"/>
  <c r="M43" i="18"/>
  <c r="E40" i="18"/>
  <c r="M44" i="18"/>
  <c r="E41" i="18"/>
  <c r="K44" i="18"/>
  <c r="Q18" i="17" s="1"/>
  <c r="N41" i="18"/>
  <c r="L46" i="18"/>
  <c r="G42" i="18"/>
  <c r="G35" i="18"/>
  <c r="L41" i="18"/>
  <c r="E46" i="18"/>
  <c r="E33" i="18"/>
  <c r="E38" i="18"/>
  <c r="E39" i="18"/>
  <c r="L34" i="18"/>
  <c r="F38" i="18"/>
  <c r="K45" i="18"/>
  <c r="Q19" i="17" s="1"/>
  <c r="R16" i="2"/>
  <c r="S14" i="8" s="1"/>
  <c r="R14" i="8"/>
  <c r="K16" i="2"/>
  <c r="Q14" i="8" s="1"/>
  <c r="P14" i="8"/>
  <c r="R17" i="8"/>
  <c r="AF13" i="2"/>
  <c r="P17" i="8"/>
  <c r="AE16" i="2"/>
  <c r="Q138" i="15" l="1"/>
  <c r="V138" i="15" s="1"/>
  <c r="V139" i="15" s="1"/>
  <c r="V140" i="15" s="1"/>
  <c r="V141" i="15" s="1"/>
  <c r="V142" i="15" s="1"/>
  <c r="V143" i="15" s="1"/>
  <c r="V144" i="15" s="1"/>
  <c r="V145" i="15" s="1"/>
  <c r="V146" i="15" s="1"/>
  <c r="V147" i="15" s="1"/>
  <c r="V148" i="15" s="1"/>
  <c r="V149" i="15" s="1"/>
  <c r="V150" i="15" s="1"/>
  <c r="V151" i="15" s="1"/>
  <c r="V152" i="15" s="1"/>
  <c r="V153" i="15" s="1"/>
  <c r="CJ138" i="15"/>
  <c r="CO138" i="15" s="1"/>
  <c r="CO139" i="15" s="1"/>
  <c r="CO140" i="15" s="1"/>
  <c r="CO141" i="15" s="1"/>
  <c r="CO142" i="15" s="1"/>
  <c r="CO143" i="15" s="1"/>
  <c r="CO144" i="15" s="1"/>
  <c r="CO145" i="15" s="1"/>
  <c r="CO146" i="15" s="1"/>
  <c r="CO147" i="15" s="1"/>
  <c r="CO148" i="15" s="1"/>
  <c r="CO149" i="15" s="1"/>
  <c r="CO150" i="15" s="1"/>
  <c r="CO151" i="15" s="1"/>
  <c r="CO152" i="15" s="1"/>
  <c r="CO153" i="15" s="1"/>
  <c r="P138" i="15"/>
  <c r="U138" i="15" s="1"/>
  <c r="U139" i="15" s="1"/>
  <c r="U140" i="15" s="1"/>
  <c r="U141" i="15" s="1"/>
  <c r="U142" i="15" s="1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CJ138" i="13"/>
  <c r="CO138" i="13" s="1"/>
  <c r="CO139" i="13" s="1"/>
  <c r="CO140" i="13" s="1"/>
  <c r="CO141" i="13" s="1"/>
  <c r="CO142" i="13" s="1"/>
  <c r="CO143" i="13" s="1"/>
  <c r="CO144" i="13" s="1"/>
  <c r="CO145" i="13" s="1"/>
  <c r="CO146" i="13" s="1"/>
  <c r="CO147" i="13" s="1"/>
  <c r="CO148" i="13" s="1"/>
  <c r="CO149" i="13" s="1"/>
  <c r="CO150" i="13" s="1"/>
  <c r="CO151" i="13" s="1"/>
  <c r="CO152" i="13" s="1"/>
  <c r="CO153" i="13" s="1"/>
  <c r="AN138" i="13"/>
  <c r="AS138" i="13" s="1"/>
  <c r="AS139" i="13" s="1"/>
  <c r="AS140" i="13" s="1"/>
  <c r="AS141" i="13" s="1"/>
  <c r="AS142" i="13" s="1"/>
  <c r="AS143" i="13" s="1"/>
  <c r="AS144" i="13" s="1"/>
  <c r="AS145" i="13" s="1"/>
  <c r="AS146" i="13" s="1"/>
  <c r="AS147" i="13" s="1"/>
  <c r="AS148" i="13" s="1"/>
  <c r="AS149" i="13" s="1"/>
  <c r="AS150" i="13" s="1"/>
  <c r="AS151" i="13" s="1"/>
  <c r="AS152" i="13" s="1"/>
  <c r="AS153" i="13" s="1"/>
  <c r="DH138" i="13"/>
  <c r="DM138" i="13" s="1"/>
  <c r="DM139" i="13" s="1"/>
  <c r="DM140" i="13" s="1"/>
  <c r="DM141" i="13" s="1"/>
  <c r="DM142" i="13" s="1"/>
  <c r="DM143" i="13" s="1"/>
  <c r="DM144" i="13" s="1"/>
  <c r="DM145" i="13" s="1"/>
  <c r="DM146" i="13" s="1"/>
  <c r="DM147" i="13" s="1"/>
  <c r="DM148" i="13" s="1"/>
  <c r="DM149" i="13" s="1"/>
  <c r="DM150" i="13" s="1"/>
  <c r="DM151" i="13" s="1"/>
  <c r="DM152" i="13" s="1"/>
  <c r="DM153" i="13" s="1"/>
  <c r="AO138" i="13"/>
  <c r="AT138" i="13" s="1"/>
  <c r="AT139" i="13" s="1"/>
  <c r="AT140" i="13" s="1"/>
  <c r="AT141" i="13" s="1"/>
  <c r="AT142" i="13" s="1"/>
  <c r="AT143" i="13" s="1"/>
  <c r="AT144" i="13" s="1"/>
  <c r="AT145" i="13" s="1"/>
  <c r="AT146" i="13" s="1"/>
  <c r="AT147" i="13" s="1"/>
  <c r="AT148" i="13" s="1"/>
  <c r="AT149" i="13" s="1"/>
  <c r="AT150" i="13" s="1"/>
  <c r="AT151" i="13" s="1"/>
  <c r="AT152" i="13" s="1"/>
  <c r="AT153" i="13" s="1"/>
  <c r="H45" i="18"/>
  <c r="D41" i="18"/>
  <c r="P15" i="17" s="1"/>
  <c r="F33" i="18"/>
  <c r="CJ138" i="16"/>
  <c r="CO138" i="16" s="1"/>
  <c r="CO139" i="16" s="1"/>
  <c r="CO140" i="16" s="1"/>
  <c r="CO141" i="16" s="1"/>
  <c r="CO142" i="16" s="1"/>
  <c r="CO143" i="16" s="1"/>
  <c r="CO144" i="16" s="1"/>
  <c r="CO145" i="16" s="1"/>
  <c r="CO146" i="16" s="1"/>
  <c r="CO147" i="16" s="1"/>
  <c r="CO148" i="16" s="1"/>
  <c r="CO149" i="16" s="1"/>
  <c r="CO150" i="16" s="1"/>
  <c r="CO151" i="16" s="1"/>
  <c r="CO152" i="16" s="1"/>
  <c r="CO153" i="16" s="1"/>
  <c r="DN138" i="15"/>
  <c r="DI138" i="15"/>
  <c r="Q138" i="13"/>
  <c r="V138" i="13" s="1"/>
  <c r="V139" i="13" s="1"/>
  <c r="V140" i="13" s="1"/>
  <c r="V141" i="13" s="1"/>
  <c r="V142" i="13" s="1"/>
  <c r="V143" i="13" s="1"/>
  <c r="V144" i="13" s="1"/>
  <c r="V145" i="13" s="1"/>
  <c r="V146" i="13" s="1"/>
  <c r="V147" i="13" s="1"/>
  <c r="V148" i="13" s="1"/>
  <c r="V149" i="13" s="1"/>
  <c r="V150" i="13" s="1"/>
  <c r="V151" i="13" s="1"/>
  <c r="V152" i="13" s="1"/>
  <c r="V153" i="13" s="1"/>
  <c r="BR138" i="14"/>
  <c r="BM138" i="14"/>
  <c r="DI138" i="16"/>
  <c r="DN138" i="16" s="1"/>
  <c r="DN139" i="16" s="1"/>
  <c r="DN140" i="16" s="1"/>
  <c r="DN141" i="16" s="1"/>
  <c r="DN142" i="16" s="1"/>
  <c r="DN143" i="16" s="1"/>
  <c r="DN144" i="16" s="1"/>
  <c r="DN145" i="16" s="1"/>
  <c r="DN146" i="16" s="1"/>
  <c r="DN147" i="16" s="1"/>
  <c r="DN148" i="16" s="1"/>
  <c r="DN149" i="16" s="1"/>
  <c r="DN150" i="16" s="1"/>
  <c r="DN151" i="16" s="1"/>
  <c r="DN152" i="16" s="1"/>
  <c r="DN153" i="16" s="1"/>
  <c r="BR138" i="15"/>
  <c r="BR139" i="15" s="1"/>
  <c r="BR140" i="15" s="1"/>
  <c r="BR141" i="15" s="1"/>
  <c r="BR142" i="15" s="1"/>
  <c r="BR143" i="15" s="1"/>
  <c r="BR144" i="15" s="1"/>
  <c r="BR145" i="15" s="1"/>
  <c r="BR146" i="15" s="1"/>
  <c r="BR147" i="15" s="1"/>
  <c r="BR148" i="15" s="1"/>
  <c r="BR149" i="15" s="1"/>
  <c r="BR150" i="15" s="1"/>
  <c r="BR151" i="15" s="1"/>
  <c r="BR152" i="15" s="1"/>
  <c r="BR153" i="15" s="1"/>
  <c r="BM138" i="15"/>
  <c r="BL138" i="13"/>
  <c r="BQ138" i="13" s="1"/>
  <c r="BQ139" i="13" s="1"/>
  <c r="BQ140" i="13" s="1"/>
  <c r="BQ141" i="13" s="1"/>
  <c r="BQ142" i="13" s="1"/>
  <c r="BQ143" i="13" s="1"/>
  <c r="BQ144" i="13" s="1"/>
  <c r="BQ145" i="13" s="1"/>
  <c r="BQ146" i="13" s="1"/>
  <c r="BQ147" i="13" s="1"/>
  <c r="BQ148" i="13" s="1"/>
  <c r="BQ149" i="13" s="1"/>
  <c r="BQ150" i="13" s="1"/>
  <c r="BQ151" i="13" s="1"/>
  <c r="BQ152" i="13" s="1"/>
  <c r="BQ153" i="13" s="1"/>
  <c r="AT138" i="16"/>
  <c r="AT139" i="16" s="1"/>
  <c r="AT140" i="16" s="1"/>
  <c r="AT141" i="16" s="1"/>
  <c r="AT142" i="16" s="1"/>
  <c r="AT143" i="16" s="1"/>
  <c r="AT144" i="16" s="1"/>
  <c r="AT145" i="16" s="1"/>
  <c r="AT146" i="16" s="1"/>
  <c r="AT147" i="16" s="1"/>
  <c r="AT148" i="16" s="1"/>
  <c r="AT149" i="16" s="1"/>
  <c r="AT150" i="16" s="1"/>
  <c r="AT151" i="16" s="1"/>
  <c r="AT152" i="16" s="1"/>
  <c r="AT153" i="16" s="1"/>
  <c r="AO138" i="16"/>
  <c r="AM138" i="14"/>
  <c r="AR138" i="14" s="1"/>
  <c r="AR139" i="14" s="1"/>
  <c r="AR140" i="14" s="1"/>
  <c r="AR141" i="14" s="1"/>
  <c r="AR142" i="14" s="1"/>
  <c r="AR143" i="14" s="1"/>
  <c r="AR144" i="14" s="1"/>
  <c r="AR145" i="14" s="1"/>
  <c r="AR146" i="14" s="1"/>
  <c r="AR147" i="14" s="1"/>
  <c r="AR148" i="14" s="1"/>
  <c r="AR149" i="14" s="1"/>
  <c r="AR150" i="14" s="1"/>
  <c r="AR151" i="14" s="1"/>
  <c r="AR152" i="14" s="1"/>
  <c r="AR153" i="14" s="1"/>
  <c r="V138" i="16"/>
  <c r="V139" i="16" s="1"/>
  <c r="V140" i="16" s="1"/>
  <c r="V141" i="16" s="1"/>
  <c r="V142" i="16" s="1"/>
  <c r="V143" i="16" s="1"/>
  <c r="V144" i="16" s="1"/>
  <c r="V145" i="16" s="1"/>
  <c r="V146" i="16" s="1"/>
  <c r="V147" i="16" s="1"/>
  <c r="V148" i="16" s="1"/>
  <c r="V149" i="16" s="1"/>
  <c r="V150" i="16" s="1"/>
  <c r="V151" i="16" s="1"/>
  <c r="V152" i="16" s="1"/>
  <c r="V153" i="16" s="1"/>
  <c r="Q138" i="16"/>
  <c r="Q138" i="14"/>
  <c r="V138" i="14" s="1"/>
  <c r="V139" i="14" s="1"/>
  <c r="V140" i="14" s="1"/>
  <c r="V141" i="14" s="1"/>
  <c r="V142" i="14" s="1"/>
  <c r="V143" i="14" s="1"/>
  <c r="V144" i="14" s="1"/>
  <c r="V145" i="14" s="1"/>
  <c r="V146" i="14" s="1"/>
  <c r="V147" i="14" s="1"/>
  <c r="V148" i="14" s="1"/>
  <c r="V149" i="14" s="1"/>
  <c r="V150" i="14" s="1"/>
  <c r="V151" i="14" s="1"/>
  <c r="V152" i="14" s="1"/>
  <c r="V153" i="14" s="1"/>
  <c r="BQ138" i="16"/>
  <c r="BL138" i="16"/>
  <c r="DH138" i="14"/>
  <c r="DM138" i="14" s="1"/>
  <c r="DM139" i="14" s="1"/>
  <c r="DM140" i="14" s="1"/>
  <c r="DM141" i="14" s="1"/>
  <c r="DM142" i="14" s="1"/>
  <c r="DM143" i="14" s="1"/>
  <c r="DM144" i="14" s="1"/>
  <c r="DM145" i="14" s="1"/>
  <c r="DM146" i="14" s="1"/>
  <c r="DM147" i="14" s="1"/>
  <c r="DM148" i="14" s="1"/>
  <c r="DM149" i="14" s="1"/>
  <c r="DM150" i="14" s="1"/>
  <c r="DM151" i="14" s="1"/>
  <c r="DM152" i="14" s="1"/>
  <c r="DM153" i="14" s="1"/>
  <c r="CO138" i="14"/>
  <c r="CO139" i="14" s="1"/>
  <c r="CO140" i="14" s="1"/>
  <c r="CO141" i="14" s="1"/>
  <c r="CO142" i="14" s="1"/>
  <c r="CO143" i="14" s="1"/>
  <c r="CO144" i="14" s="1"/>
  <c r="CO145" i="14" s="1"/>
  <c r="CO146" i="14" s="1"/>
  <c r="CO147" i="14" s="1"/>
  <c r="CO148" i="14" s="1"/>
  <c r="CO149" i="14" s="1"/>
  <c r="CO150" i="14" s="1"/>
  <c r="CO151" i="14" s="1"/>
  <c r="CO152" i="14" s="1"/>
  <c r="CO153" i="14" s="1"/>
  <c r="CJ138" i="14"/>
  <c r="AN138" i="15"/>
  <c r="AS138" i="15" s="1"/>
  <c r="AS139" i="15" s="1"/>
  <c r="AS140" i="15" s="1"/>
  <c r="AS141" i="15" s="1"/>
  <c r="AS142" i="15" s="1"/>
  <c r="AS143" i="15" s="1"/>
  <c r="AS144" i="15" s="1"/>
  <c r="AS145" i="15" s="1"/>
  <c r="AS146" i="15" s="1"/>
  <c r="AS147" i="15" s="1"/>
  <c r="AS148" i="15" s="1"/>
  <c r="AS149" i="15" s="1"/>
  <c r="AS150" i="15" s="1"/>
  <c r="AS151" i="15" s="1"/>
  <c r="AS152" i="15" s="1"/>
  <c r="AS153" i="15" s="1"/>
  <c r="F43" i="18"/>
  <c r="CP138" i="16"/>
  <c r="CK138" i="16"/>
  <c r="P138" i="13"/>
  <c r="U138" i="13" s="1"/>
  <c r="U139" i="13" s="1"/>
  <c r="U140" i="13" s="1"/>
  <c r="U141" i="13" s="1"/>
  <c r="U142" i="13" s="1"/>
  <c r="U143" i="13" s="1"/>
  <c r="U144" i="13" s="1"/>
  <c r="U145" i="13" s="1"/>
  <c r="U146" i="13" s="1"/>
  <c r="U147" i="13" s="1"/>
  <c r="U148" i="13" s="1"/>
  <c r="U149" i="13" s="1"/>
  <c r="U150" i="13" s="1"/>
  <c r="U151" i="13" s="1"/>
  <c r="U152" i="13" s="1"/>
  <c r="U153" i="13" s="1"/>
  <c r="DM138" i="16"/>
  <c r="DH138" i="16"/>
  <c r="AO138" i="15"/>
  <c r="AT138" i="15" s="1"/>
  <c r="AT139" i="15" s="1"/>
  <c r="AT140" i="15" s="1"/>
  <c r="AT141" i="15" s="1"/>
  <c r="AT142" i="15" s="1"/>
  <c r="AT143" i="15" s="1"/>
  <c r="AT144" i="15" s="1"/>
  <c r="AT145" i="15" s="1"/>
  <c r="AT146" i="15" s="1"/>
  <c r="AT147" i="15" s="1"/>
  <c r="AT148" i="15" s="1"/>
  <c r="AT149" i="15" s="1"/>
  <c r="AT150" i="15" s="1"/>
  <c r="AT151" i="15" s="1"/>
  <c r="AT152" i="15" s="1"/>
  <c r="AT153" i="15" s="1"/>
  <c r="BM138" i="13"/>
  <c r="BR138" i="13" s="1"/>
  <c r="BR139" i="13" s="1"/>
  <c r="BR140" i="13" s="1"/>
  <c r="BR141" i="13" s="1"/>
  <c r="BR142" i="13" s="1"/>
  <c r="BR143" i="13" s="1"/>
  <c r="BR144" i="13" s="1"/>
  <c r="BR145" i="13" s="1"/>
  <c r="BR146" i="13" s="1"/>
  <c r="BR147" i="13" s="1"/>
  <c r="BR148" i="13" s="1"/>
  <c r="BR149" i="13" s="1"/>
  <c r="BR150" i="13" s="1"/>
  <c r="BR151" i="13" s="1"/>
  <c r="BR152" i="13" s="1"/>
  <c r="BR153" i="13" s="1"/>
  <c r="AN138" i="14"/>
  <c r="AS138" i="14" s="1"/>
  <c r="AS139" i="14" s="1"/>
  <c r="AS140" i="14" s="1"/>
  <c r="AS141" i="14" s="1"/>
  <c r="AS142" i="14" s="1"/>
  <c r="AS143" i="14" s="1"/>
  <c r="AS144" i="14" s="1"/>
  <c r="AS145" i="14" s="1"/>
  <c r="AS146" i="14" s="1"/>
  <c r="AS147" i="14" s="1"/>
  <c r="AS148" i="14" s="1"/>
  <c r="AS149" i="14" s="1"/>
  <c r="AS150" i="14" s="1"/>
  <c r="AS151" i="14" s="1"/>
  <c r="AS152" i="14" s="1"/>
  <c r="AS153" i="14" s="1"/>
  <c r="DI138" i="14"/>
  <c r="DN138" i="14" s="1"/>
  <c r="DN139" i="14" s="1"/>
  <c r="DN140" i="14" s="1"/>
  <c r="DN141" i="14" s="1"/>
  <c r="DN142" i="14" s="1"/>
  <c r="DN143" i="14" s="1"/>
  <c r="DN144" i="14" s="1"/>
  <c r="DN145" i="14" s="1"/>
  <c r="DN146" i="14" s="1"/>
  <c r="DN147" i="14" s="1"/>
  <c r="DN148" i="14" s="1"/>
  <c r="DN149" i="14" s="1"/>
  <c r="DN150" i="14" s="1"/>
  <c r="DN151" i="14" s="1"/>
  <c r="DN152" i="14" s="1"/>
  <c r="DN153" i="14" s="1"/>
  <c r="H47" i="18"/>
  <c r="D36" i="18"/>
  <c r="P10" i="17" s="1"/>
  <c r="L42" i="18"/>
  <c r="D37" i="18"/>
  <c r="P11" i="17" s="1"/>
  <c r="F42" i="18"/>
  <c r="CP138" i="14"/>
  <c r="CP139" i="14" s="1"/>
  <c r="CP140" i="14" s="1"/>
  <c r="CP141" i="14" s="1"/>
  <c r="CP142" i="14" s="1"/>
  <c r="CP143" i="14" s="1"/>
  <c r="CP144" i="14" s="1"/>
  <c r="CP145" i="14" s="1"/>
  <c r="CP146" i="14" s="1"/>
  <c r="CP147" i="14" s="1"/>
  <c r="CP148" i="14" s="1"/>
  <c r="CP149" i="14" s="1"/>
  <c r="CP150" i="14" s="1"/>
  <c r="CP151" i="14" s="1"/>
  <c r="CP152" i="14" s="1"/>
  <c r="CP153" i="14" s="1"/>
  <c r="CK138" i="14"/>
  <c r="DM138" i="15"/>
  <c r="DH138" i="15"/>
  <c r="BQ138" i="14"/>
  <c r="BQ139" i="14" s="1"/>
  <c r="BQ140" i="14" s="1"/>
  <c r="BQ141" i="14" s="1"/>
  <c r="BQ142" i="14" s="1"/>
  <c r="BQ143" i="14" s="1"/>
  <c r="BQ144" i="14" s="1"/>
  <c r="BQ145" i="14" s="1"/>
  <c r="BQ146" i="14" s="1"/>
  <c r="BQ147" i="14" s="1"/>
  <c r="BQ148" i="14" s="1"/>
  <c r="BQ149" i="14" s="1"/>
  <c r="BQ150" i="14" s="1"/>
  <c r="BQ151" i="14" s="1"/>
  <c r="BQ152" i="14" s="1"/>
  <c r="BQ153" i="14" s="1"/>
  <c r="BL138" i="14"/>
  <c r="CP138" i="13"/>
  <c r="CK138" i="13"/>
  <c r="BQ138" i="15"/>
  <c r="BQ139" i="15" s="1"/>
  <c r="BQ140" i="15" s="1"/>
  <c r="BQ141" i="15" s="1"/>
  <c r="BQ142" i="15" s="1"/>
  <c r="BQ143" i="15" s="1"/>
  <c r="BQ144" i="15" s="1"/>
  <c r="BQ145" i="15" s="1"/>
  <c r="BQ146" i="15" s="1"/>
  <c r="BQ147" i="15" s="1"/>
  <c r="BQ148" i="15" s="1"/>
  <c r="BQ149" i="15" s="1"/>
  <c r="BQ150" i="15" s="1"/>
  <c r="BQ151" i="15" s="1"/>
  <c r="BQ152" i="15" s="1"/>
  <c r="BQ153" i="15" s="1"/>
  <c r="BL138" i="15"/>
  <c r="AS138" i="16"/>
  <c r="AN138" i="16"/>
  <c r="CP138" i="15"/>
  <c r="CP139" i="15" s="1"/>
  <c r="CP140" i="15" s="1"/>
  <c r="CP141" i="15" s="1"/>
  <c r="CP142" i="15" s="1"/>
  <c r="CP143" i="15" s="1"/>
  <c r="CP144" i="15" s="1"/>
  <c r="CP145" i="15" s="1"/>
  <c r="CP146" i="15" s="1"/>
  <c r="CP147" i="15" s="1"/>
  <c r="CP148" i="15" s="1"/>
  <c r="CP149" i="15" s="1"/>
  <c r="CP150" i="15" s="1"/>
  <c r="CP151" i="15" s="1"/>
  <c r="CP152" i="15" s="1"/>
  <c r="CP153" i="15" s="1"/>
  <c r="CK138" i="15"/>
  <c r="U138" i="16"/>
  <c r="P138" i="16"/>
  <c r="DN138" i="13"/>
  <c r="DN139" i="13" s="1"/>
  <c r="DN140" i="13" s="1"/>
  <c r="DN141" i="13" s="1"/>
  <c r="DN142" i="13" s="1"/>
  <c r="DN143" i="13" s="1"/>
  <c r="DN144" i="13" s="1"/>
  <c r="DN145" i="13" s="1"/>
  <c r="DN146" i="13" s="1"/>
  <c r="DN147" i="13" s="1"/>
  <c r="DN148" i="13" s="1"/>
  <c r="DN149" i="13" s="1"/>
  <c r="DN150" i="13" s="1"/>
  <c r="DN151" i="13" s="1"/>
  <c r="DN152" i="13" s="1"/>
  <c r="DN153" i="13" s="1"/>
  <c r="DI138" i="13"/>
  <c r="U138" i="14"/>
  <c r="P138" i="14"/>
  <c r="BR138" i="16"/>
  <c r="BR139" i="16" s="1"/>
  <c r="BR140" i="16" s="1"/>
  <c r="BR141" i="16" s="1"/>
  <c r="BR142" i="16" s="1"/>
  <c r="BR143" i="16" s="1"/>
  <c r="BR144" i="16" s="1"/>
  <c r="BR145" i="16" s="1"/>
  <c r="BR146" i="16" s="1"/>
  <c r="BR147" i="16" s="1"/>
  <c r="BR148" i="16" s="1"/>
  <c r="BR149" i="16" s="1"/>
  <c r="BR150" i="16" s="1"/>
  <c r="BR151" i="16" s="1"/>
  <c r="BR152" i="16" s="1"/>
  <c r="BR153" i="16" s="1"/>
  <c r="BM138" i="16"/>
  <c r="H38" i="18"/>
  <c r="G39" i="18"/>
  <c r="F34" i="18"/>
  <c r="H43" i="18"/>
  <c r="H33" i="18"/>
  <c r="D35" i="18"/>
  <c r="P9" i="17" s="1"/>
  <c r="K34" i="18"/>
  <c r="Q8" i="17" s="1"/>
  <c r="D34" i="18"/>
  <c r="P8" i="17" s="1"/>
  <c r="D40" i="18"/>
  <c r="P14" i="17" s="1"/>
  <c r="O40" i="18"/>
  <c r="H35" i="18"/>
  <c r="H48" i="18"/>
  <c r="H42" i="18"/>
  <c r="O45" i="18"/>
  <c r="O47" i="18"/>
  <c r="O42" i="18"/>
  <c r="H40" i="18"/>
  <c r="F46" i="18"/>
  <c r="M46" i="18"/>
  <c r="F40" i="18"/>
  <c r="M36" i="18"/>
  <c r="F35" i="18"/>
  <c r="M34" i="18"/>
  <c r="M33" i="18"/>
  <c r="D47" i="18"/>
  <c r="P21" i="17" s="1"/>
  <c r="D43" i="18"/>
  <c r="P17" i="17" s="1"/>
  <c r="D39" i="18"/>
  <c r="P13" i="17" s="1"/>
  <c r="D42" i="18"/>
  <c r="P16" i="17" s="1"/>
  <c r="D48" i="18"/>
  <c r="P22" i="17" s="1"/>
  <c r="K42" i="18"/>
  <c r="Q16" i="17" s="1"/>
  <c r="O41" i="18"/>
  <c r="T139" i="15"/>
  <c r="T140" i="15" s="1"/>
  <c r="T141" i="15" s="1"/>
  <c r="T142" i="15" s="1"/>
  <c r="T143" i="15" s="1"/>
  <c r="T144" i="15" s="1"/>
  <c r="T145" i="15" s="1"/>
  <c r="T146" i="15" s="1"/>
  <c r="T147" i="15" s="1"/>
  <c r="T148" i="15" s="1"/>
  <c r="T149" i="15" s="1"/>
  <c r="T150" i="15" s="1"/>
  <c r="T151" i="15" s="1"/>
  <c r="T152" i="15" s="1"/>
  <c r="T153" i="15" s="1"/>
  <c r="AH162" i="15" s="1"/>
  <c r="H37" i="18"/>
  <c r="H41" i="18"/>
  <c r="G44" i="18"/>
  <c r="N44" i="18"/>
  <c r="N39" i="18"/>
  <c r="G34" i="18"/>
  <c r="F39" i="18"/>
  <c r="F45" i="18"/>
  <c r="F47" i="18"/>
  <c r="E42" i="18"/>
  <c r="E47" i="18"/>
  <c r="K149" i="9"/>
  <c r="P149" i="9" s="1"/>
  <c r="N149" i="9"/>
  <c r="J152" i="9"/>
  <c r="O152" i="9" s="1"/>
  <c r="N152" i="9"/>
  <c r="O38" i="18"/>
  <c r="M39" i="18"/>
  <c r="M47" i="18"/>
  <c r="M45" i="18"/>
  <c r="L47" i="18"/>
  <c r="M42" i="18"/>
  <c r="O35" i="18"/>
  <c r="O48" i="18"/>
  <c r="J145" i="9"/>
  <c r="O145" i="9" s="1"/>
  <c r="N145" i="9"/>
  <c r="J148" i="9"/>
  <c r="O148" i="9" s="1"/>
  <c r="N148" i="9"/>
  <c r="O37" i="18"/>
  <c r="M41" i="18"/>
  <c r="K157" i="9"/>
  <c r="P157" i="9" s="1"/>
  <c r="N157" i="9"/>
  <c r="O33" i="18"/>
  <c r="M40" i="18"/>
  <c r="M35" i="18"/>
  <c r="O43" i="18"/>
  <c r="O34" i="18"/>
  <c r="M48" i="18"/>
  <c r="N34" i="18"/>
  <c r="DM139" i="16"/>
  <c r="DM140" i="16" s="1"/>
  <c r="DM141" i="16" s="1"/>
  <c r="DM142" i="16" s="1"/>
  <c r="DM143" i="16" s="1"/>
  <c r="DM144" i="16" s="1"/>
  <c r="DM145" i="16" s="1"/>
  <c r="DM146" i="16" s="1"/>
  <c r="DM147" i="16" s="1"/>
  <c r="DM148" i="16" s="1"/>
  <c r="DM149" i="16" s="1"/>
  <c r="DM150" i="16" s="1"/>
  <c r="DM151" i="16" s="1"/>
  <c r="DM152" i="16" s="1"/>
  <c r="DM153" i="16" s="1"/>
  <c r="K73" i="13"/>
  <c r="M73" i="13" s="1"/>
  <c r="R73" i="13" s="1"/>
  <c r="DK78" i="16"/>
  <c r="DM78" i="16" s="1"/>
  <c r="R118" i="9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R129" i="9" s="1"/>
  <c r="R130" i="9" s="1"/>
  <c r="R131" i="9" s="1"/>
  <c r="R132" i="9" s="1"/>
  <c r="H8" i="11" s="1"/>
  <c r="DL139" i="15"/>
  <c r="DL140" i="15" s="1"/>
  <c r="DL141" i="15" s="1"/>
  <c r="DL142" i="15" s="1"/>
  <c r="DL143" i="15" s="1"/>
  <c r="DL144" i="15" s="1"/>
  <c r="DL145" i="15" s="1"/>
  <c r="DL146" i="15" s="1"/>
  <c r="DL147" i="15" s="1"/>
  <c r="DL148" i="15" s="1"/>
  <c r="DL149" i="15" s="1"/>
  <c r="DL150" i="15" s="1"/>
  <c r="DL151" i="15" s="1"/>
  <c r="DL152" i="15" s="1"/>
  <c r="DL153" i="15" s="1"/>
  <c r="AL162" i="15" s="1"/>
  <c r="BP139" i="13"/>
  <c r="BP140" i="13" s="1"/>
  <c r="BP141" i="13" s="1"/>
  <c r="BP142" i="13" s="1"/>
  <c r="BP143" i="13" s="1"/>
  <c r="BP144" i="13" s="1"/>
  <c r="BP145" i="13" s="1"/>
  <c r="BP146" i="13" s="1"/>
  <c r="BP147" i="13" s="1"/>
  <c r="BP148" i="13" s="1"/>
  <c r="BP149" i="13" s="1"/>
  <c r="BP150" i="13" s="1"/>
  <c r="BP151" i="13" s="1"/>
  <c r="BP152" i="13" s="1"/>
  <c r="BP153" i="13" s="1"/>
  <c r="AJ162" i="13" s="1"/>
  <c r="AR139" i="13"/>
  <c r="AR140" i="13" s="1"/>
  <c r="AR141" i="13" s="1"/>
  <c r="AR142" i="13" s="1"/>
  <c r="AR143" i="13" s="1"/>
  <c r="AR144" i="13" s="1"/>
  <c r="AR145" i="13" s="1"/>
  <c r="AR146" i="13" s="1"/>
  <c r="AR147" i="13" s="1"/>
  <c r="AR148" i="13" s="1"/>
  <c r="AR149" i="13" s="1"/>
  <c r="AR150" i="13" s="1"/>
  <c r="AR151" i="13" s="1"/>
  <c r="AR152" i="13" s="1"/>
  <c r="AR153" i="13" s="1"/>
  <c r="AI162" i="13" s="1"/>
  <c r="DL140" i="16"/>
  <c r="DL141" i="16" s="1"/>
  <c r="DL142" i="16" s="1"/>
  <c r="DL143" i="16" s="1"/>
  <c r="DL144" i="16" s="1"/>
  <c r="DL145" i="16" s="1"/>
  <c r="DL146" i="16" s="1"/>
  <c r="DL147" i="16" s="1"/>
  <c r="DL148" i="16" s="1"/>
  <c r="DL149" i="16" s="1"/>
  <c r="DL150" i="16" s="1"/>
  <c r="DL151" i="16" s="1"/>
  <c r="DL152" i="16" s="1"/>
  <c r="DL153" i="16" s="1"/>
  <c r="AK162" i="16" s="1"/>
  <c r="DL139" i="14"/>
  <c r="DL140" i="14" s="1"/>
  <c r="DL141" i="14" s="1"/>
  <c r="DL142" i="14" s="1"/>
  <c r="DL143" i="14" s="1"/>
  <c r="DL144" i="14" s="1"/>
  <c r="DL145" i="14" s="1"/>
  <c r="DL146" i="14" s="1"/>
  <c r="DL147" i="14" s="1"/>
  <c r="DL148" i="14" s="1"/>
  <c r="DL149" i="14" s="1"/>
  <c r="DL150" i="14" s="1"/>
  <c r="DL151" i="14" s="1"/>
  <c r="DL152" i="14" s="1"/>
  <c r="DL153" i="14" s="1"/>
  <c r="AL162" i="14" s="1"/>
  <c r="CP139" i="16"/>
  <c r="CP140" i="16" s="1"/>
  <c r="CP141" i="16" s="1"/>
  <c r="CP142" i="16" s="1"/>
  <c r="CP143" i="16" s="1"/>
  <c r="CP144" i="16" s="1"/>
  <c r="CP145" i="16" s="1"/>
  <c r="CP146" i="16" s="1"/>
  <c r="CP147" i="16" s="1"/>
  <c r="CP148" i="16" s="1"/>
  <c r="CP149" i="16" s="1"/>
  <c r="CP150" i="16" s="1"/>
  <c r="CP151" i="16" s="1"/>
  <c r="CP152" i="16" s="1"/>
  <c r="CP153" i="16" s="1"/>
  <c r="CN139" i="14"/>
  <c r="CN140" i="14" s="1"/>
  <c r="CN141" i="14" s="1"/>
  <c r="CN142" i="14" s="1"/>
  <c r="CN143" i="14" s="1"/>
  <c r="CN144" i="14" s="1"/>
  <c r="CN145" i="14" s="1"/>
  <c r="CN146" i="14" s="1"/>
  <c r="CN147" i="14" s="1"/>
  <c r="CN148" i="14" s="1"/>
  <c r="CN149" i="14" s="1"/>
  <c r="CN150" i="14" s="1"/>
  <c r="CN151" i="14" s="1"/>
  <c r="CN152" i="14" s="1"/>
  <c r="CN153" i="14" s="1"/>
  <c r="AK162" i="14" s="1"/>
  <c r="BP139" i="14"/>
  <c r="BP140" i="14" s="1"/>
  <c r="BP141" i="14" s="1"/>
  <c r="BP142" i="14" s="1"/>
  <c r="BP143" i="14" s="1"/>
  <c r="BP144" i="14" s="1"/>
  <c r="BP145" i="14" s="1"/>
  <c r="BP146" i="14" s="1"/>
  <c r="BP147" i="14" s="1"/>
  <c r="BP148" i="14" s="1"/>
  <c r="BP149" i="14" s="1"/>
  <c r="BP150" i="14" s="1"/>
  <c r="BP151" i="14" s="1"/>
  <c r="BP152" i="14" s="1"/>
  <c r="BP153" i="14" s="1"/>
  <c r="AJ162" i="14" s="1"/>
  <c r="AQ139" i="14"/>
  <c r="AQ140" i="14" s="1"/>
  <c r="AQ141" i="14" s="1"/>
  <c r="AQ142" i="14" s="1"/>
  <c r="AQ143" i="14" s="1"/>
  <c r="AQ144" i="14" s="1"/>
  <c r="AQ145" i="14" s="1"/>
  <c r="AQ146" i="14" s="1"/>
  <c r="AQ147" i="14" s="1"/>
  <c r="AQ148" i="14" s="1"/>
  <c r="AQ149" i="14" s="1"/>
  <c r="AQ150" i="14" s="1"/>
  <c r="AQ151" i="14" s="1"/>
  <c r="AQ152" i="14" s="1"/>
  <c r="AQ153" i="14" s="1"/>
  <c r="AI162" i="14" s="1"/>
  <c r="DN139" i="15"/>
  <c r="DN140" i="15" s="1"/>
  <c r="DN141" i="15" s="1"/>
  <c r="DN142" i="15" s="1"/>
  <c r="DN143" i="15" s="1"/>
  <c r="DN144" i="15" s="1"/>
  <c r="DN145" i="15" s="1"/>
  <c r="DN146" i="15" s="1"/>
  <c r="DN147" i="15" s="1"/>
  <c r="DN148" i="15" s="1"/>
  <c r="DN149" i="15" s="1"/>
  <c r="DN150" i="15" s="1"/>
  <c r="DN151" i="15" s="1"/>
  <c r="DN152" i="15" s="1"/>
  <c r="DN153" i="15" s="1"/>
  <c r="BP140" i="15"/>
  <c r="BP141" i="15" s="1"/>
  <c r="BP142" i="15" s="1"/>
  <c r="BP143" i="15" s="1"/>
  <c r="BP144" i="15" s="1"/>
  <c r="BP145" i="15" s="1"/>
  <c r="BP146" i="15" s="1"/>
  <c r="BP147" i="15" s="1"/>
  <c r="BP148" i="15" s="1"/>
  <c r="BP149" i="15" s="1"/>
  <c r="BP150" i="15" s="1"/>
  <c r="BP151" i="15" s="1"/>
  <c r="BP152" i="15" s="1"/>
  <c r="BP153" i="15" s="1"/>
  <c r="AJ162" i="15" s="1"/>
  <c r="AS139" i="16"/>
  <c r="AS140" i="16" s="1"/>
  <c r="AS141" i="16" s="1"/>
  <c r="AS142" i="16" s="1"/>
  <c r="AS143" i="16" s="1"/>
  <c r="AS144" i="16" s="1"/>
  <c r="AS145" i="16" s="1"/>
  <c r="AS146" i="16" s="1"/>
  <c r="AS147" i="16" s="1"/>
  <c r="AS148" i="16" s="1"/>
  <c r="AS149" i="16" s="1"/>
  <c r="AS150" i="16" s="1"/>
  <c r="AS151" i="16" s="1"/>
  <c r="AS152" i="16" s="1"/>
  <c r="AS153" i="16" s="1"/>
  <c r="U139" i="16"/>
  <c r="U140" i="16" s="1"/>
  <c r="U141" i="16" s="1"/>
  <c r="U142" i="16" s="1"/>
  <c r="U143" i="16" s="1"/>
  <c r="U144" i="16" s="1"/>
  <c r="U145" i="16" s="1"/>
  <c r="U146" i="16" s="1"/>
  <c r="U147" i="16" s="1"/>
  <c r="U148" i="16" s="1"/>
  <c r="U149" i="16" s="1"/>
  <c r="U150" i="16" s="1"/>
  <c r="U151" i="16" s="1"/>
  <c r="U152" i="16" s="1"/>
  <c r="U153" i="16" s="1"/>
  <c r="BP139" i="16"/>
  <c r="BP140" i="16" s="1"/>
  <c r="BP141" i="16" s="1"/>
  <c r="BP142" i="16" s="1"/>
  <c r="BP143" i="16" s="1"/>
  <c r="BP144" i="16" s="1"/>
  <c r="BP145" i="16" s="1"/>
  <c r="BP146" i="16" s="1"/>
  <c r="BP147" i="16" s="1"/>
  <c r="BP148" i="16" s="1"/>
  <c r="BP149" i="16" s="1"/>
  <c r="BP150" i="16" s="1"/>
  <c r="BP151" i="16" s="1"/>
  <c r="BP152" i="16" s="1"/>
  <c r="BP153" i="16" s="1"/>
  <c r="AI162" i="16" s="1"/>
  <c r="CN139" i="13"/>
  <c r="CN140" i="13" s="1"/>
  <c r="CN141" i="13" s="1"/>
  <c r="CN142" i="13" s="1"/>
  <c r="CN143" i="13" s="1"/>
  <c r="CN144" i="13" s="1"/>
  <c r="CN145" i="13" s="1"/>
  <c r="CN146" i="13" s="1"/>
  <c r="CN147" i="13" s="1"/>
  <c r="CN148" i="13" s="1"/>
  <c r="CN149" i="13" s="1"/>
  <c r="CN150" i="13" s="1"/>
  <c r="CN151" i="13" s="1"/>
  <c r="CN152" i="13" s="1"/>
  <c r="CN153" i="13" s="1"/>
  <c r="AK162" i="13" s="1"/>
  <c r="AR139" i="16"/>
  <c r="AR140" i="16" s="1"/>
  <c r="AR141" i="16" s="1"/>
  <c r="AR142" i="16" s="1"/>
  <c r="AR143" i="16" s="1"/>
  <c r="AR144" i="16" s="1"/>
  <c r="AR145" i="16" s="1"/>
  <c r="AR146" i="16" s="1"/>
  <c r="AR147" i="16" s="1"/>
  <c r="AR148" i="16" s="1"/>
  <c r="AR149" i="16" s="1"/>
  <c r="AR150" i="16" s="1"/>
  <c r="AR151" i="16" s="1"/>
  <c r="AR152" i="16" s="1"/>
  <c r="AR153" i="16" s="1"/>
  <c r="AH162" i="16" s="1"/>
  <c r="T139" i="16"/>
  <c r="T140" i="16" s="1"/>
  <c r="T141" i="16" s="1"/>
  <c r="T142" i="16" s="1"/>
  <c r="T143" i="16" s="1"/>
  <c r="T144" i="16" s="1"/>
  <c r="T145" i="16" s="1"/>
  <c r="T146" i="16" s="1"/>
  <c r="T147" i="16" s="1"/>
  <c r="T148" i="16" s="1"/>
  <c r="T149" i="16" s="1"/>
  <c r="T150" i="16" s="1"/>
  <c r="T151" i="16" s="1"/>
  <c r="T152" i="16" s="1"/>
  <c r="T153" i="16" s="1"/>
  <c r="AG162" i="16" s="1"/>
  <c r="U139" i="14"/>
  <c r="U140" i="14" s="1"/>
  <c r="U141" i="14" s="1"/>
  <c r="U142" i="14" s="1"/>
  <c r="U143" i="14" s="1"/>
  <c r="U144" i="14" s="1"/>
  <c r="U145" i="14" s="1"/>
  <c r="U146" i="14" s="1"/>
  <c r="U147" i="14" s="1"/>
  <c r="U148" i="14" s="1"/>
  <c r="U149" i="14" s="1"/>
  <c r="U150" i="14" s="1"/>
  <c r="U151" i="14" s="1"/>
  <c r="U152" i="14" s="1"/>
  <c r="U153" i="14" s="1"/>
  <c r="CP139" i="13"/>
  <c r="CP140" i="13" s="1"/>
  <c r="CP141" i="13" s="1"/>
  <c r="CP142" i="13" s="1"/>
  <c r="CP143" i="13" s="1"/>
  <c r="CP144" i="13" s="1"/>
  <c r="CP145" i="13" s="1"/>
  <c r="CP146" i="13" s="1"/>
  <c r="CP147" i="13" s="1"/>
  <c r="CP148" i="13" s="1"/>
  <c r="CP149" i="13" s="1"/>
  <c r="CP150" i="13" s="1"/>
  <c r="CP151" i="13" s="1"/>
  <c r="CP152" i="13" s="1"/>
  <c r="CP153" i="13" s="1"/>
  <c r="DL139" i="13"/>
  <c r="DL140" i="13" s="1"/>
  <c r="DL141" i="13" s="1"/>
  <c r="DL142" i="13" s="1"/>
  <c r="DL143" i="13" s="1"/>
  <c r="DL144" i="13" s="1"/>
  <c r="DL145" i="13" s="1"/>
  <c r="DL146" i="13" s="1"/>
  <c r="DL147" i="13" s="1"/>
  <c r="DL148" i="13" s="1"/>
  <c r="DL149" i="13" s="1"/>
  <c r="DL150" i="13" s="1"/>
  <c r="DL151" i="13" s="1"/>
  <c r="DL152" i="13" s="1"/>
  <c r="DL153" i="13" s="1"/>
  <c r="AL162" i="13" s="1"/>
  <c r="CN139" i="16"/>
  <c r="CN140" i="16" s="1"/>
  <c r="CN141" i="16" s="1"/>
  <c r="CN142" i="16" s="1"/>
  <c r="CN143" i="16" s="1"/>
  <c r="CN144" i="16" s="1"/>
  <c r="CN145" i="16" s="1"/>
  <c r="CN146" i="16" s="1"/>
  <c r="CN147" i="16" s="1"/>
  <c r="CN148" i="16" s="1"/>
  <c r="CN149" i="16" s="1"/>
  <c r="CN150" i="16" s="1"/>
  <c r="CN151" i="16" s="1"/>
  <c r="CN152" i="16" s="1"/>
  <c r="CN153" i="16" s="1"/>
  <c r="AJ162" i="16" s="1"/>
  <c r="DM139" i="15"/>
  <c r="DM140" i="15" s="1"/>
  <c r="DM141" i="15" s="1"/>
  <c r="DM142" i="15" s="1"/>
  <c r="DM143" i="15" s="1"/>
  <c r="DM144" i="15" s="1"/>
  <c r="DM145" i="15" s="1"/>
  <c r="DM146" i="15" s="1"/>
  <c r="DM147" i="15" s="1"/>
  <c r="DM148" i="15" s="1"/>
  <c r="DM149" i="15" s="1"/>
  <c r="DM150" i="15" s="1"/>
  <c r="DM151" i="15" s="1"/>
  <c r="DM152" i="15" s="1"/>
  <c r="DM153" i="15" s="1"/>
  <c r="T139" i="13"/>
  <c r="T140" i="13" s="1"/>
  <c r="T141" i="13" s="1"/>
  <c r="T142" i="13" s="1"/>
  <c r="T143" i="13" s="1"/>
  <c r="T144" i="13" s="1"/>
  <c r="T145" i="13" s="1"/>
  <c r="T146" i="13" s="1"/>
  <c r="T147" i="13" s="1"/>
  <c r="T148" i="13" s="1"/>
  <c r="T149" i="13" s="1"/>
  <c r="T150" i="13" s="1"/>
  <c r="T151" i="13" s="1"/>
  <c r="T152" i="13" s="1"/>
  <c r="T153" i="13" s="1"/>
  <c r="AH162" i="13" s="1"/>
  <c r="BR139" i="14"/>
  <c r="BR140" i="14" s="1"/>
  <c r="BR141" i="14" s="1"/>
  <c r="BR142" i="14" s="1"/>
  <c r="BR143" i="14" s="1"/>
  <c r="BR144" i="14" s="1"/>
  <c r="BR145" i="14" s="1"/>
  <c r="BR146" i="14" s="1"/>
  <c r="BR147" i="14" s="1"/>
  <c r="BR148" i="14" s="1"/>
  <c r="BR149" i="14" s="1"/>
  <c r="BR150" i="14" s="1"/>
  <c r="BR151" i="14" s="1"/>
  <c r="BR152" i="14" s="1"/>
  <c r="BR153" i="14" s="1"/>
  <c r="AR139" i="15"/>
  <c r="AR140" i="15" s="1"/>
  <c r="AR141" i="15" s="1"/>
  <c r="AR142" i="15" s="1"/>
  <c r="AR143" i="15" s="1"/>
  <c r="AR144" i="15" s="1"/>
  <c r="AR145" i="15" s="1"/>
  <c r="AR146" i="15" s="1"/>
  <c r="AR147" i="15" s="1"/>
  <c r="AR148" i="15" s="1"/>
  <c r="AR149" i="15" s="1"/>
  <c r="AR150" i="15" s="1"/>
  <c r="AR151" i="15" s="1"/>
  <c r="AR152" i="15" s="1"/>
  <c r="AR153" i="15" s="1"/>
  <c r="AI162" i="15" s="1"/>
  <c r="CN139" i="15"/>
  <c r="CN140" i="15" s="1"/>
  <c r="CN141" i="15" s="1"/>
  <c r="CN142" i="15" s="1"/>
  <c r="CN143" i="15" s="1"/>
  <c r="CN144" i="15" s="1"/>
  <c r="CN145" i="15" s="1"/>
  <c r="CN146" i="15" s="1"/>
  <c r="CN147" i="15" s="1"/>
  <c r="CN148" i="15" s="1"/>
  <c r="CN149" i="15" s="1"/>
  <c r="CN150" i="15" s="1"/>
  <c r="CN151" i="15" s="1"/>
  <c r="CN152" i="15" s="1"/>
  <c r="CN153" i="15" s="1"/>
  <c r="AK162" i="15" s="1"/>
  <c r="T139" i="14"/>
  <c r="T140" i="14" s="1"/>
  <c r="T141" i="14" s="1"/>
  <c r="T142" i="14" s="1"/>
  <c r="T143" i="14" s="1"/>
  <c r="T144" i="14" s="1"/>
  <c r="T145" i="14" s="1"/>
  <c r="T146" i="14" s="1"/>
  <c r="T147" i="14" s="1"/>
  <c r="T148" i="14" s="1"/>
  <c r="T149" i="14" s="1"/>
  <c r="T150" i="14" s="1"/>
  <c r="T151" i="14" s="1"/>
  <c r="T152" i="14" s="1"/>
  <c r="T153" i="14" s="1"/>
  <c r="AH162" i="14" s="1"/>
  <c r="BQ139" i="16"/>
  <c r="BQ140" i="16" s="1"/>
  <c r="BQ141" i="16" s="1"/>
  <c r="BQ142" i="16" s="1"/>
  <c r="BQ143" i="16" s="1"/>
  <c r="BQ144" i="16" s="1"/>
  <c r="BQ145" i="16" s="1"/>
  <c r="BQ146" i="16" s="1"/>
  <c r="BQ147" i="16" s="1"/>
  <c r="BQ148" i="16" s="1"/>
  <c r="BQ149" i="16" s="1"/>
  <c r="BQ150" i="16" s="1"/>
  <c r="BQ151" i="16" s="1"/>
  <c r="BQ152" i="16" s="1"/>
  <c r="BQ153" i="16" s="1"/>
  <c r="DK76" i="15"/>
  <c r="CK76" i="16"/>
  <c r="CM76" i="16" s="1"/>
  <c r="K71" i="14"/>
  <c r="M71" i="14" s="1"/>
  <c r="R71" i="14" s="1"/>
  <c r="CK71" i="15"/>
  <c r="AK71" i="16"/>
  <c r="AM71" i="16" s="1"/>
  <c r="CK63" i="14"/>
  <c r="CM63" i="14" s="1"/>
  <c r="CR63" i="14" s="1"/>
  <c r="K63" i="16"/>
  <c r="M63" i="16" s="1"/>
  <c r="R63" i="16" s="1"/>
  <c r="AK63" i="15"/>
  <c r="CK63" i="13"/>
  <c r="CM63" i="13" s="1"/>
  <c r="BK63" i="16"/>
  <c r="BM63" i="16" s="1"/>
  <c r="BR63" i="16" s="1"/>
  <c r="I143" i="9"/>
  <c r="K63" i="13"/>
  <c r="M63" i="13" s="1"/>
  <c r="R63" i="13" s="1"/>
  <c r="DK63" i="13"/>
  <c r="DM63" i="13" s="1"/>
  <c r="DR63" i="13" s="1"/>
  <c r="CK63" i="16"/>
  <c r="CM63" i="16" s="1"/>
  <c r="CR63" i="16" s="1"/>
  <c r="K63" i="15"/>
  <c r="M63" i="15" s="1"/>
  <c r="DK63" i="14"/>
  <c r="DM63" i="14" s="1"/>
  <c r="DR63" i="14" s="1"/>
  <c r="AK76" i="15"/>
  <c r="DK76" i="13"/>
  <c r="DM76" i="13" s="1"/>
  <c r="DR76" i="13" s="1"/>
  <c r="CK76" i="14"/>
  <c r="CM76" i="14" s="1"/>
  <c r="K76" i="14"/>
  <c r="M76" i="14" s="1"/>
  <c r="AK76" i="14"/>
  <c r="AM76" i="14" s="1"/>
  <c r="AR76" i="14" s="1"/>
  <c r="I156" i="9"/>
  <c r="CK76" i="15"/>
  <c r="K76" i="15"/>
  <c r="M76" i="15" s="1"/>
  <c r="BK76" i="13"/>
  <c r="BM76" i="13" s="1"/>
  <c r="BR76" i="13" s="1"/>
  <c r="BK76" i="14"/>
  <c r="BM76" i="14" s="1"/>
  <c r="AK76" i="16"/>
  <c r="AM76" i="16" s="1"/>
  <c r="CK63" i="15"/>
  <c r="AK63" i="13"/>
  <c r="AM63" i="13" s="1"/>
  <c r="AR63" i="13" s="1"/>
  <c r="AK63" i="14"/>
  <c r="AM63" i="14" s="1"/>
  <c r="AR63" i="14" s="1"/>
  <c r="BK63" i="15"/>
  <c r="DK63" i="16"/>
  <c r="DM63" i="16" s="1"/>
  <c r="DR63" i="16" s="1"/>
  <c r="AK76" i="13"/>
  <c r="AM76" i="13" s="1"/>
  <c r="AR76" i="13" s="1"/>
  <c r="BK76" i="15"/>
  <c r="DK76" i="16"/>
  <c r="DM76" i="16" s="1"/>
  <c r="DR76" i="16" s="1"/>
  <c r="K76" i="13"/>
  <c r="M76" i="13" s="1"/>
  <c r="K76" i="16"/>
  <c r="M76" i="16" s="1"/>
  <c r="CK76" i="13"/>
  <c r="CM76" i="13" s="1"/>
  <c r="CR76" i="13" s="1"/>
  <c r="DK76" i="14"/>
  <c r="DM76" i="14" s="1"/>
  <c r="DK63" i="15"/>
  <c r="K63" i="14"/>
  <c r="M63" i="14" s="1"/>
  <c r="R63" i="14" s="1"/>
  <c r="BK63" i="13"/>
  <c r="BM63" i="13" s="1"/>
  <c r="BR63" i="13" s="1"/>
  <c r="BK63" i="14"/>
  <c r="BM63" i="14" s="1"/>
  <c r="BR63" i="14" s="1"/>
  <c r="K78" i="14"/>
  <c r="M78" i="14" s="1"/>
  <c r="DK71" i="13"/>
  <c r="DM71" i="13" s="1"/>
  <c r="DR71" i="13" s="1"/>
  <c r="DK73" i="16"/>
  <c r="DM73" i="16" s="1"/>
  <c r="CK71" i="14"/>
  <c r="CM71" i="14" s="1"/>
  <c r="CR71" i="14" s="1"/>
  <c r="CK78" i="13"/>
  <c r="CM78" i="13" s="1"/>
  <c r="CR78" i="13" s="1"/>
  <c r="K71" i="15"/>
  <c r="M71" i="15" s="1"/>
  <c r="R71" i="15" s="1"/>
  <c r="BK71" i="15"/>
  <c r="K71" i="13"/>
  <c r="M71" i="13" s="1"/>
  <c r="AK71" i="15"/>
  <c r="CK71" i="13"/>
  <c r="CM71" i="13" s="1"/>
  <c r="CR71" i="13" s="1"/>
  <c r="DK71" i="14"/>
  <c r="DM71" i="14" s="1"/>
  <c r="DK71" i="16"/>
  <c r="DM71" i="16" s="1"/>
  <c r="AK73" i="14"/>
  <c r="AM73" i="14" s="1"/>
  <c r="AR73" i="14" s="1"/>
  <c r="CK73" i="16"/>
  <c r="CM73" i="16" s="1"/>
  <c r="CR73" i="16" s="1"/>
  <c r="AK71" i="13"/>
  <c r="AM71" i="13" s="1"/>
  <c r="AR71" i="13" s="1"/>
  <c r="AK71" i="14"/>
  <c r="AM71" i="14" s="1"/>
  <c r="AR71" i="14" s="1"/>
  <c r="BK71" i="16"/>
  <c r="BM71" i="16" s="1"/>
  <c r="BK73" i="13"/>
  <c r="BM73" i="13" s="1"/>
  <c r="BR73" i="13" s="1"/>
  <c r="I151" i="9"/>
  <c r="K71" i="16"/>
  <c r="M71" i="16" s="1"/>
  <c r="BK71" i="13"/>
  <c r="BM71" i="13" s="1"/>
  <c r="BK71" i="14"/>
  <c r="BM71" i="14" s="1"/>
  <c r="DK71" i="15"/>
  <c r="CK73" i="13"/>
  <c r="CM73" i="13" s="1"/>
  <c r="CR73" i="13" s="1"/>
  <c r="I153" i="9"/>
  <c r="K73" i="16"/>
  <c r="M73" i="16" s="1"/>
  <c r="R73" i="16" s="1"/>
  <c r="DK73" i="14"/>
  <c r="DM73" i="14" s="1"/>
  <c r="AK73" i="15"/>
  <c r="CK73" i="14"/>
  <c r="CM73" i="14" s="1"/>
  <c r="CK73" i="15"/>
  <c r="K73" i="14"/>
  <c r="M73" i="14" s="1"/>
  <c r="BK73" i="15"/>
  <c r="DK73" i="13"/>
  <c r="DM73" i="13" s="1"/>
  <c r="DR73" i="13" s="1"/>
  <c r="AK73" i="16"/>
  <c r="AM73" i="16" s="1"/>
  <c r="DK73" i="15"/>
  <c r="K73" i="15"/>
  <c r="M73" i="15" s="1"/>
  <c r="AK73" i="13"/>
  <c r="AM73" i="13" s="1"/>
  <c r="AR73" i="13" s="1"/>
  <c r="BK73" i="14"/>
  <c r="BM73" i="14" s="1"/>
  <c r="DK78" i="13"/>
  <c r="DM78" i="13" s="1"/>
  <c r="DR78" i="13" s="1"/>
  <c r="K78" i="15"/>
  <c r="M78" i="15" s="1"/>
  <c r="I158" i="9"/>
  <c r="DK78" i="14"/>
  <c r="DM78" i="14" s="1"/>
  <c r="DR78" i="14" s="1"/>
  <c r="BK78" i="15"/>
  <c r="CK78" i="15"/>
  <c r="CK78" i="14"/>
  <c r="CM78" i="14" s="1"/>
  <c r="CR78" i="14" s="1"/>
  <c r="AK78" i="16"/>
  <c r="AM78" i="16" s="1"/>
  <c r="AK78" i="13"/>
  <c r="AM78" i="13" s="1"/>
  <c r="AR78" i="13" s="1"/>
  <c r="AK78" i="14"/>
  <c r="AM78" i="14" s="1"/>
  <c r="DK78" i="15"/>
  <c r="K78" i="16"/>
  <c r="M78" i="16" s="1"/>
  <c r="BK78" i="16"/>
  <c r="BM78" i="16" s="1"/>
  <c r="BK78" i="13"/>
  <c r="BM78" i="13" s="1"/>
  <c r="BR78" i="13" s="1"/>
  <c r="BK78" i="14"/>
  <c r="BM78" i="14" s="1"/>
  <c r="K78" i="13"/>
  <c r="M78" i="13" s="1"/>
  <c r="R78" i="13" s="1"/>
  <c r="AK78" i="15"/>
  <c r="N10" i="17"/>
  <c r="N11" i="17" s="1"/>
  <c r="N12" i="17" s="1"/>
  <c r="N13" i="17" s="1"/>
  <c r="N14" i="17" s="1"/>
  <c r="N15" i="17" s="1"/>
  <c r="N16" i="17" s="1"/>
  <c r="N17" i="17" s="1"/>
  <c r="N18" i="17" s="1"/>
  <c r="N19" i="17" s="1"/>
  <c r="N20" i="17" s="1"/>
  <c r="N21" i="17" s="1"/>
  <c r="N22" i="17" s="1"/>
  <c r="C29" i="17" s="1"/>
  <c r="J155" i="9"/>
  <c r="O155" i="9" s="1"/>
  <c r="J154" i="9"/>
  <c r="O154" i="9" s="1"/>
  <c r="O8" i="17"/>
  <c r="O9" i="17" s="1"/>
  <c r="O10" i="17" s="1"/>
  <c r="O11" i="17" s="1"/>
  <c r="O12" i="17" s="1"/>
  <c r="O13" i="17" s="1"/>
  <c r="O14" i="17" s="1"/>
  <c r="O15" i="17" s="1"/>
  <c r="O16" i="17" s="1"/>
  <c r="O17" i="17" s="1"/>
  <c r="O18" i="17" s="1"/>
  <c r="O19" i="17" s="1"/>
  <c r="O20" i="17" s="1"/>
  <c r="O21" i="17" s="1"/>
  <c r="O22" i="17" s="1"/>
  <c r="C30" i="17" s="1"/>
  <c r="CN78" i="16"/>
  <c r="CS78" i="16" s="1"/>
  <c r="CO78" i="16"/>
  <c r="CT78" i="16" s="1"/>
  <c r="N65" i="14"/>
  <c r="S65" i="14" s="1"/>
  <c r="O65" i="14"/>
  <c r="T65" i="14" s="1"/>
  <c r="AN65" i="13"/>
  <c r="AS65" i="13" s="1"/>
  <c r="AO65" i="13"/>
  <c r="AT65" i="13" s="1"/>
  <c r="AN65" i="14"/>
  <c r="AS65" i="14" s="1"/>
  <c r="AO65" i="14"/>
  <c r="AT65" i="14" s="1"/>
  <c r="BN65" i="16"/>
  <c r="BS65" i="16" s="1"/>
  <c r="BO65" i="16"/>
  <c r="BT65" i="16" s="1"/>
  <c r="N65" i="15"/>
  <c r="S65" i="15" s="1"/>
  <c r="O65" i="15"/>
  <c r="T65" i="15" s="1"/>
  <c r="N65" i="13"/>
  <c r="S65" i="13" s="1"/>
  <c r="O65" i="13"/>
  <c r="T65" i="13" s="1"/>
  <c r="BN65" i="13"/>
  <c r="BS65" i="13" s="1"/>
  <c r="BO65" i="13"/>
  <c r="BT65" i="13" s="1"/>
  <c r="BN65" i="14"/>
  <c r="BS65" i="14" s="1"/>
  <c r="BO65" i="14"/>
  <c r="BT65" i="14" s="1"/>
  <c r="DN65" i="16"/>
  <c r="DS65" i="16" s="1"/>
  <c r="DO65" i="16"/>
  <c r="DT65" i="16" s="1"/>
  <c r="K145" i="9"/>
  <c r="P145" i="9" s="1"/>
  <c r="DM65" i="15"/>
  <c r="DR65" i="15" s="1"/>
  <c r="BM65" i="15"/>
  <c r="BR65" i="15" s="1"/>
  <c r="CM65" i="15"/>
  <c r="CR65" i="15" s="1"/>
  <c r="AM65" i="15"/>
  <c r="AR65" i="15" s="1"/>
  <c r="N65" i="16"/>
  <c r="S65" i="16" s="1"/>
  <c r="O65" i="16"/>
  <c r="T65" i="16" s="1"/>
  <c r="CN65" i="13"/>
  <c r="CS65" i="13" s="1"/>
  <c r="CO65" i="13"/>
  <c r="CT65" i="13" s="1"/>
  <c r="DN65" i="14"/>
  <c r="DS65" i="14" s="1"/>
  <c r="DO65" i="14"/>
  <c r="DT65" i="14" s="1"/>
  <c r="AN65" i="16"/>
  <c r="AS65" i="16" s="1"/>
  <c r="AO65" i="16"/>
  <c r="AT65" i="16" s="1"/>
  <c r="DN65" i="13"/>
  <c r="DS65" i="13" s="1"/>
  <c r="DO65" i="13"/>
  <c r="DT65" i="13" s="1"/>
  <c r="CN65" i="14"/>
  <c r="CS65" i="14" s="1"/>
  <c r="CO65" i="14"/>
  <c r="CT65" i="14" s="1"/>
  <c r="CN65" i="16"/>
  <c r="CS65" i="16" s="1"/>
  <c r="CO65" i="16"/>
  <c r="CT65" i="16" s="1"/>
  <c r="AN63" i="16"/>
  <c r="AS63" i="16" s="1"/>
  <c r="AO63" i="16"/>
  <c r="AT63" i="16" s="1"/>
  <c r="BN77" i="13"/>
  <c r="BS77" i="13" s="1"/>
  <c r="BO77" i="13"/>
  <c r="BT77" i="13" s="1"/>
  <c r="N77" i="15"/>
  <c r="S77" i="15" s="1"/>
  <c r="O77" i="15"/>
  <c r="T77" i="15" s="1"/>
  <c r="CN77" i="13"/>
  <c r="CS77" i="13" s="1"/>
  <c r="CO77" i="13"/>
  <c r="CT77" i="13" s="1"/>
  <c r="DN77" i="14"/>
  <c r="DS77" i="14" s="1"/>
  <c r="DO77" i="14"/>
  <c r="DT77" i="14" s="1"/>
  <c r="BN77" i="16"/>
  <c r="BS77" i="16" s="1"/>
  <c r="BO77" i="16"/>
  <c r="BT77" i="16" s="1"/>
  <c r="N77" i="14"/>
  <c r="S77" i="14" s="1"/>
  <c r="O77" i="14"/>
  <c r="T77" i="14" s="1"/>
  <c r="AN77" i="16"/>
  <c r="AS77" i="16" s="1"/>
  <c r="AO77" i="16"/>
  <c r="AT77" i="16" s="1"/>
  <c r="N77" i="16"/>
  <c r="S77" i="16" s="1"/>
  <c r="O77" i="16"/>
  <c r="T77" i="16" s="1"/>
  <c r="DN77" i="13"/>
  <c r="DS77" i="13" s="1"/>
  <c r="DO77" i="13"/>
  <c r="DT77" i="13" s="1"/>
  <c r="CN77" i="14"/>
  <c r="CS77" i="14" s="1"/>
  <c r="CO77" i="14"/>
  <c r="CT77" i="14" s="1"/>
  <c r="CN77" i="16"/>
  <c r="CS77" i="16" s="1"/>
  <c r="CO77" i="16"/>
  <c r="CT77" i="16" s="1"/>
  <c r="BN77" i="14"/>
  <c r="BS77" i="14" s="1"/>
  <c r="BO77" i="14"/>
  <c r="BT77" i="14" s="1"/>
  <c r="J157" i="9"/>
  <c r="O157" i="9" s="1"/>
  <c r="DM77" i="15"/>
  <c r="DR77" i="15" s="1"/>
  <c r="CM77" i="15"/>
  <c r="CR77" i="15" s="1"/>
  <c r="BM77" i="15"/>
  <c r="BR77" i="15" s="1"/>
  <c r="AM77" i="15"/>
  <c r="AR77" i="15" s="1"/>
  <c r="AN77" i="13"/>
  <c r="AS77" i="13" s="1"/>
  <c r="AO77" i="13"/>
  <c r="AT77" i="13" s="1"/>
  <c r="AN77" i="14"/>
  <c r="AS77" i="14" s="1"/>
  <c r="AO77" i="14"/>
  <c r="AT77" i="14" s="1"/>
  <c r="N77" i="13"/>
  <c r="S77" i="13" s="1"/>
  <c r="O77" i="13"/>
  <c r="T77" i="13" s="1"/>
  <c r="DN77" i="16"/>
  <c r="DS77" i="16" s="1"/>
  <c r="DO77" i="16"/>
  <c r="DT77" i="16" s="1"/>
  <c r="BN76" i="16"/>
  <c r="BS76" i="16" s="1"/>
  <c r="BO76" i="16"/>
  <c r="BT76" i="16" s="1"/>
  <c r="CN76" i="14"/>
  <c r="CS76" i="14" s="1"/>
  <c r="N75" i="14"/>
  <c r="S75" i="14" s="1"/>
  <c r="O75" i="14"/>
  <c r="T75" i="14" s="1"/>
  <c r="AN75" i="13"/>
  <c r="AS75" i="13" s="1"/>
  <c r="AO75" i="13"/>
  <c r="AT75" i="13" s="1"/>
  <c r="AN75" i="14"/>
  <c r="AS75" i="14" s="1"/>
  <c r="AO75" i="14"/>
  <c r="AT75" i="14" s="1"/>
  <c r="N75" i="13"/>
  <c r="S75" i="13" s="1"/>
  <c r="O75" i="13"/>
  <c r="T75" i="13" s="1"/>
  <c r="AN75" i="16"/>
  <c r="AS75" i="16" s="1"/>
  <c r="AO75" i="16"/>
  <c r="AT75" i="16" s="1"/>
  <c r="K155" i="9"/>
  <c r="P155" i="9" s="1"/>
  <c r="CM75" i="15"/>
  <c r="CR75" i="15" s="1"/>
  <c r="DM75" i="15"/>
  <c r="DR75" i="15" s="1"/>
  <c r="BM75" i="15"/>
  <c r="BR75" i="15" s="1"/>
  <c r="AM75" i="15"/>
  <c r="AR75" i="15" s="1"/>
  <c r="N75" i="15"/>
  <c r="S75" i="15" s="1"/>
  <c r="O75" i="15"/>
  <c r="T75" i="15" s="1"/>
  <c r="BN75" i="13"/>
  <c r="BS75" i="13" s="1"/>
  <c r="BO75" i="13"/>
  <c r="BT75" i="13" s="1"/>
  <c r="BN75" i="14"/>
  <c r="BS75" i="14" s="1"/>
  <c r="BO75" i="14"/>
  <c r="BT75" i="14" s="1"/>
  <c r="BN75" i="16"/>
  <c r="BS75" i="16" s="1"/>
  <c r="BO75" i="16"/>
  <c r="BT75" i="16" s="1"/>
  <c r="N75" i="16"/>
  <c r="S75" i="16" s="1"/>
  <c r="O75" i="16"/>
  <c r="T75" i="16" s="1"/>
  <c r="CN75" i="13"/>
  <c r="CS75" i="13" s="1"/>
  <c r="CO75" i="13"/>
  <c r="CT75" i="13" s="1"/>
  <c r="DN75" i="14"/>
  <c r="DS75" i="14" s="1"/>
  <c r="DO75" i="14"/>
  <c r="DT75" i="14" s="1"/>
  <c r="CN75" i="16"/>
  <c r="CS75" i="16" s="1"/>
  <c r="CO75" i="16"/>
  <c r="CT75" i="16" s="1"/>
  <c r="DN75" i="13"/>
  <c r="DS75" i="13" s="1"/>
  <c r="DO75" i="13"/>
  <c r="DT75" i="13" s="1"/>
  <c r="CN75" i="14"/>
  <c r="CS75" i="14" s="1"/>
  <c r="CO75" i="14"/>
  <c r="CT75" i="14" s="1"/>
  <c r="DN75" i="16"/>
  <c r="DS75" i="16" s="1"/>
  <c r="DO75" i="16"/>
  <c r="DT75" i="16" s="1"/>
  <c r="N74" i="14"/>
  <c r="S74" i="14" s="1"/>
  <c r="O74" i="14"/>
  <c r="T74" i="14" s="1"/>
  <c r="CN74" i="13"/>
  <c r="CS74" i="13" s="1"/>
  <c r="CO74" i="13"/>
  <c r="CT74" i="13" s="1"/>
  <c r="DN74" i="14"/>
  <c r="DS74" i="14" s="1"/>
  <c r="DO74" i="14"/>
  <c r="DT74" i="14" s="1"/>
  <c r="BN74" i="16"/>
  <c r="BS74" i="16" s="1"/>
  <c r="BO74" i="16"/>
  <c r="BT74" i="16" s="1"/>
  <c r="N74" i="15"/>
  <c r="S74" i="15" s="1"/>
  <c r="O74" i="15"/>
  <c r="T74" i="15" s="1"/>
  <c r="N74" i="13"/>
  <c r="S74" i="13" s="1"/>
  <c r="O74" i="13"/>
  <c r="T74" i="13" s="1"/>
  <c r="DN74" i="13"/>
  <c r="DS74" i="13" s="1"/>
  <c r="DO74" i="13"/>
  <c r="DT74" i="13" s="1"/>
  <c r="CN74" i="14"/>
  <c r="CS74" i="14" s="1"/>
  <c r="CO74" i="14"/>
  <c r="CT74" i="14" s="1"/>
  <c r="CN74" i="16"/>
  <c r="CS74" i="16" s="1"/>
  <c r="CO74" i="16"/>
  <c r="CT74" i="16" s="1"/>
  <c r="N74" i="16"/>
  <c r="S74" i="16" s="1"/>
  <c r="O74" i="16"/>
  <c r="T74" i="16" s="1"/>
  <c r="AN74" i="13"/>
  <c r="AS74" i="13" s="1"/>
  <c r="AO74" i="13"/>
  <c r="AT74" i="13" s="1"/>
  <c r="AN74" i="14"/>
  <c r="AS74" i="14" s="1"/>
  <c r="AO74" i="14"/>
  <c r="AT74" i="14" s="1"/>
  <c r="DN74" i="16"/>
  <c r="DS74" i="16" s="1"/>
  <c r="DO74" i="16"/>
  <c r="DT74" i="16" s="1"/>
  <c r="BN74" i="13"/>
  <c r="BS74" i="13" s="1"/>
  <c r="BO74" i="13"/>
  <c r="BT74" i="13" s="1"/>
  <c r="BN74" i="14"/>
  <c r="BS74" i="14" s="1"/>
  <c r="BO74" i="14"/>
  <c r="BT74" i="14" s="1"/>
  <c r="AN74" i="16"/>
  <c r="AS74" i="16" s="1"/>
  <c r="AO74" i="16"/>
  <c r="AT74" i="16" s="1"/>
  <c r="K154" i="9"/>
  <c r="P154" i="9" s="1"/>
  <c r="CM74" i="15"/>
  <c r="CR74" i="15" s="1"/>
  <c r="BM74" i="15"/>
  <c r="BR74" i="15" s="1"/>
  <c r="DM74" i="15"/>
  <c r="DR74" i="15" s="1"/>
  <c r="AM74" i="15"/>
  <c r="AR74" i="15" s="1"/>
  <c r="BN73" i="16"/>
  <c r="BS73" i="16" s="1"/>
  <c r="BO73" i="16"/>
  <c r="BT73" i="16" s="1"/>
  <c r="N72" i="15"/>
  <c r="S72" i="15" s="1"/>
  <c r="O72" i="15"/>
  <c r="T72" i="15" s="1"/>
  <c r="BN72" i="13"/>
  <c r="BS72" i="13" s="1"/>
  <c r="BO72" i="13"/>
  <c r="BT72" i="13" s="1"/>
  <c r="BN72" i="14"/>
  <c r="BS72" i="14" s="1"/>
  <c r="BO72" i="14"/>
  <c r="BT72" i="14" s="1"/>
  <c r="AN72" i="16"/>
  <c r="AS72" i="16" s="1"/>
  <c r="AO72" i="16"/>
  <c r="AT72" i="16" s="1"/>
  <c r="N72" i="13"/>
  <c r="S72" i="13" s="1"/>
  <c r="O72" i="13"/>
  <c r="T72" i="13" s="1"/>
  <c r="N72" i="16"/>
  <c r="S72" i="16" s="1"/>
  <c r="O72" i="16"/>
  <c r="T72" i="16" s="1"/>
  <c r="CN72" i="13"/>
  <c r="CS72" i="13" s="1"/>
  <c r="CO72" i="13"/>
  <c r="CT72" i="13" s="1"/>
  <c r="DN72" i="14"/>
  <c r="DS72" i="14" s="1"/>
  <c r="DO72" i="14"/>
  <c r="DT72" i="14" s="1"/>
  <c r="BN72" i="16"/>
  <c r="BS72" i="16" s="1"/>
  <c r="BO72" i="16"/>
  <c r="BT72" i="16" s="1"/>
  <c r="DN72" i="13"/>
  <c r="DS72" i="13" s="1"/>
  <c r="DO72" i="13"/>
  <c r="DT72" i="13" s="1"/>
  <c r="CN72" i="14"/>
  <c r="CS72" i="14" s="1"/>
  <c r="CO72" i="14"/>
  <c r="CT72" i="14" s="1"/>
  <c r="DN72" i="16"/>
  <c r="DS72" i="16" s="1"/>
  <c r="DO72" i="16"/>
  <c r="DT72" i="16" s="1"/>
  <c r="AM72" i="15"/>
  <c r="AR72" i="15" s="1"/>
  <c r="DM72" i="15"/>
  <c r="DR72" i="15" s="1"/>
  <c r="CM72" i="15"/>
  <c r="CR72" i="15" s="1"/>
  <c r="BM72" i="15"/>
  <c r="BR72" i="15" s="1"/>
  <c r="N72" i="14"/>
  <c r="S72" i="14" s="1"/>
  <c r="O72" i="14"/>
  <c r="T72" i="14" s="1"/>
  <c r="AN72" i="13"/>
  <c r="AS72" i="13" s="1"/>
  <c r="AO72" i="13"/>
  <c r="AT72" i="13" s="1"/>
  <c r="AN72" i="14"/>
  <c r="AS72" i="14" s="1"/>
  <c r="AO72" i="14"/>
  <c r="AT72" i="14" s="1"/>
  <c r="CN72" i="16"/>
  <c r="CS72" i="16" s="1"/>
  <c r="CO72" i="16"/>
  <c r="CT72" i="16" s="1"/>
  <c r="CN71" i="16"/>
  <c r="CS71" i="16" s="1"/>
  <c r="CO71" i="16"/>
  <c r="CT71" i="16" s="1"/>
  <c r="N70" i="14"/>
  <c r="S70" i="14" s="1"/>
  <c r="O70" i="14"/>
  <c r="T70" i="14" s="1"/>
  <c r="CN70" i="13"/>
  <c r="CS70" i="13" s="1"/>
  <c r="CO70" i="13"/>
  <c r="CT70" i="13" s="1"/>
  <c r="DN70" i="14"/>
  <c r="DS70" i="14" s="1"/>
  <c r="DO70" i="14"/>
  <c r="DT70" i="14" s="1"/>
  <c r="BN70" i="16"/>
  <c r="BS70" i="16" s="1"/>
  <c r="BO70" i="16"/>
  <c r="BT70" i="16" s="1"/>
  <c r="DN70" i="15"/>
  <c r="DS70" i="15" s="1"/>
  <c r="DO70" i="15"/>
  <c r="DT70" i="15" s="1"/>
  <c r="N70" i="15"/>
  <c r="S70" i="15" s="1"/>
  <c r="O70" i="15"/>
  <c r="T70" i="15" s="1"/>
  <c r="N70" i="13"/>
  <c r="S70" i="13" s="1"/>
  <c r="O70" i="13"/>
  <c r="T70" i="13" s="1"/>
  <c r="DN70" i="13"/>
  <c r="DS70" i="13" s="1"/>
  <c r="DO70" i="13"/>
  <c r="DT70" i="13" s="1"/>
  <c r="CN70" i="14"/>
  <c r="CS70" i="14" s="1"/>
  <c r="CO70" i="14"/>
  <c r="CT70" i="14" s="1"/>
  <c r="DN70" i="16"/>
  <c r="DS70" i="16" s="1"/>
  <c r="DO70" i="16"/>
  <c r="DT70" i="16" s="1"/>
  <c r="BN70" i="15"/>
  <c r="BS70" i="15" s="1"/>
  <c r="BO70" i="15"/>
  <c r="BT70" i="15" s="1"/>
  <c r="N70" i="16"/>
  <c r="S70" i="16" s="1"/>
  <c r="O70" i="16"/>
  <c r="T70" i="16" s="1"/>
  <c r="AN70" i="13"/>
  <c r="AS70" i="13" s="1"/>
  <c r="AO70" i="13"/>
  <c r="AT70" i="13" s="1"/>
  <c r="AN70" i="14"/>
  <c r="AS70" i="14" s="1"/>
  <c r="AO70" i="14"/>
  <c r="AT70" i="14" s="1"/>
  <c r="CN70" i="16"/>
  <c r="CS70" i="16" s="1"/>
  <c r="CO70" i="16"/>
  <c r="CT70" i="16" s="1"/>
  <c r="CN70" i="15"/>
  <c r="CS70" i="15" s="1"/>
  <c r="CO70" i="15"/>
  <c r="CT70" i="15" s="1"/>
  <c r="BN70" i="13"/>
  <c r="BS70" i="13" s="1"/>
  <c r="BO70" i="13"/>
  <c r="BT70" i="13" s="1"/>
  <c r="BN70" i="14"/>
  <c r="BS70" i="14" s="1"/>
  <c r="BO70" i="14"/>
  <c r="BT70" i="14" s="1"/>
  <c r="AN70" i="16"/>
  <c r="AS70" i="16" s="1"/>
  <c r="AO70" i="16"/>
  <c r="AT70" i="16" s="1"/>
  <c r="AN70" i="15"/>
  <c r="AS70" i="15" s="1"/>
  <c r="AO70" i="15"/>
  <c r="AT70" i="15" s="1"/>
  <c r="DN69" i="13"/>
  <c r="DS69" i="13" s="1"/>
  <c r="DO69" i="13"/>
  <c r="DT69" i="13" s="1"/>
  <c r="CN69" i="14"/>
  <c r="CS69" i="14" s="1"/>
  <c r="CO69" i="14"/>
  <c r="CT69" i="14" s="1"/>
  <c r="AN69" i="16"/>
  <c r="AS69" i="16" s="1"/>
  <c r="AO69" i="16"/>
  <c r="AT69" i="16" s="1"/>
  <c r="CN69" i="13"/>
  <c r="CS69" i="13" s="1"/>
  <c r="CO69" i="13"/>
  <c r="CT69" i="13" s="1"/>
  <c r="DN69" i="14"/>
  <c r="DS69" i="14" s="1"/>
  <c r="DO69" i="14"/>
  <c r="DT69" i="14" s="1"/>
  <c r="CN69" i="16"/>
  <c r="CS69" i="16" s="1"/>
  <c r="CO69" i="16"/>
  <c r="CT69" i="16" s="1"/>
  <c r="AN69" i="13"/>
  <c r="AS69" i="13" s="1"/>
  <c r="AO69" i="13"/>
  <c r="AT69" i="13" s="1"/>
  <c r="AN69" i="14"/>
  <c r="AS69" i="14" s="1"/>
  <c r="AO69" i="14"/>
  <c r="AT69" i="14" s="1"/>
  <c r="N69" i="15"/>
  <c r="S69" i="15" s="1"/>
  <c r="O69" i="15"/>
  <c r="T69" i="15" s="1"/>
  <c r="N69" i="13"/>
  <c r="S69" i="13" s="1"/>
  <c r="O69" i="13"/>
  <c r="T69" i="13" s="1"/>
  <c r="DN69" i="16"/>
  <c r="DS69" i="16" s="1"/>
  <c r="DO69" i="16"/>
  <c r="DT69" i="16" s="1"/>
  <c r="J149" i="9"/>
  <c r="O149" i="9" s="1"/>
  <c r="DM69" i="15"/>
  <c r="DR69" i="15" s="1"/>
  <c r="CM69" i="15"/>
  <c r="CR69" i="15" s="1"/>
  <c r="BM69" i="15"/>
  <c r="BR69" i="15" s="1"/>
  <c r="AM69" i="15"/>
  <c r="AR69" i="15" s="1"/>
  <c r="BN69" i="13"/>
  <c r="BS69" i="13" s="1"/>
  <c r="BO69" i="13"/>
  <c r="BT69" i="13" s="1"/>
  <c r="BN69" i="14"/>
  <c r="BS69" i="14" s="1"/>
  <c r="BO69" i="14"/>
  <c r="BT69" i="14" s="1"/>
  <c r="N69" i="14"/>
  <c r="S69" i="14" s="1"/>
  <c r="O69" i="14"/>
  <c r="T69" i="14" s="1"/>
  <c r="BN69" i="16"/>
  <c r="BS69" i="16" s="1"/>
  <c r="BO69" i="16"/>
  <c r="BT69" i="16" s="1"/>
  <c r="N69" i="16"/>
  <c r="S69" i="16" s="1"/>
  <c r="O69" i="16"/>
  <c r="T69" i="16" s="1"/>
  <c r="N68" i="14"/>
  <c r="S68" i="14" s="1"/>
  <c r="O68" i="14"/>
  <c r="T68" i="14" s="1"/>
  <c r="DN68" i="13"/>
  <c r="DS68" i="13" s="1"/>
  <c r="DO68" i="13"/>
  <c r="DT68" i="13" s="1"/>
  <c r="CN68" i="14"/>
  <c r="CS68" i="14" s="1"/>
  <c r="CO68" i="14"/>
  <c r="CT68" i="14" s="1"/>
  <c r="CN68" i="16"/>
  <c r="CS68" i="16" s="1"/>
  <c r="CO68" i="16"/>
  <c r="CT68" i="16" s="1"/>
  <c r="N68" i="15"/>
  <c r="S68" i="15" s="1"/>
  <c r="O68" i="15"/>
  <c r="T68" i="15" s="1"/>
  <c r="AN68" i="13"/>
  <c r="AS68" i="13" s="1"/>
  <c r="AO68" i="13"/>
  <c r="AT68" i="13" s="1"/>
  <c r="AN68" i="14"/>
  <c r="AS68" i="14" s="1"/>
  <c r="AO68" i="14"/>
  <c r="AT68" i="14" s="1"/>
  <c r="DN68" i="16"/>
  <c r="DS68" i="16" s="1"/>
  <c r="DO68" i="16"/>
  <c r="DT68" i="16" s="1"/>
  <c r="N68" i="13"/>
  <c r="S68" i="13" s="1"/>
  <c r="O68" i="13"/>
  <c r="T68" i="13" s="1"/>
  <c r="N68" i="16"/>
  <c r="S68" i="16" s="1"/>
  <c r="O68" i="16"/>
  <c r="T68" i="16" s="1"/>
  <c r="BN68" i="13"/>
  <c r="BS68" i="13" s="1"/>
  <c r="BO68" i="13"/>
  <c r="BT68" i="13" s="1"/>
  <c r="BN68" i="14"/>
  <c r="BS68" i="14" s="1"/>
  <c r="BO68" i="14"/>
  <c r="BT68" i="14" s="1"/>
  <c r="AN68" i="16"/>
  <c r="AS68" i="16" s="1"/>
  <c r="AO68" i="16"/>
  <c r="AT68" i="16" s="1"/>
  <c r="K148" i="9"/>
  <c r="P148" i="9" s="1"/>
  <c r="AM68" i="15"/>
  <c r="AR68" i="15" s="1"/>
  <c r="DM68" i="15"/>
  <c r="DR68" i="15" s="1"/>
  <c r="CM68" i="15"/>
  <c r="CR68" i="15" s="1"/>
  <c r="BM68" i="15"/>
  <c r="BR68" i="15" s="1"/>
  <c r="CN68" i="13"/>
  <c r="CS68" i="13" s="1"/>
  <c r="CO68" i="13"/>
  <c r="CT68" i="13" s="1"/>
  <c r="DN68" i="14"/>
  <c r="DS68" i="14" s="1"/>
  <c r="DO68" i="14"/>
  <c r="DT68" i="14" s="1"/>
  <c r="BN68" i="16"/>
  <c r="BS68" i="16" s="1"/>
  <c r="BO68" i="16"/>
  <c r="BT68" i="16" s="1"/>
  <c r="DM67" i="15"/>
  <c r="DR67" i="15" s="1"/>
  <c r="BM67" i="15"/>
  <c r="BR67" i="15" s="1"/>
  <c r="CM67" i="15"/>
  <c r="CR67" i="15" s="1"/>
  <c r="AM67" i="15"/>
  <c r="AR67" i="15" s="1"/>
  <c r="N67" i="13"/>
  <c r="S67" i="13" s="1"/>
  <c r="O67" i="13"/>
  <c r="T67" i="13" s="1"/>
  <c r="CN67" i="13"/>
  <c r="CS67" i="13" s="1"/>
  <c r="CO67" i="13"/>
  <c r="CT67" i="13" s="1"/>
  <c r="DN67" i="14"/>
  <c r="DS67" i="14" s="1"/>
  <c r="DO67" i="14"/>
  <c r="DT67" i="14" s="1"/>
  <c r="AN67" i="16"/>
  <c r="AS67" i="16" s="1"/>
  <c r="AO67" i="16"/>
  <c r="AT67" i="16" s="1"/>
  <c r="N67" i="14"/>
  <c r="S67" i="14" s="1"/>
  <c r="O67" i="14"/>
  <c r="T67" i="14" s="1"/>
  <c r="DN67" i="13"/>
  <c r="DS67" i="13" s="1"/>
  <c r="DO67" i="13"/>
  <c r="DT67" i="13" s="1"/>
  <c r="CN67" i="14"/>
  <c r="CS67" i="14" s="1"/>
  <c r="CO67" i="14"/>
  <c r="CT67" i="14" s="1"/>
  <c r="BN67" i="16"/>
  <c r="BS67" i="16" s="1"/>
  <c r="BO67" i="16"/>
  <c r="BT67" i="16" s="1"/>
  <c r="N67" i="15"/>
  <c r="S67" i="15" s="1"/>
  <c r="O67" i="15"/>
  <c r="T67" i="15" s="1"/>
  <c r="AN67" i="13"/>
  <c r="AS67" i="13" s="1"/>
  <c r="AO67" i="13"/>
  <c r="AT67" i="13" s="1"/>
  <c r="AN67" i="14"/>
  <c r="AS67" i="14" s="1"/>
  <c r="AO67" i="14"/>
  <c r="AT67" i="14" s="1"/>
  <c r="CN67" i="16"/>
  <c r="CS67" i="16" s="1"/>
  <c r="CO67" i="16"/>
  <c r="CT67" i="16" s="1"/>
  <c r="N67" i="16"/>
  <c r="S67" i="16" s="1"/>
  <c r="O67" i="16"/>
  <c r="T67" i="16" s="1"/>
  <c r="BN67" i="13"/>
  <c r="BS67" i="13" s="1"/>
  <c r="BO67" i="13"/>
  <c r="BT67" i="13" s="1"/>
  <c r="BN67" i="14"/>
  <c r="BS67" i="14" s="1"/>
  <c r="BO67" i="14"/>
  <c r="BT67" i="14" s="1"/>
  <c r="DN67" i="16"/>
  <c r="DS67" i="16" s="1"/>
  <c r="DO67" i="16"/>
  <c r="DT67" i="16" s="1"/>
  <c r="AN66" i="15"/>
  <c r="AS66" i="15" s="1"/>
  <c r="AO66" i="15"/>
  <c r="AT66" i="15" s="1"/>
  <c r="N66" i="16"/>
  <c r="S66" i="16" s="1"/>
  <c r="O66" i="16"/>
  <c r="T66" i="16" s="1"/>
  <c r="BN66" i="13"/>
  <c r="BS66" i="13" s="1"/>
  <c r="BO66" i="13"/>
  <c r="BT66" i="13" s="1"/>
  <c r="BN66" i="14"/>
  <c r="BS66" i="14" s="1"/>
  <c r="BO66" i="14"/>
  <c r="BT66" i="14" s="1"/>
  <c r="DN66" i="16"/>
  <c r="DS66" i="16" s="1"/>
  <c r="DO66" i="16"/>
  <c r="DT66" i="16" s="1"/>
  <c r="DN66" i="15"/>
  <c r="DS66" i="15" s="1"/>
  <c r="DO66" i="15"/>
  <c r="DT66" i="15" s="1"/>
  <c r="CN66" i="13"/>
  <c r="CS66" i="13" s="1"/>
  <c r="CO66" i="13"/>
  <c r="CT66" i="13" s="1"/>
  <c r="DN66" i="14"/>
  <c r="DS66" i="14" s="1"/>
  <c r="DO66" i="14"/>
  <c r="DT66" i="14" s="1"/>
  <c r="AN66" i="16"/>
  <c r="AS66" i="16" s="1"/>
  <c r="AO66" i="16"/>
  <c r="AT66" i="16" s="1"/>
  <c r="CN66" i="15"/>
  <c r="CS66" i="15" s="1"/>
  <c r="CO66" i="15"/>
  <c r="CT66" i="15" s="1"/>
  <c r="N66" i="14"/>
  <c r="S66" i="14" s="1"/>
  <c r="O66" i="14"/>
  <c r="T66" i="14" s="1"/>
  <c r="N66" i="13"/>
  <c r="S66" i="13" s="1"/>
  <c r="O66" i="13"/>
  <c r="T66" i="13" s="1"/>
  <c r="DN66" i="13"/>
  <c r="DS66" i="13" s="1"/>
  <c r="DO66" i="13"/>
  <c r="DT66" i="13" s="1"/>
  <c r="CN66" i="14"/>
  <c r="CS66" i="14" s="1"/>
  <c r="CO66" i="14"/>
  <c r="CT66" i="14" s="1"/>
  <c r="BN66" i="16"/>
  <c r="BS66" i="16" s="1"/>
  <c r="BO66" i="16"/>
  <c r="BT66" i="16" s="1"/>
  <c r="BN66" i="15"/>
  <c r="BS66" i="15" s="1"/>
  <c r="BO66" i="15"/>
  <c r="BT66" i="15" s="1"/>
  <c r="N66" i="15"/>
  <c r="S66" i="15" s="1"/>
  <c r="O66" i="15"/>
  <c r="T66" i="15" s="1"/>
  <c r="AN66" i="13"/>
  <c r="AS66" i="13" s="1"/>
  <c r="AO66" i="13"/>
  <c r="AT66" i="13" s="1"/>
  <c r="AN66" i="14"/>
  <c r="AS66" i="14" s="1"/>
  <c r="AO66" i="14"/>
  <c r="AT66" i="14" s="1"/>
  <c r="CN66" i="16"/>
  <c r="CS66" i="16" s="1"/>
  <c r="CO66" i="16"/>
  <c r="CT66" i="16" s="1"/>
  <c r="CN64" i="13"/>
  <c r="CS64" i="13" s="1"/>
  <c r="CO64" i="13"/>
  <c r="CT64" i="13" s="1"/>
  <c r="N64" i="16"/>
  <c r="S64" i="16" s="1"/>
  <c r="O64" i="16"/>
  <c r="T64" i="16" s="1"/>
  <c r="CN64" i="16"/>
  <c r="CS64" i="16" s="1"/>
  <c r="CO64" i="16"/>
  <c r="CT64" i="16" s="1"/>
  <c r="CN64" i="14"/>
  <c r="CS64" i="14" s="1"/>
  <c r="CO64" i="14"/>
  <c r="CT64" i="14" s="1"/>
  <c r="DN64" i="16"/>
  <c r="DS64" i="16" s="1"/>
  <c r="DO64" i="16"/>
  <c r="DT64" i="16" s="1"/>
  <c r="K144" i="9"/>
  <c r="P144" i="9" s="1"/>
  <c r="DM64" i="15"/>
  <c r="DR64" i="15" s="1"/>
  <c r="CM64" i="15"/>
  <c r="CR64" i="15" s="1"/>
  <c r="BM64" i="15"/>
  <c r="BR64" i="15" s="1"/>
  <c r="AM64" i="15"/>
  <c r="AR64" i="15" s="1"/>
  <c r="AN64" i="13"/>
  <c r="AS64" i="13" s="1"/>
  <c r="AO64" i="13"/>
  <c r="AT64" i="13" s="1"/>
  <c r="AN64" i="14"/>
  <c r="AS64" i="14" s="1"/>
  <c r="AO64" i="14"/>
  <c r="AT64" i="14" s="1"/>
  <c r="N64" i="14"/>
  <c r="S64" i="14" s="1"/>
  <c r="O64" i="14"/>
  <c r="T64" i="14" s="1"/>
  <c r="AN64" i="16"/>
  <c r="AS64" i="16" s="1"/>
  <c r="AO64" i="16"/>
  <c r="AT64" i="16" s="1"/>
  <c r="DN64" i="14"/>
  <c r="DS64" i="14" s="1"/>
  <c r="DO64" i="14"/>
  <c r="DT64" i="14" s="1"/>
  <c r="DN64" i="13"/>
  <c r="DS64" i="13" s="1"/>
  <c r="DO64" i="13"/>
  <c r="DT64" i="13" s="1"/>
  <c r="N64" i="13"/>
  <c r="S64" i="13" s="1"/>
  <c r="O64" i="13"/>
  <c r="T64" i="13" s="1"/>
  <c r="BN64" i="13"/>
  <c r="BS64" i="13" s="1"/>
  <c r="BO64" i="13"/>
  <c r="BT64" i="13" s="1"/>
  <c r="BN64" i="14"/>
  <c r="BS64" i="14" s="1"/>
  <c r="BO64" i="14"/>
  <c r="BT64" i="14" s="1"/>
  <c r="N64" i="15"/>
  <c r="S64" i="15" s="1"/>
  <c r="O64" i="15"/>
  <c r="T64" i="15" s="1"/>
  <c r="BN64" i="16"/>
  <c r="BS64" i="16" s="1"/>
  <c r="BO64" i="16"/>
  <c r="BT64" i="16" s="1"/>
  <c r="J144" i="9"/>
  <c r="O144" i="9" s="1"/>
  <c r="K152" i="9"/>
  <c r="P152" i="9" s="1"/>
  <c r="T13" i="8"/>
  <c r="U13" i="8"/>
  <c r="K147" i="9"/>
  <c r="P147" i="9" s="1"/>
  <c r="J147" i="9"/>
  <c r="O147" i="9" s="1"/>
  <c r="CX102" i="16"/>
  <c r="DG102" i="16" s="1"/>
  <c r="CX98" i="16"/>
  <c r="DG98" i="16" s="1"/>
  <c r="CX94" i="16"/>
  <c r="DG94" i="16" s="1"/>
  <c r="CX90" i="16"/>
  <c r="DG90" i="16" s="1"/>
  <c r="BZ102" i="16"/>
  <c r="CI102" i="16" s="1"/>
  <c r="BZ98" i="16"/>
  <c r="CI98" i="16" s="1"/>
  <c r="BZ94" i="16"/>
  <c r="CI94" i="16" s="1"/>
  <c r="BZ90" i="16"/>
  <c r="CI90" i="16" s="1"/>
  <c r="BB102" i="16"/>
  <c r="BK102" i="16" s="1"/>
  <c r="BB98" i="16"/>
  <c r="BK98" i="16" s="1"/>
  <c r="BB94" i="16"/>
  <c r="BK94" i="16" s="1"/>
  <c r="BB90" i="16"/>
  <c r="BK90" i="16" s="1"/>
  <c r="AD102" i="16"/>
  <c r="AM102" i="16" s="1"/>
  <c r="AD98" i="16"/>
  <c r="AM98" i="16" s="1"/>
  <c r="AD94" i="16"/>
  <c r="AM94" i="16" s="1"/>
  <c r="AD90" i="16"/>
  <c r="AM90" i="16" s="1"/>
  <c r="F102" i="16"/>
  <c r="O102" i="16" s="1"/>
  <c r="F98" i="16"/>
  <c r="O98" i="16" s="1"/>
  <c r="F94" i="16"/>
  <c r="O94" i="16" s="1"/>
  <c r="F90" i="16"/>
  <c r="O90" i="16" s="1"/>
  <c r="CX102" i="15"/>
  <c r="DG102" i="15" s="1"/>
  <c r="CX98" i="15"/>
  <c r="DG98" i="15" s="1"/>
  <c r="CX94" i="15"/>
  <c r="DG94" i="15" s="1"/>
  <c r="CX90" i="15"/>
  <c r="DG90" i="15" s="1"/>
  <c r="BZ102" i="15"/>
  <c r="CI102" i="15" s="1"/>
  <c r="BZ98" i="15"/>
  <c r="CI98" i="15" s="1"/>
  <c r="BZ94" i="15"/>
  <c r="CI94" i="15" s="1"/>
  <c r="BZ90" i="15"/>
  <c r="CI90" i="15" s="1"/>
  <c r="BB102" i="15"/>
  <c r="BK102" i="15" s="1"/>
  <c r="BB98" i="15"/>
  <c r="BK98" i="15" s="1"/>
  <c r="BB94" i="15"/>
  <c r="BK94" i="15" s="1"/>
  <c r="BB90" i="15"/>
  <c r="BK90" i="15" s="1"/>
  <c r="AD102" i="15"/>
  <c r="AM102" i="15" s="1"/>
  <c r="AD98" i="15"/>
  <c r="AM98" i="15" s="1"/>
  <c r="AD94" i="15"/>
  <c r="AM94" i="15" s="1"/>
  <c r="AD90" i="15"/>
  <c r="AM90" i="15" s="1"/>
  <c r="F102" i="15"/>
  <c r="O102" i="15" s="1"/>
  <c r="F98" i="15"/>
  <c r="O98" i="15" s="1"/>
  <c r="F94" i="15"/>
  <c r="O94" i="15" s="1"/>
  <c r="F90" i="15"/>
  <c r="O90" i="15" s="1"/>
  <c r="CX102" i="14"/>
  <c r="DG102" i="14" s="1"/>
  <c r="CX98" i="14"/>
  <c r="DG98" i="14" s="1"/>
  <c r="CX94" i="14"/>
  <c r="DG94" i="14" s="1"/>
  <c r="CX90" i="14"/>
  <c r="DG90" i="14" s="1"/>
  <c r="BZ102" i="14"/>
  <c r="CI102" i="14" s="1"/>
  <c r="BZ98" i="14"/>
  <c r="CI98" i="14" s="1"/>
  <c r="BZ94" i="14"/>
  <c r="CI94" i="14" s="1"/>
  <c r="BZ90" i="14"/>
  <c r="CI90" i="14" s="1"/>
  <c r="BB102" i="14"/>
  <c r="BK102" i="14" s="1"/>
  <c r="BB98" i="14"/>
  <c r="BK98" i="14" s="1"/>
  <c r="BB94" i="14"/>
  <c r="BK94" i="14" s="1"/>
  <c r="BB90" i="14"/>
  <c r="BK90" i="14" s="1"/>
  <c r="AD102" i="14"/>
  <c r="AM102" i="14" s="1"/>
  <c r="AD98" i="14"/>
  <c r="AM98" i="14" s="1"/>
  <c r="AD94" i="14"/>
  <c r="AM94" i="14" s="1"/>
  <c r="AD90" i="14"/>
  <c r="AM90" i="14" s="1"/>
  <c r="F102" i="14"/>
  <c r="O102" i="14" s="1"/>
  <c r="F98" i="14"/>
  <c r="O98" i="14" s="1"/>
  <c r="F94" i="14"/>
  <c r="O94" i="14" s="1"/>
  <c r="F90" i="14"/>
  <c r="O90" i="14" s="1"/>
  <c r="CX102" i="13"/>
  <c r="DG102" i="13" s="1"/>
  <c r="CX98" i="13"/>
  <c r="DG98" i="13" s="1"/>
  <c r="CX94" i="13"/>
  <c r="DG94" i="13" s="1"/>
  <c r="CX90" i="13"/>
  <c r="DG90" i="13" s="1"/>
  <c r="BZ102" i="13"/>
  <c r="CI102" i="13" s="1"/>
  <c r="BZ98" i="13"/>
  <c r="CI98" i="13" s="1"/>
  <c r="BZ94" i="13"/>
  <c r="CI94" i="13" s="1"/>
  <c r="BZ90" i="13"/>
  <c r="CI90" i="13" s="1"/>
  <c r="BB102" i="13"/>
  <c r="BK102" i="13" s="1"/>
  <c r="BB98" i="13"/>
  <c r="BK98" i="13" s="1"/>
  <c r="BB94" i="13"/>
  <c r="BK94" i="13" s="1"/>
  <c r="BB90" i="13"/>
  <c r="BK90" i="13" s="1"/>
  <c r="AD102" i="13"/>
  <c r="AM102" i="13" s="1"/>
  <c r="AD98" i="13"/>
  <c r="AM98" i="13" s="1"/>
  <c r="AD94" i="13"/>
  <c r="AM94" i="13" s="1"/>
  <c r="AD90" i="13"/>
  <c r="AM90" i="13" s="1"/>
  <c r="F89" i="13"/>
  <c r="O89" i="13" s="1"/>
  <c r="F93" i="13"/>
  <c r="O93" i="13" s="1"/>
  <c r="F97" i="13"/>
  <c r="O97" i="13" s="1"/>
  <c r="F101" i="13"/>
  <c r="O101" i="13" s="1"/>
  <c r="CX100" i="16"/>
  <c r="DG100" i="16" s="1"/>
  <c r="CX96" i="16"/>
  <c r="DG96" i="16" s="1"/>
  <c r="CX92" i="16"/>
  <c r="DG92" i="16" s="1"/>
  <c r="CX88" i="16"/>
  <c r="DG88" i="16" s="1"/>
  <c r="BZ100" i="16"/>
  <c r="CI100" i="16" s="1"/>
  <c r="BZ96" i="16"/>
  <c r="CI96" i="16" s="1"/>
  <c r="BZ92" i="16"/>
  <c r="CI92" i="16" s="1"/>
  <c r="BZ88" i="16"/>
  <c r="CI88" i="16" s="1"/>
  <c r="BB100" i="16"/>
  <c r="BK100" i="16" s="1"/>
  <c r="BB96" i="16"/>
  <c r="BK96" i="16" s="1"/>
  <c r="BB92" i="16"/>
  <c r="BK92" i="16" s="1"/>
  <c r="BB88" i="16"/>
  <c r="BK88" i="16" s="1"/>
  <c r="AD100" i="16"/>
  <c r="AM100" i="16" s="1"/>
  <c r="AD96" i="16"/>
  <c r="AM96" i="16" s="1"/>
  <c r="AD92" i="16"/>
  <c r="AM92" i="16" s="1"/>
  <c r="AD88" i="16"/>
  <c r="AM88" i="16" s="1"/>
  <c r="F100" i="16"/>
  <c r="O100" i="16" s="1"/>
  <c r="F96" i="16"/>
  <c r="O96" i="16" s="1"/>
  <c r="F92" i="16"/>
  <c r="O92" i="16" s="1"/>
  <c r="F88" i="16"/>
  <c r="O88" i="16" s="1"/>
  <c r="CX100" i="15"/>
  <c r="DG100" i="15" s="1"/>
  <c r="CX96" i="15"/>
  <c r="DG96" i="15" s="1"/>
  <c r="CX92" i="15"/>
  <c r="DG92" i="15" s="1"/>
  <c r="CX88" i="15"/>
  <c r="DG88" i="15" s="1"/>
  <c r="BZ100" i="15"/>
  <c r="CI100" i="15" s="1"/>
  <c r="BZ96" i="15"/>
  <c r="CI96" i="15" s="1"/>
  <c r="BZ92" i="15"/>
  <c r="CI92" i="15" s="1"/>
  <c r="BZ88" i="15"/>
  <c r="CI88" i="15" s="1"/>
  <c r="BB100" i="15"/>
  <c r="BK100" i="15" s="1"/>
  <c r="BB96" i="15"/>
  <c r="BK96" i="15" s="1"/>
  <c r="BB92" i="15"/>
  <c r="BK92" i="15" s="1"/>
  <c r="BB88" i="15"/>
  <c r="BK88" i="15" s="1"/>
  <c r="AD100" i="15"/>
  <c r="AM100" i="15" s="1"/>
  <c r="AD96" i="15"/>
  <c r="AM96" i="15" s="1"/>
  <c r="AD92" i="15"/>
  <c r="AM92" i="15" s="1"/>
  <c r="AD88" i="15"/>
  <c r="AM88" i="15" s="1"/>
  <c r="F100" i="15"/>
  <c r="O100" i="15" s="1"/>
  <c r="F96" i="15"/>
  <c r="O96" i="15" s="1"/>
  <c r="F92" i="15"/>
  <c r="O92" i="15" s="1"/>
  <c r="F88" i="15"/>
  <c r="O88" i="15" s="1"/>
  <c r="CX100" i="14"/>
  <c r="DG100" i="14" s="1"/>
  <c r="CX96" i="14"/>
  <c r="DG96" i="14" s="1"/>
  <c r="CX92" i="14"/>
  <c r="DG92" i="14" s="1"/>
  <c r="CX88" i="14"/>
  <c r="DG88" i="14" s="1"/>
  <c r="BZ100" i="14"/>
  <c r="CI100" i="14" s="1"/>
  <c r="BZ96" i="14"/>
  <c r="CI96" i="14" s="1"/>
  <c r="BZ92" i="14"/>
  <c r="CI92" i="14" s="1"/>
  <c r="BZ88" i="14"/>
  <c r="CI88" i="14" s="1"/>
  <c r="BB100" i="14"/>
  <c r="BK100" i="14" s="1"/>
  <c r="BB96" i="14"/>
  <c r="BK96" i="14" s="1"/>
  <c r="BB92" i="14"/>
  <c r="BK92" i="14" s="1"/>
  <c r="BB88" i="14"/>
  <c r="BK88" i="14" s="1"/>
  <c r="AD100" i="14"/>
  <c r="AM100" i="14" s="1"/>
  <c r="AD96" i="14"/>
  <c r="AM96" i="14" s="1"/>
  <c r="AD92" i="14"/>
  <c r="AM92" i="14" s="1"/>
  <c r="AD88" i="14"/>
  <c r="AM88" i="14" s="1"/>
  <c r="F100" i="14"/>
  <c r="O100" i="14" s="1"/>
  <c r="F96" i="14"/>
  <c r="O96" i="14" s="1"/>
  <c r="F92" i="14"/>
  <c r="O92" i="14" s="1"/>
  <c r="F88" i="14"/>
  <c r="O88" i="14" s="1"/>
  <c r="CX100" i="13"/>
  <c r="DG100" i="13" s="1"/>
  <c r="CX96" i="13"/>
  <c r="DG96" i="13" s="1"/>
  <c r="CX92" i="13"/>
  <c r="DG92" i="13" s="1"/>
  <c r="CX88" i="13"/>
  <c r="DG88" i="13" s="1"/>
  <c r="BZ100" i="13"/>
  <c r="CI100" i="13" s="1"/>
  <c r="BZ96" i="13"/>
  <c r="CI96" i="13" s="1"/>
  <c r="BZ92" i="13"/>
  <c r="CI92" i="13" s="1"/>
  <c r="BZ88" i="13"/>
  <c r="CI88" i="13" s="1"/>
  <c r="BB100" i="13"/>
  <c r="BK100" i="13" s="1"/>
  <c r="BB96" i="13"/>
  <c r="BK96" i="13" s="1"/>
  <c r="BB92" i="13"/>
  <c r="BK92" i="13" s="1"/>
  <c r="BB88" i="13"/>
  <c r="BK88" i="13" s="1"/>
  <c r="AD100" i="13"/>
  <c r="AM100" i="13" s="1"/>
  <c r="AD96" i="13"/>
  <c r="AM96" i="13" s="1"/>
  <c r="AD92" i="13"/>
  <c r="AM92" i="13" s="1"/>
  <c r="AD88" i="13"/>
  <c r="AM88" i="13" s="1"/>
  <c r="F91" i="13"/>
  <c r="O91" i="13" s="1"/>
  <c r="F95" i="13"/>
  <c r="O95" i="13" s="1"/>
  <c r="F99" i="13"/>
  <c r="O99" i="13" s="1"/>
  <c r="F103" i="13"/>
  <c r="O103" i="13" s="1"/>
  <c r="CX97" i="16"/>
  <c r="DG97" i="16" s="1"/>
  <c r="CX89" i="16"/>
  <c r="DG89" i="16" s="1"/>
  <c r="BZ97" i="16"/>
  <c r="CI97" i="16" s="1"/>
  <c r="BZ89" i="16"/>
  <c r="CI89" i="16" s="1"/>
  <c r="BB97" i="16"/>
  <c r="BK97" i="16" s="1"/>
  <c r="BB89" i="16"/>
  <c r="BK89" i="16" s="1"/>
  <c r="AD97" i="16"/>
  <c r="AM97" i="16" s="1"/>
  <c r="AD89" i="16"/>
  <c r="AM89" i="16" s="1"/>
  <c r="F97" i="16"/>
  <c r="O97" i="16" s="1"/>
  <c r="F89" i="16"/>
  <c r="O89" i="16" s="1"/>
  <c r="CX97" i="15"/>
  <c r="DG97" i="15" s="1"/>
  <c r="CX89" i="15"/>
  <c r="DG89" i="15" s="1"/>
  <c r="BZ97" i="15"/>
  <c r="CI97" i="15" s="1"/>
  <c r="BZ89" i="15"/>
  <c r="CI89" i="15" s="1"/>
  <c r="BB97" i="15"/>
  <c r="BK97" i="15" s="1"/>
  <c r="BB89" i="15"/>
  <c r="BK89" i="15" s="1"/>
  <c r="AD97" i="15"/>
  <c r="AM97" i="15" s="1"/>
  <c r="AD89" i="15"/>
  <c r="AM89" i="15" s="1"/>
  <c r="F97" i="15"/>
  <c r="O97" i="15" s="1"/>
  <c r="F89" i="15"/>
  <c r="O89" i="15" s="1"/>
  <c r="CX97" i="14"/>
  <c r="DG97" i="14" s="1"/>
  <c r="CX89" i="14"/>
  <c r="DG89" i="14" s="1"/>
  <c r="BZ97" i="14"/>
  <c r="CI97" i="14" s="1"/>
  <c r="BZ89" i="14"/>
  <c r="CI89" i="14" s="1"/>
  <c r="BB97" i="14"/>
  <c r="BK97" i="14" s="1"/>
  <c r="BB89" i="14"/>
  <c r="BK89" i="14" s="1"/>
  <c r="AD97" i="14"/>
  <c r="AM97" i="14" s="1"/>
  <c r="AD89" i="14"/>
  <c r="AM89" i="14" s="1"/>
  <c r="F97" i="14"/>
  <c r="O97" i="14" s="1"/>
  <c r="F89" i="14"/>
  <c r="O89" i="14" s="1"/>
  <c r="CX97" i="13"/>
  <c r="DG97" i="13" s="1"/>
  <c r="CX89" i="13"/>
  <c r="DG89" i="13" s="1"/>
  <c r="BZ97" i="13"/>
  <c r="CI97" i="13" s="1"/>
  <c r="BZ89" i="13"/>
  <c r="CI89" i="13" s="1"/>
  <c r="BB97" i="13"/>
  <c r="BK97" i="13" s="1"/>
  <c r="BB89" i="13"/>
  <c r="BK89" i="13" s="1"/>
  <c r="AD97" i="13"/>
  <c r="AM97" i="13" s="1"/>
  <c r="AD89" i="13"/>
  <c r="AM89" i="13" s="1"/>
  <c r="F96" i="13"/>
  <c r="O96" i="13" s="1"/>
  <c r="F88" i="13"/>
  <c r="O88" i="13" s="1"/>
  <c r="CX101" i="16"/>
  <c r="DG101" i="16" s="1"/>
  <c r="CX93" i="16"/>
  <c r="DG93" i="16" s="1"/>
  <c r="BZ101" i="16"/>
  <c r="CI101" i="16" s="1"/>
  <c r="BZ93" i="16"/>
  <c r="CI93" i="16" s="1"/>
  <c r="BB101" i="16"/>
  <c r="BK101" i="16" s="1"/>
  <c r="BB93" i="16"/>
  <c r="BK93" i="16" s="1"/>
  <c r="AD101" i="16"/>
  <c r="AM101" i="16" s="1"/>
  <c r="AD93" i="16"/>
  <c r="AM93" i="16" s="1"/>
  <c r="F101" i="16"/>
  <c r="O101" i="16" s="1"/>
  <c r="F93" i="16"/>
  <c r="O93" i="16" s="1"/>
  <c r="CX101" i="15"/>
  <c r="DG101" i="15" s="1"/>
  <c r="CX93" i="15"/>
  <c r="DG93" i="15" s="1"/>
  <c r="BZ101" i="15"/>
  <c r="CI101" i="15" s="1"/>
  <c r="BZ93" i="15"/>
  <c r="CI93" i="15" s="1"/>
  <c r="BB101" i="15"/>
  <c r="BK101" i="15" s="1"/>
  <c r="BB93" i="15"/>
  <c r="BK93" i="15" s="1"/>
  <c r="AD101" i="15"/>
  <c r="AM101" i="15" s="1"/>
  <c r="AD93" i="15"/>
  <c r="AM93" i="15" s="1"/>
  <c r="F101" i="15"/>
  <c r="O101" i="15" s="1"/>
  <c r="F93" i="15"/>
  <c r="O93" i="15" s="1"/>
  <c r="CX101" i="14"/>
  <c r="DG101" i="14" s="1"/>
  <c r="CX93" i="14"/>
  <c r="DG93" i="14" s="1"/>
  <c r="BZ101" i="14"/>
  <c r="CI101" i="14" s="1"/>
  <c r="BZ93" i="14"/>
  <c r="CI93" i="14" s="1"/>
  <c r="BB101" i="14"/>
  <c r="BK101" i="14" s="1"/>
  <c r="BB93" i="14"/>
  <c r="BK93" i="14" s="1"/>
  <c r="AD101" i="14"/>
  <c r="AM101" i="14" s="1"/>
  <c r="AD93" i="14"/>
  <c r="AM93" i="14" s="1"/>
  <c r="F101" i="14"/>
  <c r="O101" i="14" s="1"/>
  <c r="F93" i="14"/>
  <c r="O93" i="14" s="1"/>
  <c r="CX101" i="13"/>
  <c r="DG101" i="13" s="1"/>
  <c r="CX93" i="13"/>
  <c r="DG93" i="13" s="1"/>
  <c r="BZ101" i="13"/>
  <c r="CI101" i="13" s="1"/>
  <c r="BZ93" i="13"/>
  <c r="CI93" i="13" s="1"/>
  <c r="BB101" i="13"/>
  <c r="BK101" i="13" s="1"/>
  <c r="BB93" i="13"/>
  <c r="BK93" i="13" s="1"/>
  <c r="AD101" i="13"/>
  <c r="AM101" i="13" s="1"/>
  <c r="AD93" i="13"/>
  <c r="AM93" i="13" s="1"/>
  <c r="F92" i="13"/>
  <c r="O92" i="13" s="1"/>
  <c r="F100" i="13"/>
  <c r="O100" i="13" s="1"/>
  <c r="CX103" i="16"/>
  <c r="DG103" i="16" s="1"/>
  <c r="BZ103" i="16"/>
  <c r="CI103" i="16" s="1"/>
  <c r="BB103" i="16"/>
  <c r="BK103" i="16" s="1"/>
  <c r="AD103" i="16"/>
  <c r="AM103" i="16" s="1"/>
  <c r="F103" i="16"/>
  <c r="O103" i="16" s="1"/>
  <c r="CX103" i="15"/>
  <c r="DG103" i="15" s="1"/>
  <c r="BZ103" i="15"/>
  <c r="CI103" i="15" s="1"/>
  <c r="BB103" i="15"/>
  <c r="BK103" i="15" s="1"/>
  <c r="AD103" i="15"/>
  <c r="AM103" i="15" s="1"/>
  <c r="F103" i="15"/>
  <c r="O103" i="15" s="1"/>
  <c r="CX103" i="14"/>
  <c r="DG103" i="14" s="1"/>
  <c r="BZ103" i="14"/>
  <c r="CI103" i="14" s="1"/>
  <c r="BB103" i="14"/>
  <c r="BK103" i="14" s="1"/>
  <c r="AD103" i="14"/>
  <c r="AM103" i="14" s="1"/>
  <c r="F103" i="14"/>
  <c r="O103" i="14" s="1"/>
  <c r="CX103" i="13"/>
  <c r="DG103" i="13" s="1"/>
  <c r="BZ103" i="13"/>
  <c r="CI103" i="13" s="1"/>
  <c r="BB103" i="13"/>
  <c r="BK103" i="13" s="1"/>
  <c r="AD103" i="13"/>
  <c r="AM103" i="13" s="1"/>
  <c r="F90" i="13"/>
  <c r="O90" i="13" s="1"/>
  <c r="CX95" i="16"/>
  <c r="DG95" i="16" s="1"/>
  <c r="BZ95" i="16"/>
  <c r="CI95" i="16" s="1"/>
  <c r="BB95" i="16"/>
  <c r="BK95" i="16" s="1"/>
  <c r="AD95" i="16"/>
  <c r="AM95" i="16" s="1"/>
  <c r="F95" i="16"/>
  <c r="O95" i="16" s="1"/>
  <c r="CX95" i="15"/>
  <c r="DG95" i="15" s="1"/>
  <c r="BZ95" i="15"/>
  <c r="CI95" i="15" s="1"/>
  <c r="BB95" i="15"/>
  <c r="BK95" i="15" s="1"/>
  <c r="AD95" i="15"/>
  <c r="AM95" i="15" s="1"/>
  <c r="F95" i="15"/>
  <c r="O95" i="15" s="1"/>
  <c r="CX95" i="14"/>
  <c r="DG95" i="14" s="1"/>
  <c r="BZ95" i="14"/>
  <c r="CI95" i="14" s="1"/>
  <c r="BB95" i="14"/>
  <c r="BK95" i="14" s="1"/>
  <c r="AD95" i="14"/>
  <c r="AM95" i="14" s="1"/>
  <c r="F95" i="14"/>
  <c r="O95" i="14" s="1"/>
  <c r="CX95" i="13"/>
  <c r="DG95" i="13" s="1"/>
  <c r="BZ95" i="13"/>
  <c r="CI95" i="13" s="1"/>
  <c r="BB95" i="13"/>
  <c r="BK95" i="13" s="1"/>
  <c r="AD95" i="13"/>
  <c r="AM95" i="13" s="1"/>
  <c r="F98" i="13"/>
  <c r="O98" i="13" s="1"/>
  <c r="CX91" i="16"/>
  <c r="DG91" i="16" s="1"/>
  <c r="BZ91" i="16"/>
  <c r="CI91" i="16" s="1"/>
  <c r="BB91" i="16"/>
  <c r="BK91" i="16" s="1"/>
  <c r="AD91" i="16"/>
  <c r="AM91" i="16" s="1"/>
  <c r="F91" i="16"/>
  <c r="O91" i="16" s="1"/>
  <c r="CX91" i="15"/>
  <c r="DG91" i="15" s="1"/>
  <c r="BZ91" i="15"/>
  <c r="CI91" i="15" s="1"/>
  <c r="BB91" i="15"/>
  <c r="BK91" i="15" s="1"/>
  <c r="AD91" i="15"/>
  <c r="AM91" i="15" s="1"/>
  <c r="F91" i="15"/>
  <c r="O91" i="15" s="1"/>
  <c r="CX91" i="14"/>
  <c r="DG91" i="14" s="1"/>
  <c r="BZ91" i="14"/>
  <c r="CI91" i="14" s="1"/>
  <c r="BB91" i="14"/>
  <c r="BK91" i="14" s="1"/>
  <c r="AD91" i="14"/>
  <c r="AM91" i="14" s="1"/>
  <c r="F91" i="14"/>
  <c r="O91" i="14" s="1"/>
  <c r="CX91" i="13"/>
  <c r="DG91" i="13" s="1"/>
  <c r="BZ91" i="13"/>
  <c r="CI91" i="13" s="1"/>
  <c r="BB91" i="13"/>
  <c r="BK91" i="13" s="1"/>
  <c r="AD91" i="13"/>
  <c r="AM91" i="13" s="1"/>
  <c r="F102" i="13"/>
  <c r="O102" i="13" s="1"/>
  <c r="CX99" i="16"/>
  <c r="DG99" i="16" s="1"/>
  <c r="F99" i="16"/>
  <c r="O99" i="16" s="1"/>
  <c r="AD99" i="15"/>
  <c r="AM99" i="15" s="1"/>
  <c r="BB99" i="14"/>
  <c r="BK99" i="14" s="1"/>
  <c r="BZ99" i="13"/>
  <c r="CI99" i="13" s="1"/>
  <c r="F94" i="13"/>
  <c r="O94" i="13" s="1"/>
  <c r="BZ99" i="16"/>
  <c r="CI99" i="16" s="1"/>
  <c r="CX99" i="15"/>
  <c r="DG99" i="15" s="1"/>
  <c r="F99" i="15"/>
  <c r="O99" i="15" s="1"/>
  <c r="AD99" i="14"/>
  <c r="AM99" i="14" s="1"/>
  <c r="BB99" i="13"/>
  <c r="BK99" i="13" s="1"/>
  <c r="BB99" i="16"/>
  <c r="BK99" i="16" s="1"/>
  <c r="BZ99" i="15"/>
  <c r="CI99" i="15" s="1"/>
  <c r="CX99" i="14"/>
  <c r="DG99" i="14" s="1"/>
  <c r="F99" i="14"/>
  <c r="O99" i="14" s="1"/>
  <c r="AD99" i="13"/>
  <c r="AM99" i="13" s="1"/>
  <c r="AD99" i="16"/>
  <c r="AM99" i="16" s="1"/>
  <c r="BB99" i="15"/>
  <c r="BK99" i="15" s="1"/>
  <c r="BZ99" i="14"/>
  <c r="CI99" i="14" s="1"/>
  <c r="CX99" i="13"/>
  <c r="DG99" i="13" s="1"/>
  <c r="CX128" i="16"/>
  <c r="DG128" i="16" s="1"/>
  <c r="CX124" i="16"/>
  <c r="DG124" i="16" s="1"/>
  <c r="CX120" i="16"/>
  <c r="DG120" i="16" s="1"/>
  <c r="CX116" i="16"/>
  <c r="DG116" i="16" s="1"/>
  <c r="BZ128" i="16"/>
  <c r="CI128" i="16" s="1"/>
  <c r="BZ124" i="16"/>
  <c r="CI124" i="16" s="1"/>
  <c r="BZ120" i="16"/>
  <c r="CI120" i="16" s="1"/>
  <c r="BZ116" i="16"/>
  <c r="CI116" i="16" s="1"/>
  <c r="BB128" i="16"/>
  <c r="BK128" i="16" s="1"/>
  <c r="BB124" i="16"/>
  <c r="BK124" i="16" s="1"/>
  <c r="BB120" i="16"/>
  <c r="BK120" i="16" s="1"/>
  <c r="BB116" i="16"/>
  <c r="BK116" i="16" s="1"/>
  <c r="AD128" i="16"/>
  <c r="AM128" i="16" s="1"/>
  <c r="AD124" i="16"/>
  <c r="AM124" i="16" s="1"/>
  <c r="AD120" i="16"/>
  <c r="AM120" i="16" s="1"/>
  <c r="AD116" i="16"/>
  <c r="AM116" i="16" s="1"/>
  <c r="F128" i="16"/>
  <c r="O128" i="16" s="1"/>
  <c r="F124" i="16"/>
  <c r="O124" i="16" s="1"/>
  <c r="F120" i="16"/>
  <c r="O120" i="16" s="1"/>
  <c r="F116" i="16"/>
  <c r="O116" i="16" s="1"/>
  <c r="CX128" i="15"/>
  <c r="DG128" i="15" s="1"/>
  <c r="CX124" i="15"/>
  <c r="DG124" i="15" s="1"/>
  <c r="CX120" i="15"/>
  <c r="DG120" i="15" s="1"/>
  <c r="CX116" i="15"/>
  <c r="DG116" i="15" s="1"/>
  <c r="BZ128" i="15"/>
  <c r="CI128" i="15" s="1"/>
  <c r="BZ124" i="15"/>
  <c r="CI124" i="15" s="1"/>
  <c r="BZ120" i="15"/>
  <c r="CI120" i="15" s="1"/>
  <c r="BZ116" i="15"/>
  <c r="CI116" i="15" s="1"/>
  <c r="BB128" i="15"/>
  <c r="BK128" i="15" s="1"/>
  <c r="BB124" i="15"/>
  <c r="BK124" i="15" s="1"/>
  <c r="BB120" i="15"/>
  <c r="BK120" i="15" s="1"/>
  <c r="BB116" i="15"/>
  <c r="BK116" i="15" s="1"/>
  <c r="AD128" i="15"/>
  <c r="AM128" i="15" s="1"/>
  <c r="AD124" i="15"/>
  <c r="AM124" i="15" s="1"/>
  <c r="AD120" i="15"/>
  <c r="AM120" i="15" s="1"/>
  <c r="AD116" i="15"/>
  <c r="AM116" i="15" s="1"/>
  <c r="F128" i="15"/>
  <c r="O128" i="15" s="1"/>
  <c r="F124" i="15"/>
  <c r="O124" i="15" s="1"/>
  <c r="F120" i="15"/>
  <c r="O120" i="15" s="1"/>
  <c r="F116" i="15"/>
  <c r="O116" i="15" s="1"/>
  <c r="CX128" i="14"/>
  <c r="DG128" i="14" s="1"/>
  <c r="CX124" i="14"/>
  <c r="DG124" i="14" s="1"/>
  <c r="CX120" i="14"/>
  <c r="DG120" i="14" s="1"/>
  <c r="CX116" i="14"/>
  <c r="DG116" i="14" s="1"/>
  <c r="BZ128" i="14"/>
  <c r="CI128" i="14" s="1"/>
  <c r="BZ124" i="14"/>
  <c r="CI124" i="14" s="1"/>
  <c r="BZ120" i="14"/>
  <c r="CI120" i="14" s="1"/>
  <c r="BZ116" i="14"/>
  <c r="CI116" i="14" s="1"/>
  <c r="BB114" i="14"/>
  <c r="BK114" i="14" s="1"/>
  <c r="BB118" i="14"/>
  <c r="BK118" i="14" s="1"/>
  <c r="BB122" i="14"/>
  <c r="BK122" i="14" s="1"/>
  <c r="BB126" i="14"/>
  <c r="BK126" i="14" s="1"/>
  <c r="AD114" i="14"/>
  <c r="AM114" i="14" s="1"/>
  <c r="AD118" i="14"/>
  <c r="AM118" i="14" s="1"/>
  <c r="AD122" i="14"/>
  <c r="AM122" i="14" s="1"/>
  <c r="AD126" i="14"/>
  <c r="AM126" i="14" s="1"/>
  <c r="F114" i="14"/>
  <c r="O114" i="14" s="1"/>
  <c r="F118" i="14"/>
  <c r="O118" i="14" s="1"/>
  <c r="F122" i="14"/>
  <c r="O122" i="14" s="1"/>
  <c r="F126" i="14"/>
  <c r="O126" i="14" s="1"/>
  <c r="BB115" i="13"/>
  <c r="BK115" i="13" s="1"/>
  <c r="BB119" i="13"/>
  <c r="BK119" i="13" s="1"/>
  <c r="BB123" i="13"/>
  <c r="BK123" i="13" s="1"/>
  <c r="BB127" i="13"/>
  <c r="BK127" i="13" s="1"/>
  <c r="BZ115" i="13"/>
  <c r="CI115" i="13" s="1"/>
  <c r="BZ119" i="13"/>
  <c r="CI119" i="13" s="1"/>
  <c r="BZ123" i="13"/>
  <c r="CI123" i="13" s="1"/>
  <c r="BZ127" i="13"/>
  <c r="CI127" i="13" s="1"/>
  <c r="CX115" i="13"/>
  <c r="DG115" i="13" s="1"/>
  <c r="CX119" i="13"/>
  <c r="DG119" i="13" s="1"/>
  <c r="CX123" i="13"/>
  <c r="DG123" i="13" s="1"/>
  <c r="CX127" i="13"/>
  <c r="DG127" i="13" s="1"/>
  <c r="AD114" i="13"/>
  <c r="AM114" i="13" s="1"/>
  <c r="AD118" i="13"/>
  <c r="AM118" i="13" s="1"/>
  <c r="AD122" i="13"/>
  <c r="AM122" i="13" s="1"/>
  <c r="AD126" i="13"/>
  <c r="AM126" i="13" s="1"/>
  <c r="F114" i="13"/>
  <c r="O114" i="13" s="1"/>
  <c r="F118" i="13"/>
  <c r="O118" i="13" s="1"/>
  <c r="F122" i="13"/>
  <c r="O122" i="13" s="1"/>
  <c r="F126" i="13"/>
  <c r="O126" i="13" s="1"/>
  <c r="CX127" i="16"/>
  <c r="DG127" i="16" s="1"/>
  <c r="CX126" i="16"/>
  <c r="DG126" i="16" s="1"/>
  <c r="CX122" i="16"/>
  <c r="DG122" i="16" s="1"/>
  <c r="CX118" i="16"/>
  <c r="DG118" i="16" s="1"/>
  <c r="CX114" i="16"/>
  <c r="DG114" i="16" s="1"/>
  <c r="BZ126" i="16"/>
  <c r="CI126" i="16" s="1"/>
  <c r="BZ122" i="16"/>
  <c r="CI122" i="16" s="1"/>
  <c r="BZ118" i="16"/>
  <c r="CI118" i="16" s="1"/>
  <c r="BZ114" i="16"/>
  <c r="CI114" i="16" s="1"/>
  <c r="BB126" i="16"/>
  <c r="BK126" i="16" s="1"/>
  <c r="BB122" i="16"/>
  <c r="BK122" i="16" s="1"/>
  <c r="BB118" i="16"/>
  <c r="BK118" i="16" s="1"/>
  <c r="BB114" i="16"/>
  <c r="BK114" i="16" s="1"/>
  <c r="AD126" i="16"/>
  <c r="AM126" i="16" s="1"/>
  <c r="AD122" i="16"/>
  <c r="AM122" i="16" s="1"/>
  <c r="AD118" i="16"/>
  <c r="AM118" i="16" s="1"/>
  <c r="AD114" i="16"/>
  <c r="AM114" i="16" s="1"/>
  <c r="F126" i="16"/>
  <c r="O126" i="16" s="1"/>
  <c r="F122" i="16"/>
  <c r="O122" i="16" s="1"/>
  <c r="F118" i="16"/>
  <c r="O118" i="16" s="1"/>
  <c r="F114" i="16"/>
  <c r="O114" i="16" s="1"/>
  <c r="CX126" i="15"/>
  <c r="DG126" i="15" s="1"/>
  <c r="CX122" i="15"/>
  <c r="DG122" i="15" s="1"/>
  <c r="CX118" i="15"/>
  <c r="DG118" i="15" s="1"/>
  <c r="CX114" i="15"/>
  <c r="DG114" i="15" s="1"/>
  <c r="BZ126" i="15"/>
  <c r="CI126" i="15" s="1"/>
  <c r="BZ122" i="15"/>
  <c r="CI122" i="15" s="1"/>
  <c r="BZ118" i="15"/>
  <c r="CI118" i="15" s="1"/>
  <c r="BZ114" i="15"/>
  <c r="CI114" i="15" s="1"/>
  <c r="BB126" i="15"/>
  <c r="BK126" i="15" s="1"/>
  <c r="BB122" i="15"/>
  <c r="BK122" i="15" s="1"/>
  <c r="BB118" i="15"/>
  <c r="BK118" i="15" s="1"/>
  <c r="BB114" i="15"/>
  <c r="BK114" i="15" s="1"/>
  <c r="AD126" i="15"/>
  <c r="AM126" i="15" s="1"/>
  <c r="AD122" i="15"/>
  <c r="AM122" i="15" s="1"/>
  <c r="AD118" i="15"/>
  <c r="AM118" i="15" s="1"/>
  <c r="AD114" i="15"/>
  <c r="AM114" i="15" s="1"/>
  <c r="F126" i="15"/>
  <c r="O126" i="15" s="1"/>
  <c r="F122" i="15"/>
  <c r="O122" i="15" s="1"/>
  <c r="F118" i="15"/>
  <c r="O118" i="15" s="1"/>
  <c r="F114" i="15"/>
  <c r="O114" i="15" s="1"/>
  <c r="CX126" i="14"/>
  <c r="DG126" i="14" s="1"/>
  <c r="CX122" i="14"/>
  <c r="DG122" i="14" s="1"/>
  <c r="CX118" i="14"/>
  <c r="DG118" i="14" s="1"/>
  <c r="CX114" i="14"/>
  <c r="DG114" i="14" s="1"/>
  <c r="BZ126" i="14"/>
  <c r="CI126" i="14" s="1"/>
  <c r="BZ122" i="14"/>
  <c r="CI122" i="14" s="1"/>
  <c r="BZ118" i="14"/>
  <c r="CI118" i="14" s="1"/>
  <c r="BZ114" i="14"/>
  <c r="CI114" i="14" s="1"/>
  <c r="BB116" i="14"/>
  <c r="BK116" i="14" s="1"/>
  <c r="BB120" i="14"/>
  <c r="BK120" i="14" s="1"/>
  <c r="BB124" i="14"/>
  <c r="BK124" i="14" s="1"/>
  <c r="BB128" i="14"/>
  <c r="BK128" i="14" s="1"/>
  <c r="AD116" i="14"/>
  <c r="AM116" i="14" s="1"/>
  <c r="AD120" i="14"/>
  <c r="AM120" i="14" s="1"/>
  <c r="AD124" i="14"/>
  <c r="AM124" i="14" s="1"/>
  <c r="AD128" i="14"/>
  <c r="AM128" i="14" s="1"/>
  <c r="F116" i="14"/>
  <c r="O116" i="14" s="1"/>
  <c r="F120" i="14"/>
  <c r="O120" i="14" s="1"/>
  <c r="F124" i="14"/>
  <c r="O124" i="14" s="1"/>
  <c r="F128" i="14"/>
  <c r="O128" i="14" s="1"/>
  <c r="BB117" i="13"/>
  <c r="BK117" i="13" s="1"/>
  <c r="BB121" i="13"/>
  <c r="BK121" i="13" s="1"/>
  <c r="BB125" i="13"/>
  <c r="BK125" i="13" s="1"/>
  <c r="BB113" i="13"/>
  <c r="BK113" i="13" s="1"/>
  <c r="BZ117" i="13"/>
  <c r="CI117" i="13" s="1"/>
  <c r="BZ121" i="13"/>
  <c r="CI121" i="13" s="1"/>
  <c r="BZ125" i="13"/>
  <c r="CI125" i="13" s="1"/>
  <c r="BZ113" i="13"/>
  <c r="CI113" i="13" s="1"/>
  <c r="CX117" i="13"/>
  <c r="DG117" i="13" s="1"/>
  <c r="CX121" i="13"/>
  <c r="DG121" i="13" s="1"/>
  <c r="CX125" i="13"/>
  <c r="DG125" i="13" s="1"/>
  <c r="CX113" i="13"/>
  <c r="DG113" i="13" s="1"/>
  <c r="AD116" i="13"/>
  <c r="AM116" i="13" s="1"/>
  <c r="AD120" i="13"/>
  <c r="AM120" i="13" s="1"/>
  <c r="AD124" i="13"/>
  <c r="AM124" i="13" s="1"/>
  <c r="AD128" i="13"/>
  <c r="AM128" i="13" s="1"/>
  <c r="F116" i="13"/>
  <c r="O116" i="13" s="1"/>
  <c r="F120" i="13"/>
  <c r="O120" i="13" s="1"/>
  <c r="F124" i="13"/>
  <c r="O124" i="13" s="1"/>
  <c r="F128" i="13"/>
  <c r="O128" i="13" s="1"/>
  <c r="CX125" i="16"/>
  <c r="DG125" i="16" s="1"/>
  <c r="CX123" i="16"/>
  <c r="DG123" i="16" s="1"/>
  <c r="CX115" i="16"/>
  <c r="DG115" i="16" s="1"/>
  <c r="BZ123" i="16"/>
  <c r="CI123" i="16" s="1"/>
  <c r="BZ115" i="16"/>
  <c r="CI115" i="16" s="1"/>
  <c r="BB123" i="16"/>
  <c r="BK123" i="16" s="1"/>
  <c r="BB115" i="16"/>
  <c r="BK115" i="16" s="1"/>
  <c r="AD123" i="16"/>
  <c r="AM123" i="16" s="1"/>
  <c r="AD115" i="16"/>
  <c r="AM115" i="16" s="1"/>
  <c r="F123" i="16"/>
  <c r="O123" i="16" s="1"/>
  <c r="F115" i="16"/>
  <c r="O115" i="16" s="1"/>
  <c r="CX123" i="15"/>
  <c r="DG123" i="15" s="1"/>
  <c r="CX115" i="15"/>
  <c r="DG115" i="15" s="1"/>
  <c r="BZ123" i="15"/>
  <c r="CI123" i="15" s="1"/>
  <c r="BZ115" i="15"/>
  <c r="CI115" i="15" s="1"/>
  <c r="BB123" i="15"/>
  <c r="BK123" i="15" s="1"/>
  <c r="BB115" i="15"/>
  <c r="BK115" i="15" s="1"/>
  <c r="AD123" i="15"/>
  <c r="AM123" i="15" s="1"/>
  <c r="AD115" i="15"/>
  <c r="AM115" i="15" s="1"/>
  <c r="F123" i="15"/>
  <c r="O123" i="15" s="1"/>
  <c r="F115" i="15"/>
  <c r="O115" i="15" s="1"/>
  <c r="CX123" i="14"/>
  <c r="DG123" i="14" s="1"/>
  <c r="CX115" i="14"/>
  <c r="DG115" i="14" s="1"/>
  <c r="BZ123" i="14"/>
  <c r="CI123" i="14" s="1"/>
  <c r="BZ115" i="14"/>
  <c r="CI115" i="14" s="1"/>
  <c r="BB119" i="14"/>
  <c r="BK119" i="14" s="1"/>
  <c r="BB127" i="14"/>
  <c r="BK127" i="14" s="1"/>
  <c r="AD119" i="14"/>
  <c r="AM119" i="14" s="1"/>
  <c r="AD127" i="14"/>
  <c r="AM127" i="14" s="1"/>
  <c r="F119" i="14"/>
  <c r="O119" i="14" s="1"/>
  <c r="F127" i="14"/>
  <c r="O127" i="14" s="1"/>
  <c r="BB120" i="13"/>
  <c r="BK120" i="13" s="1"/>
  <c r="BB128" i="13"/>
  <c r="BK128" i="13" s="1"/>
  <c r="BZ120" i="13"/>
  <c r="CI120" i="13" s="1"/>
  <c r="BZ128" i="13"/>
  <c r="CI128" i="13" s="1"/>
  <c r="CX120" i="13"/>
  <c r="DG120" i="13" s="1"/>
  <c r="CX128" i="13"/>
  <c r="DG128" i="13" s="1"/>
  <c r="AD115" i="13"/>
  <c r="AM115" i="13" s="1"/>
  <c r="AD123" i="13"/>
  <c r="AM123" i="13" s="1"/>
  <c r="F115" i="13"/>
  <c r="O115" i="13" s="1"/>
  <c r="F123" i="13"/>
  <c r="O123" i="13" s="1"/>
  <c r="CX119" i="16"/>
  <c r="DG119" i="16" s="1"/>
  <c r="BZ127" i="16"/>
  <c r="CI127" i="16" s="1"/>
  <c r="BZ119" i="16"/>
  <c r="CI119" i="16" s="1"/>
  <c r="BB127" i="16"/>
  <c r="BK127" i="16" s="1"/>
  <c r="BB119" i="16"/>
  <c r="BK119" i="16" s="1"/>
  <c r="AD127" i="16"/>
  <c r="AM127" i="16" s="1"/>
  <c r="AD119" i="16"/>
  <c r="AM119" i="16" s="1"/>
  <c r="F127" i="16"/>
  <c r="O127" i="16" s="1"/>
  <c r="F119" i="16"/>
  <c r="O119" i="16" s="1"/>
  <c r="CX127" i="15"/>
  <c r="DG127" i="15" s="1"/>
  <c r="CX119" i="15"/>
  <c r="DG119" i="15" s="1"/>
  <c r="BZ127" i="15"/>
  <c r="CI127" i="15" s="1"/>
  <c r="BZ119" i="15"/>
  <c r="CI119" i="15" s="1"/>
  <c r="BB127" i="15"/>
  <c r="BK127" i="15" s="1"/>
  <c r="BB119" i="15"/>
  <c r="BK119" i="15" s="1"/>
  <c r="AD127" i="15"/>
  <c r="AM127" i="15" s="1"/>
  <c r="AD119" i="15"/>
  <c r="AM119" i="15" s="1"/>
  <c r="F127" i="15"/>
  <c r="O127" i="15" s="1"/>
  <c r="F119" i="15"/>
  <c r="O119" i="15" s="1"/>
  <c r="CX127" i="14"/>
  <c r="DG127" i="14" s="1"/>
  <c r="CX119" i="14"/>
  <c r="DG119" i="14" s="1"/>
  <c r="BZ127" i="14"/>
  <c r="CI127" i="14" s="1"/>
  <c r="BZ119" i="14"/>
  <c r="CI119" i="14" s="1"/>
  <c r="BB115" i="14"/>
  <c r="BK115" i="14" s="1"/>
  <c r="BB123" i="14"/>
  <c r="BK123" i="14" s="1"/>
  <c r="AD115" i="14"/>
  <c r="AM115" i="14" s="1"/>
  <c r="AD123" i="14"/>
  <c r="AM123" i="14" s="1"/>
  <c r="F115" i="14"/>
  <c r="O115" i="14" s="1"/>
  <c r="F123" i="14"/>
  <c r="O123" i="14" s="1"/>
  <c r="BB116" i="13"/>
  <c r="BK116" i="13" s="1"/>
  <c r="BB124" i="13"/>
  <c r="BK124" i="13" s="1"/>
  <c r="BZ116" i="13"/>
  <c r="CI116" i="13" s="1"/>
  <c r="BZ124" i="13"/>
  <c r="CI124" i="13" s="1"/>
  <c r="CX116" i="13"/>
  <c r="DG116" i="13" s="1"/>
  <c r="CX124" i="13"/>
  <c r="DG124" i="13" s="1"/>
  <c r="AD119" i="13"/>
  <c r="AM119" i="13" s="1"/>
  <c r="AD127" i="13"/>
  <c r="AM127" i="13" s="1"/>
  <c r="F119" i="13"/>
  <c r="O119" i="13" s="1"/>
  <c r="F127" i="13"/>
  <c r="O127" i="13" s="1"/>
  <c r="CX121" i="16"/>
  <c r="DG121" i="16" s="1"/>
  <c r="BZ121" i="16"/>
  <c r="CI121" i="16" s="1"/>
  <c r="BB121" i="16"/>
  <c r="BK121" i="16" s="1"/>
  <c r="AD121" i="16"/>
  <c r="AM121" i="16" s="1"/>
  <c r="F121" i="16"/>
  <c r="O121" i="16" s="1"/>
  <c r="CX121" i="15"/>
  <c r="DG121" i="15" s="1"/>
  <c r="BZ121" i="15"/>
  <c r="CI121" i="15" s="1"/>
  <c r="BB121" i="15"/>
  <c r="BK121" i="15" s="1"/>
  <c r="AD121" i="15"/>
  <c r="AM121" i="15" s="1"/>
  <c r="F121" i="15"/>
  <c r="O121" i="15" s="1"/>
  <c r="CX121" i="14"/>
  <c r="DG121" i="14" s="1"/>
  <c r="BZ121" i="14"/>
  <c r="CI121" i="14" s="1"/>
  <c r="BB121" i="14"/>
  <c r="BK121" i="14" s="1"/>
  <c r="AD121" i="14"/>
  <c r="AM121" i="14" s="1"/>
  <c r="F121" i="14"/>
  <c r="O121" i="14" s="1"/>
  <c r="BB122" i="13"/>
  <c r="BK122" i="13" s="1"/>
  <c r="BZ122" i="13"/>
  <c r="CI122" i="13" s="1"/>
  <c r="CX122" i="13"/>
  <c r="DG122" i="13" s="1"/>
  <c r="AD117" i="13"/>
  <c r="AM117" i="13" s="1"/>
  <c r="F117" i="13"/>
  <c r="O117" i="13" s="1"/>
  <c r="CX117" i="16"/>
  <c r="DG117" i="16" s="1"/>
  <c r="BZ117" i="16"/>
  <c r="CI117" i="16" s="1"/>
  <c r="BB117" i="16"/>
  <c r="BK117" i="16" s="1"/>
  <c r="AD117" i="16"/>
  <c r="AM117" i="16" s="1"/>
  <c r="F117" i="16"/>
  <c r="O117" i="16" s="1"/>
  <c r="CX117" i="15"/>
  <c r="DG117" i="15" s="1"/>
  <c r="BZ117" i="15"/>
  <c r="CI117" i="15" s="1"/>
  <c r="BB117" i="15"/>
  <c r="BK117" i="15" s="1"/>
  <c r="AD117" i="15"/>
  <c r="AM117" i="15" s="1"/>
  <c r="F117" i="15"/>
  <c r="O117" i="15" s="1"/>
  <c r="CX113" i="16"/>
  <c r="DG113" i="16" s="1"/>
  <c r="BZ113" i="16"/>
  <c r="CI113" i="16" s="1"/>
  <c r="BB113" i="16"/>
  <c r="BK113" i="16" s="1"/>
  <c r="AD113" i="16"/>
  <c r="AM113" i="16" s="1"/>
  <c r="F113" i="16"/>
  <c r="O113" i="16" s="1"/>
  <c r="CX113" i="15"/>
  <c r="DG113" i="15" s="1"/>
  <c r="BZ113" i="15"/>
  <c r="CI113" i="15" s="1"/>
  <c r="BB113" i="15"/>
  <c r="BK113" i="15" s="1"/>
  <c r="AD113" i="15"/>
  <c r="AM113" i="15" s="1"/>
  <c r="F113" i="15"/>
  <c r="O113" i="15" s="1"/>
  <c r="CX113" i="14"/>
  <c r="DG113" i="14" s="1"/>
  <c r="BZ113" i="14"/>
  <c r="CI113" i="14" s="1"/>
  <c r="BB113" i="14"/>
  <c r="BK113" i="14" s="1"/>
  <c r="AD113" i="14"/>
  <c r="AM113" i="14" s="1"/>
  <c r="F113" i="14"/>
  <c r="O113" i="14" s="1"/>
  <c r="BB114" i="13"/>
  <c r="BK114" i="13" s="1"/>
  <c r="BZ114" i="13"/>
  <c r="CI114" i="13" s="1"/>
  <c r="CX114" i="13"/>
  <c r="DG114" i="13" s="1"/>
  <c r="AD125" i="13"/>
  <c r="AM125" i="13" s="1"/>
  <c r="F125" i="13"/>
  <c r="O125" i="13" s="1"/>
  <c r="BZ125" i="16"/>
  <c r="CI125" i="16" s="1"/>
  <c r="BB125" i="16"/>
  <c r="BK125" i="16" s="1"/>
  <c r="AD125" i="16"/>
  <c r="AM125" i="16" s="1"/>
  <c r="F125" i="16"/>
  <c r="O125" i="16" s="1"/>
  <c r="CX125" i="15"/>
  <c r="DG125" i="15" s="1"/>
  <c r="F125" i="15"/>
  <c r="O125" i="15" s="1"/>
  <c r="BZ117" i="14"/>
  <c r="CI117" i="14" s="1"/>
  <c r="AD125" i="14"/>
  <c r="AM125" i="14" s="1"/>
  <c r="BZ126" i="13"/>
  <c r="CI126" i="13" s="1"/>
  <c r="AD121" i="13"/>
  <c r="AM121" i="13" s="1"/>
  <c r="BZ125" i="15"/>
  <c r="CI125" i="15" s="1"/>
  <c r="CX125" i="14"/>
  <c r="DG125" i="14" s="1"/>
  <c r="BB117" i="14"/>
  <c r="BK117" i="14" s="1"/>
  <c r="F117" i="14"/>
  <c r="O117" i="14" s="1"/>
  <c r="BB118" i="13"/>
  <c r="BK118" i="13" s="1"/>
  <c r="CX118" i="13"/>
  <c r="DG118" i="13" s="1"/>
  <c r="AD113" i="13"/>
  <c r="AM113" i="13" s="1"/>
  <c r="AR113" i="13" s="1"/>
  <c r="BB125" i="15"/>
  <c r="BK125" i="15" s="1"/>
  <c r="CX117" i="14"/>
  <c r="DG117" i="14" s="1"/>
  <c r="BB125" i="14"/>
  <c r="BK125" i="14" s="1"/>
  <c r="F125" i="14"/>
  <c r="O125" i="14" s="1"/>
  <c r="BB126" i="13"/>
  <c r="BK126" i="13" s="1"/>
  <c r="CX126" i="13"/>
  <c r="DG126" i="13" s="1"/>
  <c r="F121" i="13"/>
  <c r="O121" i="13" s="1"/>
  <c r="AD125" i="15"/>
  <c r="AM125" i="15" s="1"/>
  <c r="BZ125" i="14"/>
  <c r="CI125" i="14" s="1"/>
  <c r="AD117" i="14"/>
  <c r="AM117" i="14" s="1"/>
  <c r="BZ118" i="13"/>
  <c r="CI118" i="13" s="1"/>
  <c r="F113" i="13"/>
  <c r="O113" i="13" s="1"/>
  <c r="AW63" i="16"/>
  <c r="V14" i="8"/>
  <c r="AF16" i="2"/>
  <c r="W14" i="8" s="1"/>
  <c r="K18" i="2"/>
  <c r="Q17" i="8" s="1"/>
  <c r="R18" i="2"/>
  <c r="S17" i="8" s="1"/>
  <c r="Q20" i="2"/>
  <c r="Q22" i="2" s="1"/>
  <c r="Q26" i="2"/>
  <c r="R26" i="2" s="1"/>
  <c r="Q29" i="2"/>
  <c r="X16" i="2"/>
  <c r="AE20" i="2"/>
  <c r="X20" i="2"/>
  <c r="J23" i="2"/>
  <c r="J42" i="2" s="1"/>
  <c r="Q23" i="2"/>
  <c r="R23" i="2" s="1"/>
  <c r="Q24" i="2"/>
  <c r="CO76" i="14" l="1"/>
  <c r="CT76" i="14" s="1"/>
  <c r="CR76" i="14"/>
  <c r="AN78" i="14"/>
  <c r="AS78" i="14" s="1"/>
  <c r="AR78" i="14"/>
  <c r="AN76" i="16"/>
  <c r="AS76" i="16" s="1"/>
  <c r="AR76" i="16"/>
  <c r="BO78" i="16"/>
  <c r="BT78" i="16" s="1"/>
  <c r="BR78" i="16"/>
  <c r="N73" i="14"/>
  <c r="S73" i="14" s="1"/>
  <c r="R73" i="14"/>
  <c r="DO73" i="14"/>
  <c r="DT73" i="14" s="1"/>
  <c r="DR73" i="14"/>
  <c r="DO71" i="14"/>
  <c r="DT71" i="14" s="1"/>
  <c r="DR71" i="14"/>
  <c r="DN73" i="16"/>
  <c r="DS73" i="16" s="1"/>
  <c r="DR73" i="16"/>
  <c r="BO76" i="14"/>
  <c r="BT76" i="14" s="1"/>
  <c r="BR76" i="14"/>
  <c r="CN76" i="16"/>
  <c r="CS76" i="16" s="1"/>
  <c r="CR76" i="16"/>
  <c r="DN71" i="16"/>
  <c r="DS71" i="16" s="1"/>
  <c r="DR71" i="16"/>
  <c r="F41" i="13"/>
  <c r="F45" i="13"/>
  <c r="F49" i="13"/>
  <c r="F53" i="13"/>
  <c r="F40" i="13"/>
  <c r="F44" i="13"/>
  <c r="F48" i="13"/>
  <c r="F52" i="13"/>
  <c r="F39" i="13"/>
  <c r="F43" i="13"/>
  <c r="F47" i="13"/>
  <c r="F51" i="13"/>
  <c r="F46" i="13"/>
  <c r="F38" i="13"/>
  <c r="F42" i="13"/>
  <c r="F50" i="13"/>
  <c r="AO78" i="16"/>
  <c r="AT78" i="16" s="1"/>
  <c r="AR78" i="16"/>
  <c r="BN73" i="14"/>
  <c r="BS73" i="14" s="1"/>
  <c r="BR73" i="14"/>
  <c r="AN73" i="16"/>
  <c r="AS73" i="16" s="1"/>
  <c r="AR73" i="16"/>
  <c r="BN71" i="14"/>
  <c r="BS71" i="14" s="1"/>
  <c r="BR71" i="14"/>
  <c r="CO63" i="13"/>
  <c r="CT63" i="13" s="1"/>
  <c r="CR63" i="13"/>
  <c r="CW63" i="13" s="1"/>
  <c r="CW64" i="13" s="1"/>
  <c r="CW65" i="13" s="1"/>
  <c r="CW66" i="13" s="1"/>
  <c r="CW67" i="13" s="1"/>
  <c r="CW68" i="13" s="1"/>
  <c r="CW69" i="13" s="1"/>
  <c r="CW70" i="13" s="1"/>
  <c r="CW71" i="13" s="1"/>
  <c r="CW72" i="13" s="1"/>
  <c r="CW73" i="13" s="1"/>
  <c r="CW74" i="13" s="1"/>
  <c r="CW75" i="13" s="1"/>
  <c r="CW76" i="13" s="1"/>
  <c r="CW77" i="13" s="1"/>
  <c r="CW78" i="13" s="1"/>
  <c r="V162" i="13" s="1"/>
  <c r="V163" i="13" s="1"/>
  <c r="V165" i="13" s="1"/>
  <c r="V167" i="13" s="1"/>
  <c r="AO71" i="16"/>
  <c r="AT71" i="16" s="1"/>
  <c r="AR71" i="16"/>
  <c r="DN78" i="16"/>
  <c r="DS78" i="16" s="1"/>
  <c r="DR78" i="16"/>
  <c r="N71" i="13"/>
  <c r="S71" i="13" s="1"/>
  <c r="R71" i="13"/>
  <c r="DN76" i="14"/>
  <c r="DS76" i="14" s="1"/>
  <c r="DR76" i="14"/>
  <c r="BN78" i="14"/>
  <c r="BS78" i="14" s="1"/>
  <c r="BR78" i="14"/>
  <c r="CN73" i="14"/>
  <c r="CS73" i="14" s="1"/>
  <c r="CR73" i="14"/>
  <c r="BN71" i="13"/>
  <c r="BS71" i="13" s="1"/>
  <c r="BR71" i="13"/>
  <c r="BN71" i="16"/>
  <c r="BS71" i="16" s="1"/>
  <c r="BR71" i="16"/>
  <c r="N78" i="14"/>
  <c r="S78" i="14" s="1"/>
  <c r="R78" i="14"/>
  <c r="N76" i="13"/>
  <c r="S76" i="13" s="1"/>
  <c r="R76" i="13"/>
  <c r="N76" i="14"/>
  <c r="S76" i="14" s="1"/>
  <c r="R76" i="14"/>
  <c r="N78" i="16"/>
  <c r="S78" i="16" s="1"/>
  <c r="R78" i="16"/>
  <c r="N76" i="16"/>
  <c r="S76" i="16" s="1"/>
  <c r="R76" i="16"/>
  <c r="N71" i="16"/>
  <c r="S71" i="16" s="1"/>
  <c r="R71" i="16"/>
  <c r="N76" i="15"/>
  <c r="S76" i="15" s="1"/>
  <c r="R76" i="15"/>
  <c r="N78" i="15"/>
  <c r="S78" i="15" s="1"/>
  <c r="R78" i="15"/>
  <c r="N73" i="15"/>
  <c r="S73" i="15" s="1"/>
  <c r="R73" i="15"/>
  <c r="O63" i="15"/>
  <c r="T63" i="15" s="1"/>
  <c r="R63" i="15"/>
  <c r="W63" i="15" s="1"/>
  <c r="W64" i="15" s="1"/>
  <c r="W65" i="15" s="1"/>
  <c r="W66" i="15" s="1"/>
  <c r="W67" i="15" s="1"/>
  <c r="W68" i="15" s="1"/>
  <c r="W69" i="15" s="1"/>
  <c r="W70" i="15" s="1"/>
  <c r="W71" i="15" s="1"/>
  <c r="W72" i="15" s="1"/>
  <c r="AO76" i="13"/>
  <c r="AT76" i="13" s="1"/>
  <c r="AN73" i="13"/>
  <c r="AS73" i="13" s="1"/>
  <c r="CN78" i="13"/>
  <c r="CS78" i="13" s="1"/>
  <c r="DO78" i="16"/>
  <c r="DT78" i="16" s="1"/>
  <c r="O71" i="14"/>
  <c r="T71" i="14" s="1"/>
  <c r="N71" i="14"/>
  <c r="S71" i="14" s="1"/>
  <c r="O73" i="13"/>
  <c r="T73" i="13" s="1"/>
  <c r="N73" i="13"/>
  <c r="S73" i="13" s="1"/>
  <c r="BM71" i="15"/>
  <c r="BR71" i="15" s="1"/>
  <c r="N151" i="9"/>
  <c r="K156" i="9"/>
  <c r="P156" i="9" s="1"/>
  <c r="N156" i="9"/>
  <c r="CM76" i="15"/>
  <c r="CR76" i="15" s="1"/>
  <c r="J158" i="9"/>
  <c r="O158" i="9" s="1"/>
  <c r="N158" i="9"/>
  <c r="K153" i="9"/>
  <c r="P153" i="9" s="1"/>
  <c r="N153" i="9"/>
  <c r="CM63" i="15"/>
  <c r="N143" i="9"/>
  <c r="AL163" i="15"/>
  <c r="AL165" i="15" s="1"/>
  <c r="AL167" i="15" s="1"/>
  <c r="AL164" i="15"/>
  <c r="D33" i="12" s="1"/>
  <c r="AK164" i="16"/>
  <c r="D40" i="12" s="1"/>
  <c r="AK163" i="16"/>
  <c r="CN63" i="14"/>
  <c r="CS63" i="14" s="1"/>
  <c r="CW63" i="14"/>
  <c r="CW64" i="14" s="1"/>
  <c r="CW65" i="14" s="1"/>
  <c r="CW66" i="14" s="1"/>
  <c r="CW67" i="14" s="1"/>
  <c r="CW68" i="14" s="1"/>
  <c r="CW69" i="14" s="1"/>
  <c r="CW70" i="14" s="1"/>
  <c r="CW71" i="14" s="1"/>
  <c r="CW72" i="14" s="1"/>
  <c r="BW63" i="13"/>
  <c r="BW64" i="13" s="1"/>
  <c r="BW65" i="13" s="1"/>
  <c r="BW66" i="13" s="1"/>
  <c r="BW67" i="13" s="1"/>
  <c r="BW68" i="13" s="1"/>
  <c r="BW69" i="13" s="1"/>
  <c r="BW70" i="13" s="1"/>
  <c r="CN63" i="16"/>
  <c r="CS63" i="16" s="1"/>
  <c r="CW63" i="16"/>
  <c r="CW64" i="16" s="1"/>
  <c r="CW65" i="16" s="1"/>
  <c r="CW66" i="16" s="1"/>
  <c r="CW67" i="16" s="1"/>
  <c r="CW68" i="16" s="1"/>
  <c r="CW69" i="16" s="1"/>
  <c r="CW70" i="16" s="1"/>
  <c r="CW71" i="16" s="1"/>
  <c r="CW72" i="16" s="1"/>
  <c r="CW73" i="16" s="1"/>
  <c r="CW74" i="16" s="1"/>
  <c r="CW75" i="16" s="1"/>
  <c r="CO76" i="16"/>
  <c r="CT76" i="16" s="1"/>
  <c r="W63" i="14"/>
  <c r="W64" i="14" s="1"/>
  <c r="W65" i="14" s="1"/>
  <c r="W66" i="14" s="1"/>
  <c r="W67" i="14" s="1"/>
  <c r="W68" i="14" s="1"/>
  <c r="W69" i="14" s="1"/>
  <c r="W70" i="14" s="1"/>
  <c r="W71" i="14" s="1"/>
  <c r="W72" i="14" s="1"/>
  <c r="AW63" i="13"/>
  <c r="AW64" i="13" s="1"/>
  <c r="AW65" i="13" s="1"/>
  <c r="AW66" i="13" s="1"/>
  <c r="AW67" i="13" s="1"/>
  <c r="AW68" i="13" s="1"/>
  <c r="AW69" i="13" s="1"/>
  <c r="AW70" i="13" s="1"/>
  <c r="AW71" i="13" s="1"/>
  <c r="AW72" i="13" s="1"/>
  <c r="DW63" i="13"/>
  <c r="DW64" i="13" s="1"/>
  <c r="DW65" i="13" s="1"/>
  <c r="DW66" i="13" s="1"/>
  <c r="DW67" i="13" s="1"/>
  <c r="DW68" i="13" s="1"/>
  <c r="DW69" i="13" s="1"/>
  <c r="DW70" i="13" s="1"/>
  <c r="DW71" i="13" s="1"/>
  <c r="DW72" i="13" s="1"/>
  <c r="DW73" i="13" s="1"/>
  <c r="DW74" i="13" s="1"/>
  <c r="DW75" i="13" s="1"/>
  <c r="DW76" i="13" s="1"/>
  <c r="DW77" i="13" s="1"/>
  <c r="DW78" i="13" s="1"/>
  <c r="W162" i="13" s="1"/>
  <c r="W163" i="13" s="1"/>
  <c r="W165" i="13" s="1"/>
  <c r="W167" i="13" s="1"/>
  <c r="AW63" i="14"/>
  <c r="AW64" i="14" s="1"/>
  <c r="AW65" i="14" s="1"/>
  <c r="AW66" i="14" s="1"/>
  <c r="AW67" i="14" s="1"/>
  <c r="AW68" i="14" s="1"/>
  <c r="AW69" i="14" s="1"/>
  <c r="AW70" i="14" s="1"/>
  <c r="AW71" i="14" s="1"/>
  <c r="AW72" i="14" s="1"/>
  <c r="AW73" i="14" s="1"/>
  <c r="AW74" i="14" s="1"/>
  <c r="AW75" i="14" s="1"/>
  <c r="AW76" i="14" s="1"/>
  <c r="AW77" i="14" s="1"/>
  <c r="BN63" i="16"/>
  <c r="BS63" i="16" s="1"/>
  <c r="BW63" i="16"/>
  <c r="BW64" i="16" s="1"/>
  <c r="BW65" i="16" s="1"/>
  <c r="BW66" i="16" s="1"/>
  <c r="BW67" i="16" s="1"/>
  <c r="BW68" i="16" s="1"/>
  <c r="BW69" i="16" s="1"/>
  <c r="BW70" i="16" s="1"/>
  <c r="AX63" i="16"/>
  <c r="AX64" i="16" s="1"/>
  <c r="AX65" i="16" s="1"/>
  <c r="AX66" i="16" s="1"/>
  <c r="AX67" i="16" s="1"/>
  <c r="AX68" i="16" s="1"/>
  <c r="AX69" i="16" s="1"/>
  <c r="AX70" i="16" s="1"/>
  <c r="DO63" i="16"/>
  <c r="DT63" i="16" s="1"/>
  <c r="DW63" i="16"/>
  <c r="DW64" i="16" s="1"/>
  <c r="DW65" i="16" s="1"/>
  <c r="DW66" i="16" s="1"/>
  <c r="DW67" i="16" s="1"/>
  <c r="DW68" i="16" s="1"/>
  <c r="DW69" i="16" s="1"/>
  <c r="DW70" i="16" s="1"/>
  <c r="DN63" i="14"/>
  <c r="DS63" i="14" s="1"/>
  <c r="DW63" i="14"/>
  <c r="DW64" i="14" s="1"/>
  <c r="DW65" i="14" s="1"/>
  <c r="DW66" i="14" s="1"/>
  <c r="DW67" i="14" s="1"/>
  <c r="DW68" i="14" s="1"/>
  <c r="DW69" i="14" s="1"/>
  <c r="DW70" i="14" s="1"/>
  <c r="W63" i="13"/>
  <c r="W64" i="13" s="1"/>
  <c r="W65" i="13" s="1"/>
  <c r="W66" i="13" s="1"/>
  <c r="W67" i="13" s="1"/>
  <c r="W68" i="13" s="1"/>
  <c r="W69" i="13" s="1"/>
  <c r="W70" i="13" s="1"/>
  <c r="CO63" i="14"/>
  <c r="CT63" i="14" s="1"/>
  <c r="BN63" i="14"/>
  <c r="BS63" i="14" s="1"/>
  <c r="BW63" i="14"/>
  <c r="BW64" i="14" s="1"/>
  <c r="BW65" i="14" s="1"/>
  <c r="BW66" i="14" s="1"/>
  <c r="BW67" i="14" s="1"/>
  <c r="BW68" i="14" s="1"/>
  <c r="BW69" i="14" s="1"/>
  <c r="BW70" i="14" s="1"/>
  <c r="N63" i="16"/>
  <c r="S63" i="16" s="1"/>
  <c r="AJ164" i="16"/>
  <c r="H40" i="12" s="1"/>
  <c r="AJ163" i="16"/>
  <c r="AH164" i="15"/>
  <c r="AH163" i="15"/>
  <c r="AH165" i="15" s="1"/>
  <c r="AH167" i="15" s="1"/>
  <c r="AJ163" i="14"/>
  <c r="AJ165" i="14" s="1"/>
  <c r="AJ167" i="14" s="1"/>
  <c r="AJ164" i="14"/>
  <c r="AK163" i="15"/>
  <c r="AK165" i="15" s="1"/>
  <c r="AK167" i="15" s="1"/>
  <c r="AK164" i="15"/>
  <c r="AH164" i="13"/>
  <c r="AH163" i="13"/>
  <c r="AH165" i="13" s="1"/>
  <c r="AH167" i="13" s="1"/>
  <c r="AJ163" i="13"/>
  <c r="AJ165" i="13" s="1"/>
  <c r="AJ167" i="13" s="1"/>
  <c r="AJ164" i="13"/>
  <c r="AH163" i="16"/>
  <c r="AH164" i="16"/>
  <c r="G40" i="12" s="1"/>
  <c r="AJ164" i="15"/>
  <c r="AJ163" i="15"/>
  <c r="AJ165" i="15" s="1"/>
  <c r="AJ167" i="15" s="1"/>
  <c r="AI164" i="15"/>
  <c r="AI163" i="15"/>
  <c r="AI165" i="15" s="1"/>
  <c r="AI167" i="15" s="1"/>
  <c r="AL163" i="13"/>
  <c r="AL165" i="13" s="1"/>
  <c r="AL167" i="13" s="1"/>
  <c r="AL164" i="13"/>
  <c r="AG163" i="16"/>
  <c r="AG164" i="16"/>
  <c r="F40" i="12" s="1"/>
  <c r="AL164" i="14"/>
  <c r="AL163" i="14"/>
  <c r="AL165" i="14" s="1"/>
  <c r="AL167" i="14" s="1"/>
  <c r="AK164" i="14"/>
  <c r="AK163" i="14"/>
  <c r="AK165" i="14" s="1"/>
  <c r="AK167" i="14" s="1"/>
  <c r="AH164" i="14"/>
  <c r="AH163" i="14"/>
  <c r="AH165" i="14" s="1"/>
  <c r="AH167" i="14" s="1"/>
  <c r="AI164" i="13"/>
  <c r="AI163" i="13"/>
  <c r="AI165" i="13" s="1"/>
  <c r="AI167" i="13" s="1"/>
  <c r="AK163" i="13"/>
  <c r="AK165" i="13" s="1"/>
  <c r="AK167" i="13" s="1"/>
  <c r="AK164" i="13"/>
  <c r="AI164" i="16"/>
  <c r="E40" i="12" s="1"/>
  <c r="AI163" i="16"/>
  <c r="AI163" i="14"/>
  <c r="AI165" i="14" s="1"/>
  <c r="AI167" i="14" s="1"/>
  <c r="AI164" i="14"/>
  <c r="BM63" i="15"/>
  <c r="BM73" i="15"/>
  <c r="BR73" i="15" s="1"/>
  <c r="DN63" i="16"/>
  <c r="DS63" i="16" s="1"/>
  <c r="CO78" i="13"/>
  <c r="CT78" i="13" s="1"/>
  <c r="W63" i="16"/>
  <c r="W64" i="16" s="1"/>
  <c r="W65" i="16" s="1"/>
  <c r="W66" i="16" s="1"/>
  <c r="W67" i="16" s="1"/>
  <c r="W68" i="16" s="1"/>
  <c r="W69" i="16" s="1"/>
  <c r="W70" i="16" s="1"/>
  <c r="O63" i="16"/>
  <c r="T63" i="16" s="1"/>
  <c r="O76" i="13"/>
  <c r="T76" i="13" s="1"/>
  <c r="N63" i="15"/>
  <c r="S63" i="15" s="1"/>
  <c r="AN71" i="16"/>
  <c r="AS71" i="16" s="1"/>
  <c r="AN76" i="13"/>
  <c r="AS76" i="13" s="1"/>
  <c r="O76" i="14"/>
  <c r="T76" i="14" s="1"/>
  <c r="O76" i="15"/>
  <c r="T76" i="15" s="1"/>
  <c r="BN76" i="13"/>
  <c r="BS76" i="13" s="1"/>
  <c r="BO71" i="14"/>
  <c r="BT71" i="14" s="1"/>
  <c r="BN63" i="13"/>
  <c r="BS63" i="13" s="1"/>
  <c r="AO63" i="14"/>
  <c r="AT63" i="14" s="1"/>
  <c r="BO63" i="16"/>
  <c r="BT63" i="16" s="1"/>
  <c r="O73" i="14"/>
  <c r="T73" i="14" s="1"/>
  <c r="DO76" i="13"/>
  <c r="DT76" i="13" s="1"/>
  <c r="CN76" i="13"/>
  <c r="CS76" i="13" s="1"/>
  <c r="AN63" i="14"/>
  <c r="AS63" i="14" s="1"/>
  <c r="AN71" i="13"/>
  <c r="AS71" i="13" s="1"/>
  <c r="DN76" i="13"/>
  <c r="DS76" i="13" s="1"/>
  <c r="CO63" i="16"/>
  <c r="CT63" i="16" s="1"/>
  <c r="DN78" i="13"/>
  <c r="DS78" i="13" s="1"/>
  <c r="BM76" i="15"/>
  <c r="BR76" i="15" s="1"/>
  <c r="BN76" i="14"/>
  <c r="BS76" i="14" s="1"/>
  <c r="BO63" i="13"/>
  <c r="BT63" i="13" s="1"/>
  <c r="N71" i="15"/>
  <c r="S71" i="15" s="1"/>
  <c r="CO73" i="16"/>
  <c r="CT73" i="16" s="1"/>
  <c r="N73" i="16"/>
  <c r="S73" i="16" s="1"/>
  <c r="AO73" i="16"/>
  <c r="AT73" i="16" s="1"/>
  <c r="AO63" i="13"/>
  <c r="AT63" i="13" s="1"/>
  <c r="O63" i="14"/>
  <c r="T63" i="14" s="1"/>
  <c r="AO76" i="14"/>
  <c r="AT76" i="14" s="1"/>
  <c r="AN63" i="13"/>
  <c r="AS63" i="13" s="1"/>
  <c r="CN63" i="13"/>
  <c r="CS63" i="13" s="1"/>
  <c r="N63" i="14"/>
  <c r="S63" i="14" s="1"/>
  <c r="CN73" i="16"/>
  <c r="CS73" i="16" s="1"/>
  <c r="CO71" i="13"/>
  <c r="CT71" i="13" s="1"/>
  <c r="BN73" i="13"/>
  <c r="BS73" i="13" s="1"/>
  <c r="AN76" i="14"/>
  <c r="AS76" i="14" s="1"/>
  <c r="O76" i="16"/>
  <c r="T76" i="16" s="1"/>
  <c r="DO63" i="13"/>
  <c r="DT63" i="13" s="1"/>
  <c r="O63" i="13"/>
  <c r="T63" i="13" s="1"/>
  <c r="DO63" i="14"/>
  <c r="DT63" i="14" s="1"/>
  <c r="O78" i="14"/>
  <c r="T78" i="14" s="1"/>
  <c r="O71" i="15"/>
  <c r="T71" i="15" s="1"/>
  <c r="DN71" i="13"/>
  <c r="DS71" i="13" s="1"/>
  <c r="CN71" i="13"/>
  <c r="CS71" i="13" s="1"/>
  <c r="BO73" i="14"/>
  <c r="BT73" i="14" s="1"/>
  <c r="O73" i="16"/>
  <c r="T73" i="16" s="1"/>
  <c r="BO76" i="13"/>
  <c r="BT76" i="13" s="1"/>
  <c r="DN63" i="13"/>
  <c r="DS63" i="13" s="1"/>
  <c r="N63" i="13"/>
  <c r="S63" i="13" s="1"/>
  <c r="K143" i="9"/>
  <c r="P143" i="9" s="1"/>
  <c r="AM63" i="15"/>
  <c r="AR63" i="15" s="1"/>
  <c r="J143" i="9"/>
  <c r="O143" i="9" s="1"/>
  <c r="DM63" i="15"/>
  <c r="DR63" i="15" s="1"/>
  <c r="DO76" i="16"/>
  <c r="DT76" i="16" s="1"/>
  <c r="DN76" i="16"/>
  <c r="DS76" i="16" s="1"/>
  <c r="DO76" i="14"/>
  <c r="DT76" i="14" s="1"/>
  <c r="AO76" i="16"/>
  <c r="AT76" i="16" s="1"/>
  <c r="DM71" i="15"/>
  <c r="DR71" i="15" s="1"/>
  <c r="DM76" i="15"/>
  <c r="DR76" i="15" s="1"/>
  <c r="BO63" i="14"/>
  <c r="BT63" i="14" s="1"/>
  <c r="J151" i="9"/>
  <c r="O151" i="9" s="1"/>
  <c r="J156" i="9"/>
  <c r="O156" i="9" s="1"/>
  <c r="AM76" i="15"/>
  <c r="AR76" i="15" s="1"/>
  <c r="CO76" i="13"/>
  <c r="CT76" i="13" s="1"/>
  <c r="CO71" i="14"/>
  <c r="CT71" i="14" s="1"/>
  <c r="K151" i="9"/>
  <c r="P151" i="9" s="1"/>
  <c r="CN71" i="14"/>
  <c r="CS71" i="14" s="1"/>
  <c r="AM71" i="15"/>
  <c r="AR71" i="15" s="1"/>
  <c r="DO73" i="16"/>
  <c r="DT73" i="16" s="1"/>
  <c r="DN73" i="14"/>
  <c r="DS73" i="14" s="1"/>
  <c r="AO71" i="14"/>
  <c r="AT71" i="14" s="1"/>
  <c r="DO71" i="13"/>
  <c r="DT71" i="13" s="1"/>
  <c r="DN71" i="14"/>
  <c r="DS71" i="14" s="1"/>
  <c r="CM71" i="15"/>
  <c r="CR71" i="15" s="1"/>
  <c r="BO73" i="13"/>
  <c r="BT73" i="13" s="1"/>
  <c r="AN71" i="14"/>
  <c r="AS71" i="14" s="1"/>
  <c r="AN78" i="13"/>
  <c r="AS78" i="13" s="1"/>
  <c r="O71" i="16"/>
  <c r="T71" i="16" s="1"/>
  <c r="AO71" i="13"/>
  <c r="AT71" i="13" s="1"/>
  <c r="O71" i="13"/>
  <c r="T71" i="13" s="1"/>
  <c r="CN73" i="13"/>
  <c r="CS73" i="13" s="1"/>
  <c r="DO78" i="13"/>
  <c r="DT78" i="13" s="1"/>
  <c r="CO73" i="14"/>
  <c r="CT73" i="14" s="1"/>
  <c r="AO73" i="14"/>
  <c r="AT73" i="14" s="1"/>
  <c r="CM73" i="15"/>
  <c r="CR73" i="15" s="1"/>
  <c r="BO71" i="13"/>
  <c r="BT71" i="13" s="1"/>
  <c r="BO71" i="16"/>
  <c r="BT71" i="16" s="1"/>
  <c r="DO71" i="16"/>
  <c r="DT71" i="16" s="1"/>
  <c r="AN73" i="14"/>
  <c r="AS73" i="14" s="1"/>
  <c r="DM73" i="15"/>
  <c r="DR73" i="15" s="1"/>
  <c r="BM78" i="15"/>
  <c r="BR78" i="15" s="1"/>
  <c r="CO73" i="13"/>
  <c r="CT73" i="13" s="1"/>
  <c r="AM73" i="15"/>
  <c r="J153" i="9"/>
  <c r="O153" i="9" s="1"/>
  <c r="AO78" i="13"/>
  <c r="AT78" i="13" s="1"/>
  <c r="DO73" i="13"/>
  <c r="DT73" i="13" s="1"/>
  <c r="AO73" i="13"/>
  <c r="AT73" i="13" s="1"/>
  <c r="O78" i="13"/>
  <c r="T78" i="13" s="1"/>
  <c r="DN73" i="13"/>
  <c r="DS73" i="13" s="1"/>
  <c r="CM78" i="15"/>
  <c r="CR78" i="15" s="1"/>
  <c r="O73" i="15"/>
  <c r="T73" i="15" s="1"/>
  <c r="O78" i="15"/>
  <c r="T78" i="15" s="1"/>
  <c r="BN78" i="16"/>
  <c r="BS78" i="16" s="1"/>
  <c r="R24" i="2"/>
  <c r="Q42" i="2"/>
  <c r="R20" i="8" s="1"/>
  <c r="N78" i="13"/>
  <c r="S78" i="13" s="1"/>
  <c r="J69" i="2"/>
  <c r="Y20" i="2"/>
  <c r="X22" i="2"/>
  <c r="AF20" i="2"/>
  <c r="AE22" i="2"/>
  <c r="AE42" i="2" s="1"/>
  <c r="R29" i="2"/>
  <c r="AM78" i="15"/>
  <c r="AR78" i="15" s="1"/>
  <c r="AN78" i="16"/>
  <c r="AS78" i="16" s="1"/>
  <c r="CN78" i="14"/>
  <c r="CS78" i="14" s="1"/>
  <c r="DN78" i="14"/>
  <c r="DS78" i="14" s="1"/>
  <c r="K158" i="9"/>
  <c r="P158" i="9" s="1"/>
  <c r="CO78" i="14"/>
  <c r="CT78" i="14" s="1"/>
  <c r="DO78" i="14"/>
  <c r="DT78" i="14" s="1"/>
  <c r="DM78" i="15"/>
  <c r="DR78" i="15" s="1"/>
  <c r="AO78" i="14"/>
  <c r="AT78" i="14" s="1"/>
  <c r="BO78" i="13"/>
  <c r="BT78" i="13" s="1"/>
  <c r="BN78" i="13"/>
  <c r="BS78" i="13" s="1"/>
  <c r="O78" i="16"/>
  <c r="T78" i="16" s="1"/>
  <c r="BO78" i="14"/>
  <c r="BT78" i="14" s="1"/>
  <c r="DN65" i="15"/>
  <c r="DS65" i="15" s="1"/>
  <c r="DO65" i="15"/>
  <c r="DT65" i="15" s="1"/>
  <c r="AN65" i="15"/>
  <c r="AS65" i="15" s="1"/>
  <c r="AO65" i="15"/>
  <c r="AT65" i="15" s="1"/>
  <c r="CN65" i="15"/>
  <c r="CS65" i="15" s="1"/>
  <c r="CO65" i="15"/>
  <c r="CT65" i="15" s="1"/>
  <c r="BN65" i="15"/>
  <c r="BS65" i="15" s="1"/>
  <c r="BO65" i="15"/>
  <c r="BT65" i="15" s="1"/>
  <c r="BN77" i="15"/>
  <c r="BS77" i="15" s="1"/>
  <c r="BO77" i="15"/>
  <c r="BT77" i="15" s="1"/>
  <c r="CN77" i="15"/>
  <c r="CS77" i="15" s="1"/>
  <c r="CO77" i="15"/>
  <c r="CT77" i="15" s="1"/>
  <c r="DN77" i="15"/>
  <c r="DS77" i="15" s="1"/>
  <c r="DO77" i="15"/>
  <c r="DT77" i="15" s="1"/>
  <c r="AN77" i="15"/>
  <c r="AS77" i="15" s="1"/>
  <c r="AO77" i="15"/>
  <c r="AT77" i="15" s="1"/>
  <c r="CN75" i="15"/>
  <c r="CS75" i="15" s="1"/>
  <c r="CO75" i="15"/>
  <c r="CT75" i="15" s="1"/>
  <c r="AN75" i="15"/>
  <c r="AS75" i="15" s="1"/>
  <c r="AO75" i="15"/>
  <c r="AT75" i="15" s="1"/>
  <c r="BN75" i="15"/>
  <c r="BS75" i="15" s="1"/>
  <c r="BO75" i="15"/>
  <c r="BT75" i="15" s="1"/>
  <c r="DN75" i="15"/>
  <c r="DS75" i="15" s="1"/>
  <c r="DO75" i="15"/>
  <c r="DT75" i="15" s="1"/>
  <c r="DN74" i="15"/>
  <c r="DS74" i="15" s="1"/>
  <c r="DO74" i="15"/>
  <c r="DT74" i="15" s="1"/>
  <c r="BN74" i="15"/>
  <c r="BS74" i="15" s="1"/>
  <c r="BO74" i="15"/>
  <c r="BT74" i="15" s="1"/>
  <c r="CN74" i="15"/>
  <c r="CS74" i="15" s="1"/>
  <c r="CO74" i="15"/>
  <c r="CT74" i="15" s="1"/>
  <c r="AN74" i="15"/>
  <c r="AS74" i="15" s="1"/>
  <c r="AO74" i="15"/>
  <c r="AT74" i="15" s="1"/>
  <c r="CN72" i="15"/>
  <c r="CS72" i="15" s="1"/>
  <c r="CO72" i="15"/>
  <c r="CT72" i="15" s="1"/>
  <c r="DN72" i="15"/>
  <c r="DS72" i="15" s="1"/>
  <c r="DO72" i="15"/>
  <c r="DT72" i="15" s="1"/>
  <c r="AN72" i="15"/>
  <c r="AS72" i="15" s="1"/>
  <c r="AO72" i="15"/>
  <c r="AT72" i="15" s="1"/>
  <c r="BN72" i="15"/>
  <c r="BS72" i="15" s="1"/>
  <c r="BO72" i="15"/>
  <c r="BT72" i="15" s="1"/>
  <c r="AN69" i="15"/>
  <c r="AS69" i="15" s="1"/>
  <c r="AO69" i="15"/>
  <c r="AT69" i="15" s="1"/>
  <c r="BN69" i="15"/>
  <c r="BS69" i="15" s="1"/>
  <c r="BO69" i="15"/>
  <c r="BT69" i="15" s="1"/>
  <c r="DN69" i="15"/>
  <c r="DS69" i="15" s="1"/>
  <c r="DO69" i="15"/>
  <c r="DT69" i="15" s="1"/>
  <c r="CN69" i="15"/>
  <c r="CS69" i="15" s="1"/>
  <c r="CO69" i="15"/>
  <c r="CT69" i="15" s="1"/>
  <c r="AN68" i="15"/>
  <c r="AS68" i="15" s="1"/>
  <c r="AO68" i="15"/>
  <c r="AT68" i="15" s="1"/>
  <c r="BN68" i="15"/>
  <c r="BS68" i="15" s="1"/>
  <c r="BO68" i="15"/>
  <c r="BT68" i="15" s="1"/>
  <c r="CN68" i="15"/>
  <c r="CS68" i="15" s="1"/>
  <c r="CO68" i="15"/>
  <c r="CT68" i="15" s="1"/>
  <c r="DN68" i="15"/>
  <c r="DS68" i="15" s="1"/>
  <c r="DO68" i="15"/>
  <c r="DT68" i="15" s="1"/>
  <c r="AN67" i="15"/>
  <c r="AS67" i="15" s="1"/>
  <c r="AO67" i="15"/>
  <c r="AT67" i="15" s="1"/>
  <c r="CN67" i="15"/>
  <c r="CS67" i="15" s="1"/>
  <c r="CO67" i="15"/>
  <c r="CT67" i="15" s="1"/>
  <c r="BN67" i="15"/>
  <c r="BS67" i="15" s="1"/>
  <c r="BO67" i="15"/>
  <c r="BT67" i="15" s="1"/>
  <c r="DN67" i="15"/>
  <c r="DS67" i="15" s="1"/>
  <c r="DO67" i="15"/>
  <c r="DT67" i="15" s="1"/>
  <c r="DN64" i="15"/>
  <c r="DS64" i="15" s="1"/>
  <c r="DO64" i="15"/>
  <c r="DT64" i="15" s="1"/>
  <c r="AN64" i="15"/>
  <c r="AS64" i="15" s="1"/>
  <c r="AO64" i="15"/>
  <c r="AT64" i="15" s="1"/>
  <c r="BN64" i="15"/>
  <c r="BS64" i="15" s="1"/>
  <c r="BO64" i="15"/>
  <c r="BT64" i="15" s="1"/>
  <c r="CN64" i="15"/>
  <c r="CS64" i="15" s="1"/>
  <c r="CO64" i="15"/>
  <c r="CT64" i="15" s="1"/>
  <c r="AW64" i="16"/>
  <c r="AW65" i="16" s="1"/>
  <c r="AW66" i="16" s="1"/>
  <c r="AW67" i="16" s="1"/>
  <c r="AW68" i="16" s="1"/>
  <c r="AW69" i="16" s="1"/>
  <c r="AW70" i="16" s="1"/>
  <c r="BC126" i="13"/>
  <c r="BI126" i="13" s="1"/>
  <c r="BN126" i="13" s="1"/>
  <c r="AE121" i="13"/>
  <c r="AK121" i="13" s="1"/>
  <c r="AP121" i="13" s="1"/>
  <c r="BC125" i="16"/>
  <c r="BI125" i="16" s="1"/>
  <c r="BN125" i="16" s="1"/>
  <c r="AR113" i="14"/>
  <c r="AE113" i="14"/>
  <c r="DL113" i="15"/>
  <c r="CY113" i="15"/>
  <c r="BC117" i="15"/>
  <c r="BI117" i="15" s="1"/>
  <c r="BN117" i="15" s="1"/>
  <c r="BC122" i="13"/>
  <c r="BI122" i="13" s="1"/>
  <c r="BN122" i="13" s="1"/>
  <c r="BC121" i="15"/>
  <c r="BI121" i="15" s="1"/>
  <c r="BN121" i="15" s="1"/>
  <c r="CY124" i="13"/>
  <c r="DE124" i="13" s="1"/>
  <c r="DJ124" i="13" s="1"/>
  <c r="AE123" i="14"/>
  <c r="AK123" i="14" s="1"/>
  <c r="AP123" i="14" s="1"/>
  <c r="G119" i="15"/>
  <c r="M119" i="15" s="1"/>
  <c r="R119" i="15" s="1"/>
  <c r="AE119" i="16"/>
  <c r="AK119" i="16" s="1"/>
  <c r="AP119" i="16" s="1"/>
  <c r="CY120" i="13"/>
  <c r="DE120" i="13" s="1"/>
  <c r="DJ120" i="13" s="1"/>
  <c r="BC120" i="13"/>
  <c r="BI120" i="13" s="1"/>
  <c r="BN120" i="13" s="1"/>
  <c r="G123" i="15"/>
  <c r="M123" i="15" s="1"/>
  <c r="R123" i="15" s="1"/>
  <c r="BC123" i="15"/>
  <c r="BI123" i="15" s="1"/>
  <c r="BN123" i="15" s="1"/>
  <c r="CA123" i="16"/>
  <c r="CG123" i="16" s="1"/>
  <c r="CL123" i="16" s="1"/>
  <c r="G128" i="13"/>
  <c r="M128" i="13" s="1"/>
  <c r="R128" i="13" s="1"/>
  <c r="CN113" i="13"/>
  <c r="CA113" i="13"/>
  <c r="BP113" i="13"/>
  <c r="BC113" i="13"/>
  <c r="BC128" i="14"/>
  <c r="BI128" i="14" s="1"/>
  <c r="BN128" i="14" s="1"/>
  <c r="G114" i="15"/>
  <c r="M114" i="15" s="1"/>
  <c r="R114" i="15" s="1"/>
  <c r="AE114" i="15"/>
  <c r="AK114" i="15" s="1"/>
  <c r="AP114" i="15" s="1"/>
  <c r="CY114" i="15"/>
  <c r="DE114" i="15" s="1"/>
  <c r="DJ114" i="15" s="1"/>
  <c r="G114" i="16"/>
  <c r="M114" i="16" s="1"/>
  <c r="R114" i="16" s="1"/>
  <c r="AE114" i="16"/>
  <c r="AK114" i="16" s="1"/>
  <c r="AP114" i="16" s="1"/>
  <c r="CY114" i="16"/>
  <c r="DE114" i="16" s="1"/>
  <c r="DJ114" i="16" s="1"/>
  <c r="CY127" i="16"/>
  <c r="DE127" i="16" s="1"/>
  <c r="DJ127" i="16" s="1"/>
  <c r="CY115" i="13"/>
  <c r="DE115" i="13" s="1"/>
  <c r="DJ115" i="13" s="1"/>
  <c r="CA115" i="13"/>
  <c r="CG115" i="13" s="1"/>
  <c r="CL115" i="13" s="1"/>
  <c r="AE114" i="14"/>
  <c r="AK114" i="14" s="1"/>
  <c r="AP114" i="14" s="1"/>
  <c r="BC114" i="14"/>
  <c r="BI114" i="14" s="1"/>
  <c r="BN114" i="14" s="1"/>
  <c r="G128" i="15"/>
  <c r="M128" i="15" s="1"/>
  <c r="R128" i="15" s="1"/>
  <c r="AE128" i="15"/>
  <c r="AK128" i="15" s="1"/>
  <c r="AP128" i="15" s="1"/>
  <c r="CY128" i="15"/>
  <c r="DE128" i="15" s="1"/>
  <c r="DJ128" i="15" s="1"/>
  <c r="G128" i="16"/>
  <c r="M128" i="16" s="1"/>
  <c r="R128" i="16" s="1"/>
  <c r="CA128" i="16"/>
  <c r="CG128" i="16" s="1"/>
  <c r="CL128" i="16" s="1"/>
  <c r="CA99" i="14"/>
  <c r="CG99" i="14" s="1"/>
  <c r="CL99" i="14" s="1"/>
  <c r="BC99" i="13"/>
  <c r="BI99" i="13" s="1"/>
  <c r="BN99" i="13" s="1"/>
  <c r="AE99" i="15"/>
  <c r="AK99" i="15" s="1"/>
  <c r="AP99" i="15" s="1"/>
  <c r="G91" i="14"/>
  <c r="M91" i="14" s="1"/>
  <c r="R91" i="14" s="1"/>
  <c r="CA91" i="15"/>
  <c r="CG91" i="15" s="1"/>
  <c r="CL91" i="15" s="1"/>
  <c r="G95" i="14"/>
  <c r="M95" i="14" s="1"/>
  <c r="R95" i="14" s="1"/>
  <c r="CA95" i="15"/>
  <c r="CG95" i="15" s="1"/>
  <c r="CL95" i="15" s="1"/>
  <c r="BC95" i="16"/>
  <c r="BI95" i="16" s="1"/>
  <c r="BN95" i="16" s="1"/>
  <c r="CY103" i="14"/>
  <c r="DE103" i="14" s="1"/>
  <c r="DJ103" i="14" s="1"/>
  <c r="CA103" i="15"/>
  <c r="CG103" i="15" s="1"/>
  <c r="CL103" i="15" s="1"/>
  <c r="BC101" i="13"/>
  <c r="BI101" i="13" s="1"/>
  <c r="BN101" i="13" s="1"/>
  <c r="AE101" i="14"/>
  <c r="AK101" i="14" s="1"/>
  <c r="AP101" i="14" s="1"/>
  <c r="CA101" i="14"/>
  <c r="CG101" i="14" s="1"/>
  <c r="CL101" i="14" s="1"/>
  <c r="BC101" i="15"/>
  <c r="BI101" i="15" s="1"/>
  <c r="BN101" i="15" s="1"/>
  <c r="AE101" i="16"/>
  <c r="AK101" i="16" s="1"/>
  <c r="AP101" i="16" s="1"/>
  <c r="CA101" i="16"/>
  <c r="CG101" i="16" s="1"/>
  <c r="CL101" i="16" s="1"/>
  <c r="BC97" i="13"/>
  <c r="BI97" i="13" s="1"/>
  <c r="BN97" i="13" s="1"/>
  <c r="CY97" i="13"/>
  <c r="DE97" i="13" s="1"/>
  <c r="DJ97" i="13" s="1"/>
  <c r="AE97" i="14"/>
  <c r="AK97" i="14" s="1"/>
  <c r="AP97" i="14" s="1"/>
  <c r="CA97" i="14"/>
  <c r="CG97" i="14" s="1"/>
  <c r="CL97" i="14" s="1"/>
  <c r="G97" i="15"/>
  <c r="M97" i="15" s="1"/>
  <c r="R97" i="15" s="1"/>
  <c r="CY97" i="15"/>
  <c r="DE97" i="15" s="1"/>
  <c r="DJ97" i="15" s="1"/>
  <c r="AE97" i="16"/>
  <c r="AK97" i="16" s="1"/>
  <c r="AP97" i="16" s="1"/>
  <c r="CA97" i="16"/>
  <c r="CG97" i="16" s="1"/>
  <c r="CL97" i="16" s="1"/>
  <c r="G99" i="13"/>
  <c r="M99" i="13" s="1"/>
  <c r="R99" i="13" s="1"/>
  <c r="AE92" i="13"/>
  <c r="AK92" i="13" s="1"/>
  <c r="AP92" i="13" s="1"/>
  <c r="BC92" i="13"/>
  <c r="BI92" i="13" s="1"/>
  <c r="BN92" i="13" s="1"/>
  <c r="CA92" i="13"/>
  <c r="CG92" i="13" s="1"/>
  <c r="CL92" i="13" s="1"/>
  <c r="CY92" i="13"/>
  <c r="DE92" i="13" s="1"/>
  <c r="DJ92" i="13" s="1"/>
  <c r="G92" i="14"/>
  <c r="M92" i="14" s="1"/>
  <c r="R92" i="14" s="1"/>
  <c r="AE92" i="14"/>
  <c r="AK92" i="14" s="1"/>
  <c r="AP92" i="14" s="1"/>
  <c r="BC92" i="14"/>
  <c r="BI92" i="14" s="1"/>
  <c r="BN92" i="14" s="1"/>
  <c r="CA92" i="14"/>
  <c r="CG92" i="14" s="1"/>
  <c r="CL92" i="14" s="1"/>
  <c r="CY92" i="14"/>
  <c r="DE92" i="14" s="1"/>
  <c r="DJ92" i="14" s="1"/>
  <c r="G92" i="15"/>
  <c r="M92" i="15" s="1"/>
  <c r="R92" i="15" s="1"/>
  <c r="AE92" i="15"/>
  <c r="AK92" i="15" s="1"/>
  <c r="AP92" i="15" s="1"/>
  <c r="BC92" i="15"/>
  <c r="BI92" i="15" s="1"/>
  <c r="BN92" i="15" s="1"/>
  <c r="CA92" i="15"/>
  <c r="CG92" i="15" s="1"/>
  <c r="CL92" i="15" s="1"/>
  <c r="CY92" i="15"/>
  <c r="DE92" i="15" s="1"/>
  <c r="DJ92" i="15" s="1"/>
  <c r="G92" i="16"/>
  <c r="M92" i="16" s="1"/>
  <c r="R92" i="16" s="1"/>
  <c r="AE92" i="16"/>
  <c r="AK92" i="16" s="1"/>
  <c r="AP92" i="16" s="1"/>
  <c r="BC92" i="16"/>
  <c r="BI92" i="16" s="1"/>
  <c r="BN92" i="16" s="1"/>
  <c r="CA92" i="16"/>
  <c r="CG92" i="16" s="1"/>
  <c r="CL92" i="16" s="1"/>
  <c r="CY92" i="16"/>
  <c r="DE92" i="16" s="1"/>
  <c r="DJ92" i="16" s="1"/>
  <c r="G97" i="13"/>
  <c r="M97" i="13" s="1"/>
  <c r="R97" i="13" s="1"/>
  <c r="AE94" i="13"/>
  <c r="AK94" i="13" s="1"/>
  <c r="AP94" i="13" s="1"/>
  <c r="BC94" i="13"/>
  <c r="BI94" i="13" s="1"/>
  <c r="BN94" i="13" s="1"/>
  <c r="CA94" i="13"/>
  <c r="CG94" i="13" s="1"/>
  <c r="CL94" i="13" s="1"/>
  <c r="CY94" i="13"/>
  <c r="DE94" i="13" s="1"/>
  <c r="DJ94" i="13" s="1"/>
  <c r="G94" i="14"/>
  <c r="M94" i="14" s="1"/>
  <c r="R94" i="14" s="1"/>
  <c r="AE94" i="14"/>
  <c r="AK94" i="14" s="1"/>
  <c r="AP94" i="14" s="1"/>
  <c r="BC94" i="14"/>
  <c r="BI94" i="14" s="1"/>
  <c r="BN94" i="14" s="1"/>
  <c r="CA94" i="14"/>
  <c r="CG94" i="14" s="1"/>
  <c r="CL94" i="14" s="1"/>
  <c r="CY94" i="14"/>
  <c r="DE94" i="14" s="1"/>
  <c r="DJ94" i="14" s="1"/>
  <c r="AE94" i="15"/>
  <c r="AK94" i="15" s="1"/>
  <c r="AP94" i="15" s="1"/>
  <c r="BC94" i="15"/>
  <c r="BI94" i="15" s="1"/>
  <c r="BN94" i="15" s="1"/>
  <c r="CA94" i="15"/>
  <c r="CG94" i="15" s="1"/>
  <c r="CL94" i="15" s="1"/>
  <c r="CY94" i="15"/>
  <c r="DE94" i="15" s="1"/>
  <c r="DJ94" i="15" s="1"/>
  <c r="G94" i="16"/>
  <c r="M94" i="16" s="1"/>
  <c r="R94" i="16" s="1"/>
  <c r="AE94" i="16"/>
  <c r="AK94" i="16" s="1"/>
  <c r="AP94" i="16" s="1"/>
  <c r="BC94" i="16"/>
  <c r="BI94" i="16" s="1"/>
  <c r="BN94" i="16" s="1"/>
  <c r="CA94" i="16"/>
  <c r="CG94" i="16" s="1"/>
  <c r="CL94" i="16" s="1"/>
  <c r="CY94" i="16"/>
  <c r="DE94" i="16" s="1"/>
  <c r="DJ94" i="16" s="1"/>
  <c r="T113" i="13"/>
  <c r="G113" i="13"/>
  <c r="AE125" i="15"/>
  <c r="AK125" i="15" s="1"/>
  <c r="AP125" i="15" s="1"/>
  <c r="G125" i="14"/>
  <c r="M125" i="14" s="1"/>
  <c r="R125" i="14" s="1"/>
  <c r="AE113" i="13"/>
  <c r="BC117" i="14"/>
  <c r="BI117" i="14" s="1"/>
  <c r="BN117" i="14" s="1"/>
  <c r="CA126" i="13"/>
  <c r="CG126" i="13" s="1"/>
  <c r="CL126" i="13" s="1"/>
  <c r="CY125" i="15"/>
  <c r="DE125" i="15" s="1"/>
  <c r="DJ125" i="15" s="1"/>
  <c r="CA125" i="16"/>
  <c r="CG125" i="16" s="1"/>
  <c r="CL125" i="16" s="1"/>
  <c r="CA114" i="13"/>
  <c r="CG114" i="13" s="1"/>
  <c r="CL114" i="13" s="1"/>
  <c r="BP113" i="14"/>
  <c r="BC113" i="14"/>
  <c r="AR113" i="15"/>
  <c r="AE113" i="15"/>
  <c r="T113" i="16"/>
  <c r="G113" i="16"/>
  <c r="DL113" i="16"/>
  <c r="CY113" i="16"/>
  <c r="CA117" i="15"/>
  <c r="CG117" i="15" s="1"/>
  <c r="CL117" i="15" s="1"/>
  <c r="BC117" i="16"/>
  <c r="BI117" i="16" s="1"/>
  <c r="BN117" i="16" s="1"/>
  <c r="AE117" i="13"/>
  <c r="AK117" i="13" s="1"/>
  <c r="AP117" i="13" s="1"/>
  <c r="G121" i="14"/>
  <c r="M121" i="14" s="1"/>
  <c r="R121" i="14" s="1"/>
  <c r="CY121" i="14"/>
  <c r="DE121" i="14" s="1"/>
  <c r="DJ121" i="14" s="1"/>
  <c r="CA121" i="15"/>
  <c r="CG121" i="15" s="1"/>
  <c r="CL121" i="15" s="1"/>
  <c r="BC121" i="16"/>
  <c r="BI121" i="16" s="1"/>
  <c r="BN121" i="16" s="1"/>
  <c r="G119" i="13"/>
  <c r="M119" i="13" s="1"/>
  <c r="R119" i="13" s="1"/>
  <c r="CY116" i="13"/>
  <c r="DE116" i="13" s="1"/>
  <c r="DJ116" i="13" s="1"/>
  <c r="BC116" i="13"/>
  <c r="BI116" i="13" s="1"/>
  <c r="BN116" i="13" s="1"/>
  <c r="AE115" i="14"/>
  <c r="AK115" i="14" s="1"/>
  <c r="AP115" i="14" s="1"/>
  <c r="CA127" i="14"/>
  <c r="CG127" i="14" s="1"/>
  <c r="CL127" i="14" s="1"/>
  <c r="G127" i="15"/>
  <c r="M127" i="15" s="1"/>
  <c r="R127" i="15" s="1"/>
  <c r="BC127" i="15"/>
  <c r="BI127" i="15" s="1"/>
  <c r="BN127" i="15" s="1"/>
  <c r="CY127" i="15"/>
  <c r="DE127" i="15" s="1"/>
  <c r="DJ127" i="15" s="1"/>
  <c r="AE127" i="16"/>
  <c r="AK127" i="16" s="1"/>
  <c r="AP127" i="16" s="1"/>
  <c r="CA127" i="16"/>
  <c r="CG127" i="16" s="1"/>
  <c r="CL127" i="16" s="1"/>
  <c r="AE123" i="13"/>
  <c r="AK123" i="13" s="1"/>
  <c r="AP123" i="13" s="1"/>
  <c r="CA128" i="13"/>
  <c r="CG128" i="13" s="1"/>
  <c r="CL128" i="13" s="1"/>
  <c r="G127" i="14"/>
  <c r="M127" i="14" s="1"/>
  <c r="R127" i="14" s="1"/>
  <c r="BC127" i="14"/>
  <c r="BI127" i="14" s="1"/>
  <c r="BN127" i="14" s="1"/>
  <c r="CY115" i="14"/>
  <c r="DE115" i="14" s="1"/>
  <c r="DJ115" i="14" s="1"/>
  <c r="AE115" i="15"/>
  <c r="AK115" i="15" s="1"/>
  <c r="AP115" i="15" s="1"/>
  <c r="CA115" i="15"/>
  <c r="CG115" i="15" s="1"/>
  <c r="CL115" i="15" s="1"/>
  <c r="G115" i="16"/>
  <c r="M115" i="16" s="1"/>
  <c r="R115" i="16" s="1"/>
  <c r="BC115" i="16"/>
  <c r="BI115" i="16" s="1"/>
  <c r="BN115" i="16" s="1"/>
  <c r="CY115" i="16"/>
  <c r="DE115" i="16" s="1"/>
  <c r="DJ115" i="16" s="1"/>
  <c r="G124" i="13"/>
  <c r="M124" i="13" s="1"/>
  <c r="R124" i="13" s="1"/>
  <c r="AE124" i="13"/>
  <c r="AK124" i="13" s="1"/>
  <c r="AP124" i="13" s="1"/>
  <c r="CY125" i="13"/>
  <c r="DE125" i="13" s="1"/>
  <c r="DJ125" i="13" s="1"/>
  <c r="CA125" i="13"/>
  <c r="CG125" i="13" s="1"/>
  <c r="CL125" i="13" s="1"/>
  <c r="BC125" i="13"/>
  <c r="BI125" i="13" s="1"/>
  <c r="BN125" i="13" s="1"/>
  <c r="G124" i="14"/>
  <c r="M124" i="14" s="1"/>
  <c r="R124" i="14" s="1"/>
  <c r="AE124" i="14"/>
  <c r="AK124" i="14" s="1"/>
  <c r="AP124" i="14" s="1"/>
  <c r="BC124" i="14"/>
  <c r="BI124" i="14" s="1"/>
  <c r="BN124" i="14" s="1"/>
  <c r="CA118" i="14"/>
  <c r="CG118" i="14" s="1"/>
  <c r="CL118" i="14" s="1"/>
  <c r="CY118" i="14"/>
  <c r="DE118" i="14" s="1"/>
  <c r="DJ118" i="14" s="1"/>
  <c r="G118" i="15"/>
  <c r="M118" i="15" s="1"/>
  <c r="R118" i="15" s="1"/>
  <c r="AE118" i="15"/>
  <c r="AK118" i="15" s="1"/>
  <c r="AP118" i="15" s="1"/>
  <c r="BC118" i="15"/>
  <c r="BI118" i="15" s="1"/>
  <c r="BN118" i="15" s="1"/>
  <c r="CA118" i="15"/>
  <c r="CG118" i="15" s="1"/>
  <c r="CL118" i="15" s="1"/>
  <c r="CY118" i="15"/>
  <c r="DE118" i="15" s="1"/>
  <c r="DJ118" i="15" s="1"/>
  <c r="G118" i="16"/>
  <c r="M118" i="16" s="1"/>
  <c r="R118" i="16" s="1"/>
  <c r="AE118" i="16"/>
  <c r="AK118" i="16" s="1"/>
  <c r="AP118" i="16" s="1"/>
  <c r="BC118" i="16"/>
  <c r="BI118" i="16" s="1"/>
  <c r="BN118" i="16" s="1"/>
  <c r="CA118" i="16"/>
  <c r="CG118" i="16" s="1"/>
  <c r="CL118" i="16" s="1"/>
  <c r="CY118" i="16"/>
  <c r="DE118" i="16" s="1"/>
  <c r="DJ118" i="16" s="1"/>
  <c r="G126" i="13"/>
  <c r="M126" i="13" s="1"/>
  <c r="R126" i="13" s="1"/>
  <c r="AE126" i="13"/>
  <c r="AK126" i="13" s="1"/>
  <c r="AP126" i="13" s="1"/>
  <c r="CY127" i="13"/>
  <c r="DE127" i="13" s="1"/>
  <c r="DJ127" i="13" s="1"/>
  <c r="CA127" i="13"/>
  <c r="CG127" i="13" s="1"/>
  <c r="CL127" i="13" s="1"/>
  <c r="BC127" i="13"/>
  <c r="BI127" i="13" s="1"/>
  <c r="BN127" i="13" s="1"/>
  <c r="G126" i="14"/>
  <c r="M126" i="14" s="1"/>
  <c r="R126" i="14" s="1"/>
  <c r="AE126" i="14"/>
  <c r="AK126" i="14" s="1"/>
  <c r="AP126" i="14" s="1"/>
  <c r="BC126" i="14"/>
  <c r="BI126" i="14" s="1"/>
  <c r="BN126" i="14" s="1"/>
  <c r="CA116" i="14"/>
  <c r="CG116" i="14" s="1"/>
  <c r="CL116" i="14" s="1"/>
  <c r="CY116" i="14"/>
  <c r="DE116" i="14" s="1"/>
  <c r="DJ116" i="14" s="1"/>
  <c r="G116" i="15"/>
  <c r="M116" i="15" s="1"/>
  <c r="R116" i="15" s="1"/>
  <c r="AE116" i="15"/>
  <c r="AK116" i="15" s="1"/>
  <c r="AP116" i="15" s="1"/>
  <c r="BC116" i="15"/>
  <c r="BI116" i="15" s="1"/>
  <c r="BN116" i="15" s="1"/>
  <c r="CA116" i="15"/>
  <c r="CG116" i="15" s="1"/>
  <c r="CL116" i="15" s="1"/>
  <c r="CY116" i="15"/>
  <c r="DE116" i="15" s="1"/>
  <c r="DJ116" i="15" s="1"/>
  <c r="G116" i="16"/>
  <c r="M116" i="16" s="1"/>
  <c r="R116" i="16" s="1"/>
  <c r="AE116" i="16"/>
  <c r="AK116" i="16" s="1"/>
  <c r="AP116" i="16" s="1"/>
  <c r="BC116" i="16"/>
  <c r="BI116" i="16" s="1"/>
  <c r="BN116" i="16" s="1"/>
  <c r="CA116" i="16"/>
  <c r="CG116" i="16" s="1"/>
  <c r="CL116" i="16" s="1"/>
  <c r="CY116" i="16"/>
  <c r="DE116" i="16" s="1"/>
  <c r="DJ116" i="16" s="1"/>
  <c r="BC99" i="15"/>
  <c r="BI99" i="15" s="1"/>
  <c r="BN99" i="15" s="1"/>
  <c r="CY99" i="14"/>
  <c r="DE99" i="14" s="1"/>
  <c r="DJ99" i="14" s="1"/>
  <c r="AE99" i="14"/>
  <c r="AK99" i="14" s="1"/>
  <c r="AP99" i="14" s="1"/>
  <c r="G94" i="13"/>
  <c r="M94" i="13" s="1"/>
  <c r="R94" i="13" s="1"/>
  <c r="G99" i="16"/>
  <c r="M99" i="16" s="1"/>
  <c r="R99" i="16" s="1"/>
  <c r="BC91" i="13"/>
  <c r="BI91" i="13" s="1"/>
  <c r="BN91" i="13" s="1"/>
  <c r="AE91" i="14"/>
  <c r="AK91" i="14" s="1"/>
  <c r="AP91" i="14" s="1"/>
  <c r="G91" i="15"/>
  <c r="M91" i="15" s="1"/>
  <c r="R91" i="15" s="1"/>
  <c r="CY91" i="15"/>
  <c r="DE91" i="15" s="1"/>
  <c r="DJ91" i="15" s="1"/>
  <c r="CA91" i="16"/>
  <c r="CG91" i="16" s="1"/>
  <c r="CL91" i="16" s="1"/>
  <c r="BC95" i="13"/>
  <c r="BI95" i="13" s="1"/>
  <c r="BN95" i="13" s="1"/>
  <c r="AE95" i="14"/>
  <c r="AK95" i="14" s="1"/>
  <c r="AP95" i="14" s="1"/>
  <c r="G95" i="15"/>
  <c r="M95" i="15" s="1"/>
  <c r="R95" i="15" s="1"/>
  <c r="CY95" i="15"/>
  <c r="DE95" i="15" s="1"/>
  <c r="DJ95" i="15" s="1"/>
  <c r="CA95" i="16"/>
  <c r="CG95" i="16" s="1"/>
  <c r="CL95" i="16" s="1"/>
  <c r="BC103" i="13"/>
  <c r="BI103" i="13" s="1"/>
  <c r="BN103" i="13" s="1"/>
  <c r="AE103" i="14"/>
  <c r="AK103" i="14" s="1"/>
  <c r="AP103" i="14" s="1"/>
  <c r="G103" i="15"/>
  <c r="M103" i="15" s="1"/>
  <c r="R103" i="15" s="1"/>
  <c r="CY103" i="15"/>
  <c r="DE103" i="15" s="1"/>
  <c r="DJ103" i="15" s="1"/>
  <c r="CA103" i="16"/>
  <c r="CG103" i="16" s="1"/>
  <c r="CL103" i="16" s="1"/>
  <c r="AE93" i="13"/>
  <c r="AK93" i="13" s="1"/>
  <c r="AP93" i="13" s="1"/>
  <c r="CA93" i="13"/>
  <c r="CG93" i="13" s="1"/>
  <c r="CL93" i="13" s="1"/>
  <c r="G93" i="14"/>
  <c r="M93" i="14" s="1"/>
  <c r="R93" i="14" s="1"/>
  <c r="BC93" i="14"/>
  <c r="BI93" i="14" s="1"/>
  <c r="BN93" i="14" s="1"/>
  <c r="CY93" i="14"/>
  <c r="DE93" i="14" s="1"/>
  <c r="DJ93" i="14" s="1"/>
  <c r="AE93" i="15"/>
  <c r="AK93" i="15" s="1"/>
  <c r="AP93" i="15" s="1"/>
  <c r="CA93" i="15"/>
  <c r="CG93" i="15" s="1"/>
  <c r="CL93" i="15" s="1"/>
  <c r="G93" i="16"/>
  <c r="M93" i="16" s="1"/>
  <c r="R93" i="16" s="1"/>
  <c r="BC93" i="16"/>
  <c r="BI93" i="16" s="1"/>
  <c r="BN93" i="16" s="1"/>
  <c r="CY93" i="16"/>
  <c r="DE93" i="16" s="1"/>
  <c r="DJ93" i="16" s="1"/>
  <c r="AE89" i="13"/>
  <c r="AK89" i="13" s="1"/>
  <c r="AP89" i="13" s="1"/>
  <c r="CA89" i="13"/>
  <c r="CG89" i="13" s="1"/>
  <c r="CL89" i="13" s="1"/>
  <c r="G89" i="14"/>
  <c r="M89" i="14" s="1"/>
  <c r="R89" i="14" s="1"/>
  <c r="BC89" i="14"/>
  <c r="BI89" i="14" s="1"/>
  <c r="BN89" i="14" s="1"/>
  <c r="CY89" i="14"/>
  <c r="DE89" i="14" s="1"/>
  <c r="DJ89" i="14" s="1"/>
  <c r="AE89" i="15"/>
  <c r="AK89" i="15" s="1"/>
  <c r="AP89" i="15" s="1"/>
  <c r="CA89" i="15"/>
  <c r="CG89" i="15" s="1"/>
  <c r="CL89" i="15" s="1"/>
  <c r="G89" i="16"/>
  <c r="M89" i="16" s="1"/>
  <c r="R89" i="16" s="1"/>
  <c r="BC89" i="16"/>
  <c r="BI89" i="16" s="1"/>
  <c r="BN89" i="16" s="1"/>
  <c r="CY89" i="16"/>
  <c r="DE89" i="16" s="1"/>
  <c r="DJ89" i="16" s="1"/>
  <c r="G95" i="13"/>
  <c r="M95" i="13" s="1"/>
  <c r="R95" i="13" s="1"/>
  <c r="AE96" i="13"/>
  <c r="AK96" i="13" s="1"/>
  <c r="AP96" i="13" s="1"/>
  <c r="BC96" i="13"/>
  <c r="BI96" i="13" s="1"/>
  <c r="BN96" i="13" s="1"/>
  <c r="CA96" i="13"/>
  <c r="CG96" i="13" s="1"/>
  <c r="CL96" i="13" s="1"/>
  <c r="CY96" i="13"/>
  <c r="DE96" i="13" s="1"/>
  <c r="DJ96" i="13" s="1"/>
  <c r="G96" i="14"/>
  <c r="M96" i="14" s="1"/>
  <c r="R96" i="14" s="1"/>
  <c r="AE96" i="14"/>
  <c r="AK96" i="14" s="1"/>
  <c r="AP96" i="14" s="1"/>
  <c r="BC96" i="14"/>
  <c r="BI96" i="14" s="1"/>
  <c r="BN96" i="14" s="1"/>
  <c r="CA96" i="14"/>
  <c r="CG96" i="14" s="1"/>
  <c r="CL96" i="14" s="1"/>
  <c r="CY96" i="14"/>
  <c r="DE96" i="14" s="1"/>
  <c r="DJ96" i="14" s="1"/>
  <c r="G96" i="15"/>
  <c r="M96" i="15" s="1"/>
  <c r="R96" i="15" s="1"/>
  <c r="AE96" i="15"/>
  <c r="AK96" i="15" s="1"/>
  <c r="AP96" i="15" s="1"/>
  <c r="BC96" i="15"/>
  <c r="BI96" i="15" s="1"/>
  <c r="BN96" i="15" s="1"/>
  <c r="CA96" i="15"/>
  <c r="CG96" i="15" s="1"/>
  <c r="CL96" i="15" s="1"/>
  <c r="CY96" i="15"/>
  <c r="DE96" i="15" s="1"/>
  <c r="DJ96" i="15" s="1"/>
  <c r="G96" i="16"/>
  <c r="M96" i="16" s="1"/>
  <c r="R96" i="16" s="1"/>
  <c r="AE96" i="16"/>
  <c r="AK96" i="16" s="1"/>
  <c r="AP96" i="16" s="1"/>
  <c r="BC96" i="16"/>
  <c r="BI96" i="16" s="1"/>
  <c r="BN96" i="16" s="1"/>
  <c r="CA96" i="16"/>
  <c r="CG96" i="16" s="1"/>
  <c r="CL96" i="16" s="1"/>
  <c r="CY96" i="16"/>
  <c r="DE96" i="16" s="1"/>
  <c r="DJ96" i="16" s="1"/>
  <c r="G93" i="13"/>
  <c r="M93" i="13" s="1"/>
  <c r="R93" i="13" s="1"/>
  <c r="AE98" i="13"/>
  <c r="AK98" i="13" s="1"/>
  <c r="AP98" i="13" s="1"/>
  <c r="BC98" i="13"/>
  <c r="BI98" i="13" s="1"/>
  <c r="BN98" i="13" s="1"/>
  <c r="CA98" i="13"/>
  <c r="CG98" i="13" s="1"/>
  <c r="CL98" i="13" s="1"/>
  <c r="CY98" i="13"/>
  <c r="DE98" i="13" s="1"/>
  <c r="DJ98" i="13" s="1"/>
  <c r="G98" i="14"/>
  <c r="M98" i="14" s="1"/>
  <c r="R98" i="14" s="1"/>
  <c r="AE98" i="14"/>
  <c r="AK98" i="14" s="1"/>
  <c r="AP98" i="14" s="1"/>
  <c r="BC98" i="14"/>
  <c r="BI98" i="14" s="1"/>
  <c r="BN98" i="14" s="1"/>
  <c r="CA98" i="14"/>
  <c r="CG98" i="14" s="1"/>
  <c r="CL98" i="14" s="1"/>
  <c r="CY98" i="14"/>
  <c r="DE98" i="14" s="1"/>
  <c r="DJ98" i="14" s="1"/>
  <c r="G98" i="15"/>
  <c r="M98" i="15" s="1"/>
  <c r="R98" i="15" s="1"/>
  <c r="AE98" i="15"/>
  <c r="AK98" i="15" s="1"/>
  <c r="AP98" i="15" s="1"/>
  <c r="BC98" i="15"/>
  <c r="BI98" i="15" s="1"/>
  <c r="BN98" i="15" s="1"/>
  <c r="CA98" i="15"/>
  <c r="CG98" i="15" s="1"/>
  <c r="CL98" i="15" s="1"/>
  <c r="CY98" i="15"/>
  <c r="DE98" i="15" s="1"/>
  <c r="DJ98" i="15" s="1"/>
  <c r="G98" i="16"/>
  <c r="M98" i="16" s="1"/>
  <c r="R98" i="16" s="1"/>
  <c r="AE98" i="16"/>
  <c r="AK98" i="16" s="1"/>
  <c r="AP98" i="16" s="1"/>
  <c r="BC98" i="16"/>
  <c r="BI98" i="16" s="1"/>
  <c r="BN98" i="16" s="1"/>
  <c r="CA98" i="16"/>
  <c r="CG98" i="16" s="1"/>
  <c r="CL98" i="16" s="1"/>
  <c r="CY98" i="16"/>
  <c r="DE98" i="16" s="1"/>
  <c r="DJ98" i="16" s="1"/>
  <c r="G117" i="14"/>
  <c r="M117" i="14" s="1"/>
  <c r="R117" i="14" s="1"/>
  <c r="CY114" i="13"/>
  <c r="DE114" i="13" s="1"/>
  <c r="DJ114" i="13" s="1"/>
  <c r="CN113" i="16"/>
  <c r="CN114" i="16" s="1"/>
  <c r="CN115" i="16" s="1"/>
  <c r="CA113" i="16"/>
  <c r="G117" i="13"/>
  <c r="M117" i="13" s="1"/>
  <c r="R117" i="13" s="1"/>
  <c r="AE121" i="16"/>
  <c r="AK121" i="16" s="1"/>
  <c r="AP121" i="16" s="1"/>
  <c r="BC124" i="13"/>
  <c r="BI124" i="13" s="1"/>
  <c r="BN124" i="13" s="1"/>
  <c r="BC119" i="15"/>
  <c r="BI119" i="15" s="1"/>
  <c r="BN119" i="15" s="1"/>
  <c r="G115" i="13"/>
  <c r="M115" i="13" s="1"/>
  <c r="R115" i="13" s="1"/>
  <c r="AE119" i="14"/>
  <c r="AK119" i="14" s="1"/>
  <c r="AP119" i="14" s="1"/>
  <c r="CY123" i="15"/>
  <c r="DE123" i="15" s="1"/>
  <c r="DJ123" i="15" s="1"/>
  <c r="AE128" i="13"/>
  <c r="G128" i="14"/>
  <c r="M128" i="14" s="1"/>
  <c r="R128" i="14" s="1"/>
  <c r="CY114" i="14"/>
  <c r="DE114" i="14" s="1"/>
  <c r="DJ114" i="14" s="1"/>
  <c r="BC114" i="15"/>
  <c r="BI114" i="15" s="1"/>
  <c r="BN114" i="15" s="1"/>
  <c r="CA114" i="16"/>
  <c r="CG114" i="16" s="1"/>
  <c r="CL114" i="16" s="1"/>
  <c r="AE114" i="13"/>
  <c r="G114" i="14"/>
  <c r="M114" i="14" s="1"/>
  <c r="R114" i="14" s="1"/>
  <c r="CY128" i="14"/>
  <c r="DE128" i="14" s="1"/>
  <c r="DJ128" i="14" s="1"/>
  <c r="BC128" i="15"/>
  <c r="BI128" i="15" s="1"/>
  <c r="BN128" i="15" s="1"/>
  <c r="BC128" i="16"/>
  <c r="BI128" i="16" s="1"/>
  <c r="BN128" i="16" s="1"/>
  <c r="CA99" i="16"/>
  <c r="CG99" i="16" s="1"/>
  <c r="CL99" i="16" s="1"/>
  <c r="CY91" i="14"/>
  <c r="DE91" i="14" s="1"/>
  <c r="DJ91" i="14" s="1"/>
  <c r="AE95" i="13"/>
  <c r="AK95" i="13" s="1"/>
  <c r="AP95" i="13" s="1"/>
  <c r="AE103" i="13"/>
  <c r="AK103" i="13" s="1"/>
  <c r="AP103" i="13" s="1"/>
  <c r="G92" i="13"/>
  <c r="M92" i="13" s="1"/>
  <c r="R92" i="13" s="1"/>
  <c r="CY101" i="15"/>
  <c r="DE101" i="15" s="1"/>
  <c r="DJ101" i="15" s="1"/>
  <c r="W13" i="8"/>
  <c r="V13" i="8"/>
  <c r="CA118" i="13"/>
  <c r="CG118" i="13" s="1"/>
  <c r="CL118" i="13" s="1"/>
  <c r="G121" i="13"/>
  <c r="M121" i="13" s="1"/>
  <c r="R121" i="13" s="1"/>
  <c r="BC125" i="14"/>
  <c r="BI125" i="14" s="1"/>
  <c r="BN125" i="14" s="1"/>
  <c r="CY118" i="13"/>
  <c r="DE118" i="13" s="1"/>
  <c r="DJ118" i="13" s="1"/>
  <c r="CY125" i="14"/>
  <c r="DE125" i="14" s="1"/>
  <c r="DJ125" i="14" s="1"/>
  <c r="AE125" i="14"/>
  <c r="AK125" i="14" s="1"/>
  <c r="AP125" i="14" s="1"/>
  <c r="G125" i="16"/>
  <c r="M125" i="16" s="1"/>
  <c r="R125" i="16" s="1"/>
  <c r="G125" i="13"/>
  <c r="M125" i="13" s="1"/>
  <c r="R125" i="13" s="1"/>
  <c r="BC114" i="13"/>
  <c r="BI114" i="13" s="1"/>
  <c r="BN114" i="13" s="1"/>
  <c r="CN113" i="14"/>
  <c r="CA113" i="14"/>
  <c r="BP113" i="15"/>
  <c r="BC113" i="15"/>
  <c r="AR113" i="16"/>
  <c r="AR114" i="16" s="1"/>
  <c r="AE113" i="16"/>
  <c r="G117" i="15"/>
  <c r="M117" i="15" s="1"/>
  <c r="R117" i="15" s="1"/>
  <c r="CY117" i="15"/>
  <c r="DE117" i="15" s="1"/>
  <c r="DJ117" i="15" s="1"/>
  <c r="CA117" i="16"/>
  <c r="CG117" i="16" s="1"/>
  <c r="CL117" i="16" s="1"/>
  <c r="CY122" i="13"/>
  <c r="DE122" i="13" s="1"/>
  <c r="DJ122" i="13" s="1"/>
  <c r="AE121" i="14"/>
  <c r="AK121" i="14" s="1"/>
  <c r="AP121" i="14" s="1"/>
  <c r="G121" i="15"/>
  <c r="M121" i="15" s="1"/>
  <c r="R121" i="15" s="1"/>
  <c r="CY121" i="15"/>
  <c r="DE121" i="15" s="1"/>
  <c r="DJ121" i="15" s="1"/>
  <c r="CA121" i="16"/>
  <c r="CG121" i="16" s="1"/>
  <c r="CL121" i="16" s="1"/>
  <c r="AE127" i="13"/>
  <c r="AK127" i="13" s="1"/>
  <c r="AP127" i="13" s="1"/>
  <c r="CA124" i="13"/>
  <c r="CG124" i="13" s="1"/>
  <c r="CL124" i="13" s="1"/>
  <c r="G123" i="14"/>
  <c r="M123" i="14" s="1"/>
  <c r="R123" i="14" s="1"/>
  <c r="BC123" i="14"/>
  <c r="BI123" i="14" s="1"/>
  <c r="BN123" i="14" s="1"/>
  <c r="CY119" i="14"/>
  <c r="DE119" i="14" s="1"/>
  <c r="DJ119" i="14" s="1"/>
  <c r="AE119" i="15"/>
  <c r="AK119" i="15" s="1"/>
  <c r="AP119" i="15" s="1"/>
  <c r="CA119" i="15"/>
  <c r="CG119" i="15" s="1"/>
  <c r="CL119" i="15" s="1"/>
  <c r="G119" i="16"/>
  <c r="M119" i="16" s="1"/>
  <c r="R119" i="16" s="1"/>
  <c r="BC119" i="16"/>
  <c r="BI119" i="16" s="1"/>
  <c r="BN119" i="16" s="1"/>
  <c r="CY119" i="16"/>
  <c r="DE119" i="16" s="1"/>
  <c r="DJ119" i="16" s="1"/>
  <c r="AE115" i="13"/>
  <c r="CA120" i="13"/>
  <c r="CG120" i="13" s="1"/>
  <c r="CL120" i="13" s="1"/>
  <c r="G119" i="14"/>
  <c r="M119" i="14" s="1"/>
  <c r="R119" i="14" s="1"/>
  <c r="BC119" i="14"/>
  <c r="BI119" i="14" s="1"/>
  <c r="BN119" i="14" s="1"/>
  <c r="CY123" i="14"/>
  <c r="DE123" i="14" s="1"/>
  <c r="DJ123" i="14" s="1"/>
  <c r="AE123" i="15"/>
  <c r="AK123" i="15" s="1"/>
  <c r="AP123" i="15" s="1"/>
  <c r="CA123" i="15"/>
  <c r="CG123" i="15" s="1"/>
  <c r="CL123" i="15" s="1"/>
  <c r="G123" i="16"/>
  <c r="M123" i="16" s="1"/>
  <c r="R123" i="16" s="1"/>
  <c r="BC123" i="16"/>
  <c r="BI123" i="16" s="1"/>
  <c r="BN123" i="16" s="1"/>
  <c r="CY123" i="16"/>
  <c r="DE123" i="16" s="1"/>
  <c r="DJ123" i="16" s="1"/>
  <c r="G120" i="13"/>
  <c r="M120" i="13" s="1"/>
  <c r="R120" i="13" s="1"/>
  <c r="AE120" i="13"/>
  <c r="AK120" i="13" s="1"/>
  <c r="AP120" i="13" s="1"/>
  <c r="CY121" i="13"/>
  <c r="DE121" i="13" s="1"/>
  <c r="DJ121" i="13" s="1"/>
  <c r="CA121" i="13"/>
  <c r="CG121" i="13" s="1"/>
  <c r="CL121" i="13" s="1"/>
  <c r="BC121" i="13"/>
  <c r="BI121" i="13" s="1"/>
  <c r="BN121" i="13" s="1"/>
  <c r="G120" i="14"/>
  <c r="M120" i="14" s="1"/>
  <c r="R120" i="14" s="1"/>
  <c r="AE120" i="14"/>
  <c r="AK120" i="14" s="1"/>
  <c r="AP120" i="14" s="1"/>
  <c r="BC120" i="14"/>
  <c r="BI120" i="14" s="1"/>
  <c r="BN120" i="14" s="1"/>
  <c r="CA122" i="14"/>
  <c r="CG122" i="14" s="1"/>
  <c r="CL122" i="14" s="1"/>
  <c r="CY122" i="14"/>
  <c r="DE122" i="14" s="1"/>
  <c r="DJ122" i="14" s="1"/>
  <c r="G122" i="15"/>
  <c r="M122" i="15" s="1"/>
  <c r="R122" i="15" s="1"/>
  <c r="AE122" i="15"/>
  <c r="AK122" i="15" s="1"/>
  <c r="AP122" i="15" s="1"/>
  <c r="BC122" i="15"/>
  <c r="BI122" i="15" s="1"/>
  <c r="BN122" i="15" s="1"/>
  <c r="CA122" i="15"/>
  <c r="CG122" i="15" s="1"/>
  <c r="CL122" i="15" s="1"/>
  <c r="CY122" i="15"/>
  <c r="DE122" i="15" s="1"/>
  <c r="DJ122" i="15" s="1"/>
  <c r="G122" i="16"/>
  <c r="M122" i="16" s="1"/>
  <c r="R122" i="16" s="1"/>
  <c r="AE122" i="16"/>
  <c r="AK122" i="16" s="1"/>
  <c r="AP122" i="16" s="1"/>
  <c r="BC122" i="16"/>
  <c r="BI122" i="16" s="1"/>
  <c r="BN122" i="16" s="1"/>
  <c r="CA122" i="16"/>
  <c r="CG122" i="16" s="1"/>
  <c r="CL122" i="16" s="1"/>
  <c r="CY122" i="16"/>
  <c r="DE122" i="16" s="1"/>
  <c r="DJ122" i="16" s="1"/>
  <c r="G122" i="13"/>
  <c r="M122" i="13" s="1"/>
  <c r="R122" i="13" s="1"/>
  <c r="AE122" i="13"/>
  <c r="AK122" i="13" s="1"/>
  <c r="AP122" i="13" s="1"/>
  <c r="CY123" i="13"/>
  <c r="DE123" i="13" s="1"/>
  <c r="DJ123" i="13" s="1"/>
  <c r="CA123" i="13"/>
  <c r="CG123" i="13" s="1"/>
  <c r="CL123" i="13" s="1"/>
  <c r="BC123" i="13"/>
  <c r="BI123" i="13" s="1"/>
  <c r="BN123" i="13" s="1"/>
  <c r="G122" i="14"/>
  <c r="M122" i="14" s="1"/>
  <c r="R122" i="14" s="1"/>
  <c r="AE122" i="14"/>
  <c r="AK122" i="14" s="1"/>
  <c r="AP122" i="14" s="1"/>
  <c r="BC122" i="14"/>
  <c r="BI122" i="14" s="1"/>
  <c r="BN122" i="14" s="1"/>
  <c r="CA120" i="14"/>
  <c r="CG120" i="14" s="1"/>
  <c r="CL120" i="14" s="1"/>
  <c r="CY120" i="14"/>
  <c r="DE120" i="14" s="1"/>
  <c r="DJ120" i="14" s="1"/>
  <c r="G120" i="15"/>
  <c r="M120" i="15" s="1"/>
  <c r="R120" i="15" s="1"/>
  <c r="AE120" i="15"/>
  <c r="AK120" i="15" s="1"/>
  <c r="AP120" i="15" s="1"/>
  <c r="BC120" i="15"/>
  <c r="BI120" i="15" s="1"/>
  <c r="BN120" i="15" s="1"/>
  <c r="CA120" i="15"/>
  <c r="CG120" i="15" s="1"/>
  <c r="CL120" i="15" s="1"/>
  <c r="CY120" i="15"/>
  <c r="DE120" i="15" s="1"/>
  <c r="DJ120" i="15" s="1"/>
  <c r="G120" i="16"/>
  <c r="M120" i="16" s="1"/>
  <c r="R120" i="16" s="1"/>
  <c r="AE120" i="16"/>
  <c r="AK120" i="16" s="1"/>
  <c r="AP120" i="16" s="1"/>
  <c r="BC120" i="16"/>
  <c r="BI120" i="16" s="1"/>
  <c r="BN120" i="16" s="1"/>
  <c r="CA120" i="16"/>
  <c r="CG120" i="16" s="1"/>
  <c r="CL120" i="16" s="1"/>
  <c r="CY120" i="16"/>
  <c r="DE120" i="16" s="1"/>
  <c r="DJ120" i="16" s="1"/>
  <c r="AE99" i="16"/>
  <c r="AK99" i="16" s="1"/>
  <c r="AP99" i="16" s="1"/>
  <c r="CA99" i="15"/>
  <c r="CG99" i="15" s="1"/>
  <c r="CL99" i="15" s="1"/>
  <c r="G99" i="15"/>
  <c r="M99" i="15" s="1"/>
  <c r="R99" i="15" s="1"/>
  <c r="CA99" i="13"/>
  <c r="CG99" i="13" s="1"/>
  <c r="CL99" i="13" s="1"/>
  <c r="CY99" i="16"/>
  <c r="DE99" i="16" s="1"/>
  <c r="DJ99" i="16" s="1"/>
  <c r="CA91" i="13"/>
  <c r="CG91" i="13" s="1"/>
  <c r="CL91" i="13" s="1"/>
  <c r="BC91" i="14"/>
  <c r="BI91" i="14" s="1"/>
  <c r="BN91" i="14" s="1"/>
  <c r="AE91" i="15"/>
  <c r="AK91" i="15" s="1"/>
  <c r="AP91" i="15" s="1"/>
  <c r="G91" i="16"/>
  <c r="M91" i="16" s="1"/>
  <c r="R91" i="16" s="1"/>
  <c r="CY91" i="16"/>
  <c r="DE91" i="16" s="1"/>
  <c r="DJ91" i="16" s="1"/>
  <c r="CA95" i="13"/>
  <c r="CG95" i="13" s="1"/>
  <c r="CL95" i="13" s="1"/>
  <c r="BC95" i="14"/>
  <c r="BI95" i="14" s="1"/>
  <c r="BN95" i="14" s="1"/>
  <c r="AE95" i="15"/>
  <c r="AK95" i="15" s="1"/>
  <c r="AP95" i="15" s="1"/>
  <c r="G95" i="16"/>
  <c r="M95" i="16" s="1"/>
  <c r="R95" i="16" s="1"/>
  <c r="CY95" i="16"/>
  <c r="DE95" i="16" s="1"/>
  <c r="DJ95" i="16" s="1"/>
  <c r="CA103" i="13"/>
  <c r="CG103" i="13" s="1"/>
  <c r="CL103" i="13" s="1"/>
  <c r="BC103" i="14"/>
  <c r="BI103" i="14" s="1"/>
  <c r="BN103" i="14" s="1"/>
  <c r="AE103" i="15"/>
  <c r="AK103" i="15" s="1"/>
  <c r="AP103" i="15" s="1"/>
  <c r="G103" i="16"/>
  <c r="M103" i="16" s="1"/>
  <c r="R103" i="16" s="1"/>
  <c r="CY103" i="16"/>
  <c r="DE103" i="16" s="1"/>
  <c r="DJ103" i="16" s="1"/>
  <c r="AE101" i="13"/>
  <c r="AK101" i="13" s="1"/>
  <c r="AP101" i="13" s="1"/>
  <c r="CA101" i="13"/>
  <c r="CG101" i="13" s="1"/>
  <c r="CL101" i="13" s="1"/>
  <c r="G101" i="14"/>
  <c r="M101" i="14" s="1"/>
  <c r="R101" i="14" s="1"/>
  <c r="BC101" i="14"/>
  <c r="BI101" i="14" s="1"/>
  <c r="BN101" i="14" s="1"/>
  <c r="CY101" i="14"/>
  <c r="DE101" i="14" s="1"/>
  <c r="DJ101" i="14" s="1"/>
  <c r="AE101" i="15"/>
  <c r="AK101" i="15" s="1"/>
  <c r="AP101" i="15" s="1"/>
  <c r="CA101" i="15"/>
  <c r="CG101" i="15" s="1"/>
  <c r="CL101" i="15" s="1"/>
  <c r="G101" i="16"/>
  <c r="M101" i="16" s="1"/>
  <c r="R101" i="16" s="1"/>
  <c r="BC101" i="16"/>
  <c r="BI101" i="16" s="1"/>
  <c r="BN101" i="16" s="1"/>
  <c r="CY101" i="16"/>
  <c r="DE101" i="16" s="1"/>
  <c r="DJ101" i="16" s="1"/>
  <c r="AE97" i="13"/>
  <c r="AK97" i="13" s="1"/>
  <c r="AP97" i="13" s="1"/>
  <c r="CA97" i="13"/>
  <c r="CG97" i="13" s="1"/>
  <c r="CL97" i="13" s="1"/>
  <c r="G97" i="14"/>
  <c r="M97" i="14" s="1"/>
  <c r="R97" i="14" s="1"/>
  <c r="BC97" i="14"/>
  <c r="BI97" i="14" s="1"/>
  <c r="BN97" i="14" s="1"/>
  <c r="CY97" i="14"/>
  <c r="DE97" i="14" s="1"/>
  <c r="DJ97" i="14" s="1"/>
  <c r="AE97" i="15"/>
  <c r="AK97" i="15" s="1"/>
  <c r="AP97" i="15" s="1"/>
  <c r="CA97" i="15"/>
  <c r="CG97" i="15" s="1"/>
  <c r="CL97" i="15" s="1"/>
  <c r="G97" i="16"/>
  <c r="M97" i="16" s="1"/>
  <c r="R97" i="16" s="1"/>
  <c r="BC97" i="16"/>
  <c r="BI97" i="16" s="1"/>
  <c r="BN97" i="16" s="1"/>
  <c r="CY97" i="16"/>
  <c r="DE97" i="16" s="1"/>
  <c r="DJ97" i="16" s="1"/>
  <c r="G91" i="13"/>
  <c r="M91" i="13" s="1"/>
  <c r="R91" i="13" s="1"/>
  <c r="AE100" i="13"/>
  <c r="AK100" i="13" s="1"/>
  <c r="AP100" i="13" s="1"/>
  <c r="BC100" i="13"/>
  <c r="BI100" i="13" s="1"/>
  <c r="BN100" i="13" s="1"/>
  <c r="CA100" i="13"/>
  <c r="CG100" i="13" s="1"/>
  <c r="CL100" i="13" s="1"/>
  <c r="CY100" i="13"/>
  <c r="DE100" i="13" s="1"/>
  <c r="DJ100" i="13" s="1"/>
  <c r="G100" i="14"/>
  <c r="M100" i="14" s="1"/>
  <c r="R100" i="14" s="1"/>
  <c r="AE100" i="14"/>
  <c r="AK100" i="14" s="1"/>
  <c r="AP100" i="14" s="1"/>
  <c r="BC100" i="14"/>
  <c r="BI100" i="14" s="1"/>
  <c r="BN100" i="14" s="1"/>
  <c r="CA100" i="14"/>
  <c r="CG100" i="14" s="1"/>
  <c r="CL100" i="14" s="1"/>
  <c r="CY100" i="14"/>
  <c r="DE100" i="14" s="1"/>
  <c r="DJ100" i="14" s="1"/>
  <c r="G100" i="15"/>
  <c r="M100" i="15" s="1"/>
  <c r="R100" i="15" s="1"/>
  <c r="AE100" i="15"/>
  <c r="AK100" i="15" s="1"/>
  <c r="AP100" i="15" s="1"/>
  <c r="BC100" i="15"/>
  <c r="BI100" i="15" s="1"/>
  <c r="BN100" i="15" s="1"/>
  <c r="CA100" i="15"/>
  <c r="CG100" i="15" s="1"/>
  <c r="CL100" i="15" s="1"/>
  <c r="CY100" i="15"/>
  <c r="DE100" i="15" s="1"/>
  <c r="DJ100" i="15" s="1"/>
  <c r="G100" i="16"/>
  <c r="M100" i="16" s="1"/>
  <c r="R100" i="16" s="1"/>
  <c r="AE100" i="16"/>
  <c r="AK100" i="16" s="1"/>
  <c r="AP100" i="16" s="1"/>
  <c r="BC100" i="16"/>
  <c r="BI100" i="16" s="1"/>
  <c r="BN100" i="16" s="1"/>
  <c r="CA100" i="16"/>
  <c r="CG100" i="16" s="1"/>
  <c r="CL100" i="16" s="1"/>
  <c r="CY100" i="16"/>
  <c r="DE100" i="16" s="1"/>
  <c r="DJ100" i="16" s="1"/>
  <c r="G89" i="13"/>
  <c r="M89" i="13" s="1"/>
  <c r="R89" i="13" s="1"/>
  <c r="AE102" i="13"/>
  <c r="AK102" i="13" s="1"/>
  <c r="AP102" i="13" s="1"/>
  <c r="BC102" i="13"/>
  <c r="BI102" i="13" s="1"/>
  <c r="BN102" i="13" s="1"/>
  <c r="CA102" i="13"/>
  <c r="CG102" i="13" s="1"/>
  <c r="CL102" i="13" s="1"/>
  <c r="CY102" i="13"/>
  <c r="DE102" i="13" s="1"/>
  <c r="DJ102" i="13" s="1"/>
  <c r="G102" i="14"/>
  <c r="M102" i="14" s="1"/>
  <c r="R102" i="14" s="1"/>
  <c r="AE102" i="14"/>
  <c r="AK102" i="14" s="1"/>
  <c r="AP102" i="14" s="1"/>
  <c r="BC102" i="14"/>
  <c r="BI102" i="14" s="1"/>
  <c r="BN102" i="14" s="1"/>
  <c r="CA102" i="14"/>
  <c r="CG102" i="14" s="1"/>
  <c r="CL102" i="14" s="1"/>
  <c r="CY102" i="14"/>
  <c r="DE102" i="14" s="1"/>
  <c r="DJ102" i="14" s="1"/>
  <c r="G102" i="15"/>
  <c r="M102" i="15" s="1"/>
  <c r="R102" i="15" s="1"/>
  <c r="AE102" i="15"/>
  <c r="AK102" i="15" s="1"/>
  <c r="AP102" i="15" s="1"/>
  <c r="BC102" i="15"/>
  <c r="BI102" i="15" s="1"/>
  <c r="BN102" i="15" s="1"/>
  <c r="CA102" i="15"/>
  <c r="CG102" i="15" s="1"/>
  <c r="CL102" i="15" s="1"/>
  <c r="CY102" i="15"/>
  <c r="DE102" i="15" s="1"/>
  <c r="DJ102" i="15" s="1"/>
  <c r="G102" i="16"/>
  <c r="M102" i="16" s="1"/>
  <c r="R102" i="16" s="1"/>
  <c r="AE102" i="16"/>
  <c r="AK102" i="16" s="1"/>
  <c r="AP102" i="16" s="1"/>
  <c r="BC102" i="16"/>
  <c r="BI102" i="16" s="1"/>
  <c r="BN102" i="16" s="1"/>
  <c r="CA102" i="16"/>
  <c r="CG102" i="16" s="1"/>
  <c r="CL102" i="16" s="1"/>
  <c r="CY102" i="16"/>
  <c r="DE102" i="16" s="1"/>
  <c r="DJ102" i="16" s="1"/>
  <c r="CA125" i="14"/>
  <c r="CG125" i="14" s="1"/>
  <c r="CL125" i="14" s="1"/>
  <c r="BC125" i="15"/>
  <c r="BI125" i="15" s="1"/>
  <c r="BN125" i="15" s="1"/>
  <c r="G125" i="15"/>
  <c r="M125" i="15" s="1"/>
  <c r="R125" i="15" s="1"/>
  <c r="T113" i="15"/>
  <c r="G113" i="15"/>
  <c r="AE117" i="16"/>
  <c r="AK117" i="16" s="1"/>
  <c r="AP117" i="16" s="1"/>
  <c r="CA121" i="14"/>
  <c r="CG121" i="14" s="1"/>
  <c r="CL121" i="14" s="1"/>
  <c r="G127" i="13"/>
  <c r="M127" i="13" s="1"/>
  <c r="R127" i="13" s="1"/>
  <c r="CA119" i="14"/>
  <c r="CG119" i="14" s="1"/>
  <c r="CL119" i="14" s="1"/>
  <c r="CY119" i="15"/>
  <c r="DE119" i="15" s="1"/>
  <c r="DJ119" i="15" s="1"/>
  <c r="CA119" i="16"/>
  <c r="CG119" i="16" s="1"/>
  <c r="CL119" i="16" s="1"/>
  <c r="CA123" i="14"/>
  <c r="CG123" i="14" s="1"/>
  <c r="CL123" i="14" s="1"/>
  <c r="AE123" i="16"/>
  <c r="AK123" i="16" s="1"/>
  <c r="AP123" i="16" s="1"/>
  <c r="DL113" i="13"/>
  <c r="CY113" i="13"/>
  <c r="AE128" i="14"/>
  <c r="AK128" i="14" s="1"/>
  <c r="AP128" i="14" s="1"/>
  <c r="CA114" i="14"/>
  <c r="CG114" i="14" s="1"/>
  <c r="CL114" i="14" s="1"/>
  <c r="CA114" i="15"/>
  <c r="CG114" i="15" s="1"/>
  <c r="CL114" i="15" s="1"/>
  <c r="BC114" i="16"/>
  <c r="BI114" i="16" s="1"/>
  <c r="BN114" i="16" s="1"/>
  <c r="G114" i="13"/>
  <c r="M114" i="13" s="1"/>
  <c r="R114" i="13" s="1"/>
  <c r="BC115" i="13"/>
  <c r="BI115" i="13" s="1"/>
  <c r="BN115" i="13" s="1"/>
  <c r="CA128" i="14"/>
  <c r="CG128" i="14" s="1"/>
  <c r="CL128" i="14" s="1"/>
  <c r="CA128" i="15"/>
  <c r="CG128" i="15" s="1"/>
  <c r="CL128" i="15" s="1"/>
  <c r="AE128" i="16"/>
  <c r="AK128" i="16" s="1"/>
  <c r="AP128" i="16" s="1"/>
  <c r="CY128" i="16"/>
  <c r="DE128" i="16" s="1"/>
  <c r="DJ128" i="16" s="1"/>
  <c r="G99" i="14"/>
  <c r="M99" i="14" s="1"/>
  <c r="R99" i="14" s="1"/>
  <c r="AE91" i="13"/>
  <c r="AK91" i="13" s="1"/>
  <c r="AP91" i="13" s="1"/>
  <c r="BC91" i="16"/>
  <c r="BI91" i="16" s="1"/>
  <c r="BN91" i="16" s="1"/>
  <c r="CY95" i="14"/>
  <c r="DE95" i="14" s="1"/>
  <c r="DJ95" i="14" s="1"/>
  <c r="G103" i="14"/>
  <c r="M103" i="14" s="1"/>
  <c r="R103" i="14" s="1"/>
  <c r="BC103" i="16"/>
  <c r="BI103" i="16" s="1"/>
  <c r="BN103" i="16" s="1"/>
  <c r="CY101" i="13"/>
  <c r="DE101" i="13" s="1"/>
  <c r="DJ101" i="13" s="1"/>
  <c r="G101" i="15"/>
  <c r="M101" i="15" s="1"/>
  <c r="R101" i="15" s="1"/>
  <c r="G96" i="13"/>
  <c r="M96" i="13" s="1"/>
  <c r="R96" i="13" s="1"/>
  <c r="BC97" i="15"/>
  <c r="BI97" i="15" s="1"/>
  <c r="BN97" i="15" s="1"/>
  <c r="G94" i="15"/>
  <c r="M94" i="15" s="1"/>
  <c r="R94" i="15" s="1"/>
  <c r="AE117" i="14"/>
  <c r="AK117" i="14" s="1"/>
  <c r="AP117" i="14" s="1"/>
  <c r="CY126" i="13"/>
  <c r="DE126" i="13" s="1"/>
  <c r="DJ126" i="13" s="1"/>
  <c r="CY117" i="14"/>
  <c r="DE117" i="14" s="1"/>
  <c r="DJ117" i="14" s="1"/>
  <c r="BC118" i="13"/>
  <c r="BI118" i="13" s="1"/>
  <c r="BN118" i="13" s="1"/>
  <c r="CA125" i="15"/>
  <c r="CG125" i="15" s="1"/>
  <c r="CL125" i="15" s="1"/>
  <c r="CA117" i="14"/>
  <c r="CG117" i="14" s="1"/>
  <c r="CL117" i="14" s="1"/>
  <c r="AE125" i="16"/>
  <c r="AK125" i="16" s="1"/>
  <c r="AP125" i="16" s="1"/>
  <c r="AE125" i="13"/>
  <c r="AK125" i="13" s="1"/>
  <c r="AP125" i="13" s="1"/>
  <c r="T113" i="14"/>
  <c r="G113" i="14"/>
  <c r="DL113" i="14"/>
  <c r="CY113" i="14"/>
  <c r="CN113" i="15"/>
  <c r="CA113" i="15"/>
  <c r="BP113" i="16"/>
  <c r="BC113" i="16"/>
  <c r="AE117" i="15"/>
  <c r="AK117" i="15" s="1"/>
  <c r="AP117" i="15" s="1"/>
  <c r="G117" i="16"/>
  <c r="M117" i="16" s="1"/>
  <c r="R117" i="16" s="1"/>
  <c r="CY117" i="16"/>
  <c r="DE117" i="16" s="1"/>
  <c r="DJ117" i="16" s="1"/>
  <c r="CA122" i="13"/>
  <c r="CG122" i="13" s="1"/>
  <c r="CL122" i="13" s="1"/>
  <c r="BC121" i="14"/>
  <c r="BI121" i="14" s="1"/>
  <c r="BN121" i="14" s="1"/>
  <c r="AE121" i="15"/>
  <c r="AK121" i="15" s="1"/>
  <c r="AP121" i="15" s="1"/>
  <c r="G121" i="16"/>
  <c r="M121" i="16" s="1"/>
  <c r="R121" i="16" s="1"/>
  <c r="CY121" i="16"/>
  <c r="DE121" i="16" s="1"/>
  <c r="DJ121" i="16" s="1"/>
  <c r="AE119" i="13"/>
  <c r="AK119" i="13" s="1"/>
  <c r="AP119" i="13" s="1"/>
  <c r="CA116" i="13"/>
  <c r="CG116" i="13" s="1"/>
  <c r="CL116" i="13" s="1"/>
  <c r="G115" i="14"/>
  <c r="M115" i="14" s="1"/>
  <c r="R115" i="14" s="1"/>
  <c r="BC115" i="14"/>
  <c r="BI115" i="14" s="1"/>
  <c r="BN115" i="14" s="1"/>
  <c r="CY127" i="14"/>
  <c r="DE127" i="14" s="1"/>
  <c r="DJ127" i="14" s="1"/>
  <c r="AE127" i="15"/>
  <c r="AK127" i="15" s="1"/>
  <c r="AP127" i="15" s="1"/>
  <c r="CA127" i="15"/>
  <c r="CG127" i="15" s="1"/>
  <c r="CL127" i="15" s="1"/>
  <c r="G127" i="16"/>
  <c r="M127" i="16" s="1"/>
  <c r="R127" i="16" s="1"/>
  <c r="BC127" i="16"/>
  <c r="BI127" i="16" s="1"/>
  <c r="BN127" i="16" s="1"/>
  <c r="G123" i="13"/>
  <c r="M123" i="13" s="1"/>
  <c r="R123" i="13" s="1"/>
  <c r="CY128" i="13"/>
  <c r="DE128" i="13" s="1"/>
  <c r="DJ128" i="13" s="1"/>
  <c r="BC128" i="13"/>
  <c r="BI128" i="13" s="1"/>
  <c r="BN128" i="13" s="1"/>
  <c r="AE127" i="14"/>
  <c r="AK127" i="14" s="1"/>
  <c r="AP127" i="14" s="1"/>
  <c r="CA115" i="14"/>
  <c r="CG115" i="14" s="1"/>
  <c r="CL115" i="14" s="1"/>
  <c r="G115" i="15"/>
  <c r="M115" i="15" s="1"/>
  <c r="R115" i="15" s="1"/>
  <c r="BC115" i="15"/>
  <c r="BI115" i="15" s="1"/>
  <c r="BN115" i="15" s="1"/>
  <c r="CY115" i="15"/>
  <c r="DE115" i="15" s="1"/>
  <c r="DJ115" i="15" s="1"/>
  <c r="AE115" i="16"/>
  <c r="AK115" i="16" s="1"/>
  <c r="AP115" i="16" s="1"/>
  <c r="CA115" i="16"/>
  <c r="CG115" i="16" s="1"/>
  <c r="CL115" i="16" s="1"/>
  <c r="CY125" i="16"/>
  <c r="DE125" i="16" s="1"/>
  <c r="DJ125" i="16" s="1"/>
  <c r="G116" i="13"/>
  <c r="M116" i="13" s="1"/>
  <c r="R116" i="13" s="1"/>
  <c r="AE116" i="13"/>
  <c r="AK116" i="13" s="1"/>
  <c r="AP116" i="13" s="1"/>
  <c r="CY117" i="13"/>
  <c r="DE117" i="13" s="1"/>
  <c r="DJ117" i="13" s="1"/>
  <c r="CA117" i="13"/>
  <c r="CG117" i="13" s="1"/>
  <c r="CL117" i="13" s="1"/>
  <c r="BC117" i="13"/>
  <c r="BI117" i="13" s="1"/>
  <c r="BN117" i="13" s="1"/>
  <c r="G116" i="14"/>
  <c r="M116" i="14" s="1"/>
  <c r="R116" i="14" s="1"/>
  <c r="AE116" i="14"/>
  <c r="AK116" i="14" s="1"/>
  <c r="AP116" i="14" s="1"/>
  <c r="BC116" i="14"/>
  <c r="BI116" i="14" s="1"/>
  <c r="BN116" i="14" s="1"/>
  <c r="CA126" i="14"/>
  <c r="CG126" i="14" s="1"/>
  <c r="CL126" i="14" s="1"/>
  <c r="CY126" i="14"/>
  <c r="DE126" i="14" s="1"/>
  <c r="DJ126" i="14" s="1"/>
  <c r="G126" i="15"/>
  <c r="M126" i="15" s="1"/>
  <c r="R126" i="15" s="1"/>
  <c r="AE126" i="15"/>
  <c r="AK126" i="15" s="1"/>
  <c r="AP126" i="15" s="1"/>
  <c r="BC126" i="15"/>
  <c r="BI126" i="15" s="1"/>
  <c r="BN126" i="15" s="1"/>
  <c r="CA126" i="15"/>
  <c r="CG126" i="15" s="1"/>
  <c r="CL126" i="15" s="1"/>
  <c r="CY126" i="15"/>
  <c r="DE126" i="15" s="1"/>
  <c r="DJ126" i="15" s="1"/>
  <c r="G126" i="16"/>
  <c r="M126" i="16" s="1"/>
  <c r="R126" i="16" s="1"/>
  <c r="AE126" i="16"/>
  <c r="AK126" i="16" s="1"/>
  <c r="AP126" i="16" s="1"/>
  <c r="BC126" i="16"/>
  <c r="BI126" i="16" s="1"/>
  <c r="BN126" i="16" s="1"/>
  <c r="CA126" i="16"/>
  <c r="CG126" i="16" s="1"/>
  <c r="CL126" i="16" s="1"/>
  <c r="CY126" i="16"/>
  <c r="DE126" i="16" s="1"/>
  <c r="DJ126" i="16" s="1"/>
  <c r="G118" i="13"/>
  <c r="M118" i="13" s="1"/>
  <c r="R118" i="13" s="1"/>
  <c r="AE118" i="13"/>
  <c r="AK118" i="13" s="1"/>
  <c r="AP118" i="13" s="1"/>
  <c r="CY119" i="13"/>
  <c r="DE119" i="13" s="1"/>
  <c r="DJ119" i="13" s="1"/>
  <c r="CA119" i="13"/>
  <c r="CG119" i="13" s="1"/>
  <c r="CL119" i="13" s="1"/>
  <c r="BC119" i="13"/>
  <c r="BI119" i="13" s="1"/>
  <c r="BN119" i="13" s="1"/>
  <c r="G118" i="14"/>
  <c r="M118" i="14" s="1"/>
  <c r="R118" i="14" s="1"/>
  <c r="AE118" i="14"/>
  <c r="AK118" i="14" s="1"/>
  <c r="AP118" i="14" s="1"/>
  <c r="BC118" i="14"/>
  <c r="BI118" i="14" s="1"/>
  <c r="BN118" i="14" s="1"/>
  <c r="CA124" i="14"/>
  <c r="CG124" i="14" s="1"/>
  <c r="CL124" i="14" s="1"/>
  <c r="CY124" i="14"/>
  <c r="DE124" i="14" s="1"/>
  <c r="DJ124" i="14" s="1"/>
  <c r="G124" i="15"/>
  <c r="M124" i="15" s="1"/>
  <c r="R124" i="15" s="1"/>
  <c r="AE124" i="15"/>
  <c r="AK124" i="15" s="1"/>
  <c r="AP124" i="15" s="1"/>
  <c r="BC124" i="15"/>
  <c r="BI124" i="15" s="1"/>
  <c r="BN124" i="15" s="1"/>
  <c r="CA124" i="15"/>
  <c r="CG124" i="15" s="1"/>
  <c r="CL124" i="15" s="1"/>
  <c r="CY124" i="15"/>
  <c r="DE124" i="15" s="1"/>
  <c r="DJ124" i="15" s="1"/>
  <c r="G124" i="16"/>
  <c r="M124" i="16" s="1"/>
  <c r="R124" i="16" s="1"/>
  <c r="AE124" i="16"/>
  <c r="AK124" i="16" s="1"/>
  <c r="AP124" i="16" s="1"/>
  <c r="BC124" i="16"/>
  <c r="BI124" i="16" s="1"/>
  <c r="BN124" i="16" s="1"/>
  <c r="CA124" i="16"/>
  <c r="CG124" i="16" s="1"/>
  <c r="CL124" i="16" s="1"/>
  <c r="CY124" i="16"/>
  <c r="DE124" i="16" s="1"/>
  <c r="DJ124" i="16" s="1"/>
  <c r="CY99" i="13"/>
  <c r="DE99" i="13" s="1"/>
  <c r="DJ99" i="13" s="1"/>
  <c r="AE99" i="13"/>
  <c r="AK99" i="13" s="1"/>
  <c r="AP99" i="13" s="1"/>
  <c r="BC99" i="16"/>
  <c r="BI99" i="16" s="1"/>
  <c r="BN99" i="16" s="1"/>
  <c r="CY99" i="15"/>
  <c r="DE99" i="15" s="1"/>
  <c r="DJ99" i="15" s="1"/>
  <c r="BC99" i="14"/>
  <c r="BI99" i="14" s="1"/>
  <c r="BN99" i="14" s="1"/>
  <c r="G102" i="13"/>
  <c r="M102" i="13" s="1"/>
  <c r="R102" i="13" s="1"/>
  <c r="CY91" i="13"/>
  <c r="DE91" i="13" s="1"/>
  <c r="DJ91" i="13" s="1"/>
  <c r="CA91" i="14"/>
  <c r="CG91" i="14" s="1"/>
  <c r="CL91" i="14" s="1"/>
  <c r="BC91" i="15"/>
  <c r="BI91" i="15" s="1"/>
  <c r="BN91" i="15" s="1"/>
  <c r="AE91" i="16"/>
  <c r="AK91" i="16" s="1"/>
  <c r="AP91" i="16" s="1"/>
  <c r="G98" i="13"/>
  <c r="M98" i="13" s="1"/>
  <c r="R98" i="13" s="1"/>
  <c r="CY95" i="13"/>
  <c r="DE95" i="13" s="1"/>
  <c r="DJ95" i="13" s="1"/>
  <c r="CA95" i="14"/>
  <c r="CG95" i="14" s="1"/>
  <c r="CL95" i="14" s="1"/>
  <c r="BC95" i="15"/>
  <c r="BI95" i="15" s="1"/>
  <c r="BN95" i="15" s="1"/>
  <c r="AE95" i="16"/>
  <c r="AK95" i="16" s="1"/>
  <c r="AP95" i="16" s="1"/>
  <c r="G90" i="13"/>
  <c r="M90" i="13" s="1"/>
  <c r="R90" i="13" s="1"/>
  <c r="CY103" i="13"/>
  <c r="DE103" i="13" s="1"/>
  <c r="DJ103" i="13" s="1"/>
  <c r="CA103" i="14"/>
  <c r="CG103" i="14" s="1"/>
  <c r="CL103" i="14" s="1"/>
  <c r="BC103" i="15"/>
  <c r="BI103" i="15" s="1"/>
  <c r="BN103" i="15" s="1"/>
  <c r="AE103" i="16"/>
  <c r="AK103" i="16" s="1"/>
  <c r="AP103" i="16" s="1"/>
  <c r="G100" i="13"/>
  <c r="M100" i="13" s="1"/>
  <c r="R100" i="13" s="1"/>
  <c r="BC93" i="13"/>
  <c r="BI93" i="13" s="1"/>
  <c r="BN93" i="13" s="1"/>
  <c r="CY93" i="13"/>
  <c r="DE93" i="13" s="1"/>
  <c r="DJ93" i="13" s="1"/>
  <c r="AE93" i="14"/>
  <c r="AK93" i="14" s="1"/>
  <c r="AP93" i="14" s="1"/>
  <c r="CA93" i="14"/>
  <c r="CG93" i="14" s="1"/>
  <c r="CL93" i="14" s="1"/>
  <c r="G93" i="15"/>
  <c r="M93" i="15" s="1"/>
  <c r="R93" i="15" s="1"/>
  <c r="BC93" i="15"/>
  <c r="BI93" i="15" s="1"/>
  <c r="BN93" i="15" s="1"/>
  <c r="CY93" i="15"/>
  <c r="DE93" i="15" s="1"/>
  <c r="DJ93" i="15" s="1"/>
  <c r="AE93" i="16"/>
  <c r="AK93" i="16" s="1"/>
  <c r="AP93" i="16" s="1"/>
  <c r="CA93" i="16"/>
  <c r="CG93" i="16" s="1"/>
  <c r="CL93" i="16" s="1"/>
  <c r="T88" i="13"/>
  <c r="G88" i="13"/>
  <c r="BC89" i="13"/>
  <c r="BI89" i="13" s="1"/>
  <c r="BN89" i="13" s="1"/>
  <c r="CY89" i="13"/>
  <c r="DE89" i="13" s="1"/>
  <c r="DJ89" i="13" s="1"/>
  <c r="AE89" i="14"/>
  <c r="AK89" i="14" s="1"/>
  <c r="AP89" i="14" s="1"/>
  <c r="CA89" i="14"/>
  <c r="CG89" i="14" s="1"/>
  <c r="CL89" i="14" s="1"/>
  <c r="G89" i="15"/>
  <c r="M89" i="15" s="1"/>
  <c r="R89" i="15" s="1"/>
  <c r="BC89" i="15"/>
  <c r="BI89" i="15" s="1"/>
  <c r="BN89" i="15" s="1"/>
  <c r="CY89" i="15"/>
  <c r="DE89" i="15" s="1"/>
  <c r="DJ89" i="15" s="1"/>
  <c r="AE89" i="16"/>
  <c r="AK89" i="16" s="1"/>
  <c r="AP89" i="16" s="1"/>
  <c r="CA89" i="16"/>
  <c r="CG89" i="16" s="1"/>
  <c r="CL89" i="16" s="1"/>
  <c r="G103" i="13"/>
  <c r="M103" i="13" s="1"/>
  <c r="R103" i="13" s="1"/>
  <c r="AR88" i="13"/>
  <c r="AE88" i="13"/>
  <c r="BP88" i="13"/>
  <c r="BC88" i="13"/>
  <c r="CN88" i="13"/>
  <c r="CA88" i="13"/>
  <c r="DL88" i="13"/>
  <c r="DL89" i="13" s="1"/>
  <c r="CY88" i="13"/>
  <c r="T88" i="14"/>
  <c r="G88" i="14"/>
  <c r="AR88" i="14"/>
  <c r="AE88" i="14"/>
  <c r="BP88" i="14"/>
  <c r="BC88" i="14"/>
  <c r="CN88" i="14"/>
  <c r="CA88" i="14"/>
  <c r="DL88" i="14"/>
  <c r="CY88" i="14"/>
  <c r="T88" i="15"/>
  <c r="G88" i="15"/>
  <c r="AR88" i="15"/>
  <c r="AE88" i="15"/>
  <c r="BP88" i="15"/>
  <c r="BP89" i="15" s="1"/>
  <c r="BC88" i="15"/>
  <c r="CN88" i="15"/>
  <c r="CA88" i="15"/>
  <c r="DL88" i="15"/>
  <c r="CY88" i="15"/>
  <c r="T88" i="16"/>
  <c r="G88" i="16"/>
  <c r="AR88" i="16"/>
  <c r="AR89" i="16" s="1"/>
  <c r="AE88" i="16"/>
  <c r="BP88" i="16"/>
  <c r="BC88" i="16"/>
  <c r="CN88" i="16"/>
  <c r="CA88" i="16"/>
  <c r="DL88" i="16"/>
  <c r="CY88" i="16"/>
  <c r="G101" i="13"/>
  <c r="M101" i="13" s="1"/>
  <c r="R101" i="13" s="1"/>
  <c r="AE90" i="13"/>
  <c r="AK90" i="13" s="1"/>
  <c r="AP90" i="13" s="1"/>
  <c r="BC90" i="13"/>
  <c r="BI90" i="13" s="1"/>
  <c r="BN90" i="13" s="1"/>
  <c r="CA90" i="13"/>
  <c r="CG90" i="13" s="1"/>
  <c r="CL90" i="13" s="1"/>
  <c r="CY90" i="13"/>
  <c r="DE90" i="13" s="1"/>
  <c r="DJ90" i="13" s="1"/>
  <c r="G90" i="14"/>
  <c r="M90" i="14" s="1"/>
  <c r="R90" i="14" s="1"/>
  <c r="AE90" i="14"/>
  <c r="AK90" i="14" s="1"/>
  <c r="AP90" i="14" s="1"/>
  <c r="BC90" i="14"/>
  <c r="BI90" i="14" s="1"/>
  <c r="BN90" i="14" s="1"/>
  <c r="CA90" i="14"/>
  <c r="CG90" i="14" s="1"/>
  <c r="CL90" i="14" s="1"/>
  <c r="CY90" i="14"/>
  <c r="DE90" i="14" s="1"/>
  <c r="DJ90" i="14" s="1"/>
  <c r="G90" i="15"/>
  <c r="M90" i="15" s="1"/>
  <c r="R90" i="15" s="1"/>
  <c r="AE90" i="15"/>
  <c r="AK90" i="15" s="1"/>
  <c r="AP90" i="15" s="1"/>
  <c r="BC90" i="15"/>
  <c r="BI90" i="15" s="1"/>
  <c r="BN90" i="15" s="1"/>
  <c r="CA90" i="15"/>
  <c r="CG90" i="15" s="1"/>
  <c r="CL90" i="15" s="1"/>
  <c r="CY90" i="15"/>
  <c r="DE90" i="15" s="1"/>
  <c r="DJ90" i="15" s="1"/>
  <c r="G90" i="16"/>
  <c r="M90" i="16" s="1"/>
  <c r="R90" i="16" s="1"/>
  <c r="AE90" i="16"/>
  <c r="AK90" i="16" s="1"/>
  <c r="AP90" i="16" s="1"/>
  <c r="BC90" i="16"/>
  <c r="BI90" i="16" s="1"/>
  <c r="BN90" i="16" s="1"/>
  <c r="CA90" i="16"/>
  <c r="CG90" i="16" s="1"/>
  <c r="CL90" i="16" s="1"/>
  <c r="CY90" i="16"/>
  <c r="DE90" i="16" s="1"/>
  <c r="DJ90" i="16" s="1"/>
  <c r="R17" i="2"/>
  <c r="S16" i="8" s="1"/>
  <c r="R22" i="2"/>
  <c r="R20" i="2"/>
  <c r="T14" i="8"/>
  <c r="Y16" i="2"/>
  <c r="U14" i="8" s="1"/>
  <c r="AE18" i="2"/>
  <c r="V17" i="8" s="1"/>
  <c r="K17" i="2"/>
  <c r="Q16" i="8" s="1"/>
  <c r="CX51" i="16"/>
  <c r="DG51" i="16" s="1"/>
  <c r="CX41" i="16"/>
  <c r="DG41" i="16" s="1"/>
  <c r="BZ50" i="16"/>
  <c r="CI50" i="16" s="1"/>
  <c r="BZ42" i="16"/>
  <c r="CI42" i="16" s="1"/>
  <c r="CX48" i="14"/>
  <c r="DG48" i="14" s="1"/>
  <c r="CX39" i="14"/>
  <c r="DG39" i="14" s="1"/>
  <c r="CX38" i="14"/>
  <c r="DG38" i="14" s="1"/>
  <c r="BZ53" i="14"/>
  <c r="CI53" i="14" s="1"/>
  <c r="BZ46" i="14"/>
  <c r="CI46" i="14" s="1"/>
  <c r="BZ42" i="14"/>
  <c r="CI42" i="14" s="1"/>
  <c r="BZ39" i="14"/>
  <c r="CI39" i="14" s="1"/>
  <c r="BB44" i="14"/>
  <c r="BK44" i="14" s="1"/>
  <c r="CX51" i="13"/>
  <c r="DG51" i="13" s="1"/>
  <c r="CX40" i="13"/>
  <c r="DG40" i="13" s="1"/>
  <c r="CX38" i="13"/>
  <c r="DG38" i="13" s="1"/>
  <c r="BZ50" i="13"/>
  <c r="CI50" i="13" s="1"/>
  <c r="BZ46" i="13"/>
  <c r="CI46" i="13" s="1"/>
  <c r="BZ42" i="13"/>
  <c r="CI42" i="13" s="1"/>
  <c r="BB53" i="13"/>
  <c r="BK53" i="13" s="1"/>
  <c r="F50" i="16"/>
  <c r="O50" i="16" s="1"/>
  <c r="AD47" i="16"/>
  <c r="AM47" i="16" s="1"/>
  <c r="F42" i="16"/>
  <c r="O42" i="16" s="1"/>
  <c r="F49" i="15"/>
  <c r="O49" i="15" s="1"/>
  <c r="AD39" i="15"/>
  <c r="AM39" i="15" s="1"/>
  <c r="AD52" i="14"/>
  <c r="AM52" i="14" s="1"/>
  <c r="AD50" i="14"/>
  <c r="AM50" i="14" s="1"/>
  <c r="F49" i="14"/>
  <c r="O49" i="14" s="1"/>
  <c r="F44" i="14"/>
  <c r="O44" i="14" s="1"/>
  <c r="AD51" i="13"/>
  <c r="AM51" i="13" s="1"/>
  <c r="AD47" i="13"/>
  <c r="AM47" i="13" s="1"/>
  <c r="AD43" i="13"/>
  <c r="AM43" i="13" s="1"/>
  <c r="AD39" i="13"/>
  <c r="AM39" i="13" s="1"/>
  <c r="CX50" i="16"/>
  <c r="DG50" i="16" s="1"/>
  <c r="CX40" i="16"/>
  <c r="DG40" i="16" s="1"/>
  <c r="BZ49" i="16"/>
  <c r="CI49" i="16" s="1"/>
  <c r="BZ41" i="16"/>
  <c r="CI41" i="16" s="1"/>
  <c r="BB53" i="16"/>
  <c r="BK53" i="16" s="1"/>
  <c r="BB51" i="16"/>
  <c r="BK51" i="16" s="1"/>
  <c r="BB49" i="16"/>
  <c r="BK49" i="16" s="1"/>
  <c r="BB47" i="16"/>
  <c r="BK47" i="16" s="1"/>
  <c r="BB45" i="16"/>
  <c r="BK45" i="16" s="1"/>
  <c r="BB43" i="16"/>
  <c r="BK43" i="16" s="1"/>
  <c r="BB41" i="16"/>
  <c r="BK41" i="16" s="1"/>
  <c r="BB39" i="16"/>
  <c r="BK39" i="16" s="1"/>
  <c r="BB38" i="16"/>
  <c r="BK38" i="16" s="1"/>
  <c r="BZ39" i="15"/>
  <c r="CI39" i="15" s="1"/>
  <c r="CX53" i="14"/>
  <c r="DG53" i="14" s="1"/>
  <c r="CX47" i="14"/>
  <c r="DG47" i="14" s="1"/>
  <c r="BZ41" i="14"/>
  <c r="CI41" i="14" s="1"/>
  <c r="BB48" i="14"/>
  <c r="BK48" i="14" s="1"/>
  <c r="CX46" i="13"/>
  <c r="DG46" i="13" s="1"/>
  <c r="BB52" i="13"/>
  <c r="BK52" i="13" s="1"/>
  <c r="BB48" i="13"/>
  <c r="BK48" i="13" s="1"/>
  <c r="BB44" i="13"/>
  <c r="BK44" i="13" s="1"/>
  <c r="AD48" i="16"/>
  <c r="AM48" i="16" s="1"/>
  <c r="AD41" i="16"/>
  <c r="AM41" i="16" s="1"/>
  <c r="F50" i="15"/>
  <c r="O50" i="15" s="1"/>
  <c r="F43" i="15"/>
  <c r="O43" i="15" s="1"/>
  <c r="F50" i="14"/>
  <c r="O50" i="14" s="1"/>
  <c r="AD43" i="14"/>
  <c r="AM43" i="14" s="1"/>
  <c r="F42" i="14"/>
  <c r="O42" i="14" s="1"/>
  <c r="AD40" i="14"/>
  <c r="AM40" i="14" s="1"/>
  <c r="CX48" i="16"/>
  <c r="DG48" i="16" s="1"/>
  <c r="CX43" i="16"/>
  <c r="DG43" i="16" s="1"/>
  <c r="BZ47" i="16"/>
  <c r="CI47" i="16" s="1"/>
  <c r="BZ39" i="16"/>
  <c r="CI39" i="16" s="1"/>
  <c r="BZ52" i="15"/>
  <c r="CI52" i="15" s="1"/>
  <c r="BZ47" i="15"/>
  <c r="CI47" i="15" s="1"/>
  <c r="BZ42" i="15"/>
  <c r="CI42" i="15" s="1"/>
  <c r="BZ38" i="15"/>
  <c r="CI38" i="15" s="1"/>
  <c r="CX44" i="14"/>
  <c r="DG44" i="14" s="1"/>
  <c r="BB49" i="14"/>
  <c r="BK49" i="14" s="1"/>
  <c r="BB43" i="14"/>
  <c r="BK43" i="14" s="1"/>
  <c r="CX47" i="13"/>
  <c r="DG47" i="13" s="1"/>
  <c r="CX43" i="13"/>
  <c r="DG43" i="13" s="1"/>
  <c r="BB49" i="13"/>
  <c r="BK49" i="13" s="1"/>
  <c r="BB45" i="13"/>
  <c r="BK45" i="13" s="1"/>
  <c r="BB41" i="13"/>
  <c r="BK41" i="13" s="1"/>
  <c r="F51" i="16"/>
  <c r="O51" i="16" s="1"/>
  <c r="F46" i="16"/>
  <c r="O46" i="16" s="1"/>
  <c r="F43" i="16"/>
  <c r="O43" i="16" s="1"/>
  <c r="AD40" i="16"/>
  <c r="AM40" i="16" s="1"/>
  <c r="AD53" i="15"/>
  <c r="AM53" i="15" s="1"/>
  <c r="F52" i="15"/>
  <c r="O52" i="15" s="1"/>
  <c r="AD50" i="15"/>
  <c r="AM50" i="15" s="1"/>
  <c r="F46" i="15"/>
  <c r="O46" i="15" s="1"/>
  <c r="F42" i="15"/>
  <c r="O42" i="15" s="1"/>
  <c r="AD53" i="14"/>
  <c r="AM53" i="14" s="1"/>
  <c r="F52" i="14"/>
  <c r="O52" i="14" s="1"/>
  <c r="AD47" i="14"/>
  <c r="AM47" i="14" s="1"/>
  <c r="AD42" i="14"/>
  <c r="AM42" i="14" s="1"/>
  <c r="AD39" i="14"/>
  <c r="AM39" i="14" s="1"/>
  <c r="CX42" i="13"/>
  <c r="DG42" i="13" s="1"/>
  <c r="BB40" i="13"/>
  <c r="BK40" i="13" s="1"/>
  <c r="CX53" i="16"/>
  <c r="DG53" i="16" s="1"/>
  <c r="CX45" i="16"/>
  <c r="DG45" i="16" s="1"/>
  <c r="BZ52" i="16"/>
  <c r="CI52" i="16" s="1"/>
  <c r="BZ44" i="16"/>
  <c r="CI44" i="16" s="1"/>
  <c r="CY53" i="15"/>
  <c r="CX51" i="15"/>
  <c r="DG51" i="15" s="1"/>
  <c r="CX49" i="15"/>
  <c r="DG49" i="15" s="1"/>
  <c r="CX47" i="15"/>
  <c r="DG47" i="15" s="1"/>
  <c r="CX45" i="15"/>
  <c r="DG45" i="15" s="1"/>
  <c r="CX43" i="15"/>
  <c r="DG43" i="15" s="1"/>
  <c r="CX41" i="15"/>
  <c r="DG41" i="15" s="1"/>
  <c r="CX39" i="15"/>
  <c r="DG39" i="15" s="1"/>
  <c r="CX38" i="15"/>
  <c r="DG38" i="15" s="1"/>
  <c r="BZ49" i="15"/>
  <c r="CI49" i="15" s="1"/>
  <c r="BZ44" i="15"/>
  <c r="CI44" i="15" s="1"/>
  <c r="BB52" i="15"/>
  <c r="BK52" i="15" s="1"/>
  <c r="BB50" i="15"/>
  <c r="BK50" i="15" s="1"/>
  <c r="BB48" i="15"/>
  <c r="BK48" i="15" s="1"/>
  <c r="BB46" i="15"/>
  <c r="BK46" i="15" s="1"/>
  <c r="BB44" i="15"/>
  <c r="BK44" i="15" s="1"/>
  <c r="BB42" i="15"/>
  <c r="BK42" i="15" s="1"/>
  <c r="BB40" i="15"/>
  <c r="BK40" i="15" s="1"/>
  <c r="CX50" i="14"/>
  <c r="DG50" i="14" s="1"/>
  <c r="CX41" i="14"/>
  <c r="DG41" i="14" s="1"/>
  <c r="BZ52" i="14"/>
  <c r="CI52" i="14" s="1"/>
  <c r="BZ49" i="14"/>
  <c r="CI49" i="14" s="1"/>
  <c r="BZ45" i="14"/>
  <c r="CI45" i="14" s="1"/>
  <c r="BB42" i="14"/>
  <c r="BK42" i="14" s="1"/>
  <c r="CX50" i="13"/>
  <c r="DG50" i="13" s="1"/>
  <c r="CX39" i="13"/>
  <c r="DG39" i="13" s="1"/>
  <c r="BZ53" i="13"/>
  <c r="CI53" i="13" s="1"/>
  <c r="BZ49" i="13"/>
  <c r="CI49" i="13" s="1"/>
  <c r="BZ45" i="13"/>
  <c r="CI45" i="13" s="1"/>
  <c r="BZ41" i="13"/>
  <c r="CI41" i="13" s="1"/>
  <c r="BB38" i="13"/>
  <c r="BK38" i="13" s="1"/>
  <c r="AD53" i="16"/>
  <c r="AM53" i="16" s="1"/>
  <c r="AD52" i="16"/>
  <c r="AM52" i="16" s="1"/>
  <c r="AD44" i="16"/>
  <c r="AM44" i="16" s="1"/>
  <c r="AD47" i="15"/>
  <c r="AM47" i="15" s="1"/>
  <c r="AD44" i="15"/>
  <c r="AM44" i="15" s="1"/>
  <c r="AD40" i="15"/>
  <c r="AM40" i="15" s="1"/>
  <c r="AD45" i="14"/>
  <c r="AM45" i="14" s="1"/>
  <c r="AD50" i="13"/>
  <c r="AM50" i="13" s="1"/>
  <c r="AD46" i="13"/>
  <c r="AM46" i="13" s="1"/>
  <c r="AD42" i="13"/>
  <c r="AM42" i="13" s="1"/>
  <c r="BB41" i="14"/>
  <c r="BK41" i="14" s="1"/>
  <c r="F47" i="16"/>
  <c r="O47" i="16" s="1"/>
  <c r="AD48" i="15"/>
  <c r="AM48" i="15" s="1"/>
  <c r="CX52" i="16"/>
  <c r="DG52" i="16" s="1"/>
  <c r="CX44" i="16"/>
  <c r="DG44" i="16" s="1"/>
  <c r="BZ51" i="16"/>
  <c r="CI51" i="16" s="1"/>
  <c r="BZ43" i="16"/>
  <c r="CI43" i="16" s="1"/>
  <c r="BZ48" i="15"/>
  <c r="CI48" i="15" s="1"/>
  <c r="CX52" i="14"/>
  <c r="DG52" i="14" s="1"/>
  <c r="CX49" i="14"/>
  <c r="DG49" i="14" s="1"/>
  <c r="CX46" i="14"/>
  <c r="DG46" i="14" s="1"/>
  <c r="CX40" i="14"/>
  <c r="DG40" i="14" s="1"/>
  <c r="BZ51" i="14"/>
  <c r="CI51" i="14" s="1"/>
  <c r="BZ40" i="14"/>
  <c r="CI40" i="14" s="1"/>
  <c r="BB52" i="14"/>
  <c r="BK52" i="14" s="1"/>
  <c r="BB47" i="14"/>
  <c r="BK47" i="14" s="1"/>
  <c r="CX45" i="13"/>
  <c r="DG45" i="13" s="1"/>
  <c r="CX41" i="13"/>
  <c r="DG41" i="13" s="1"/>
  <c r="BZ38" i="13"/>
  <c r="CI38" i="13" s="1"/>
  <c r="BB51" i="13"/>
  <c r="BK51" i="13" s="1"/>
  <c r="BB47" i="13"/>
  <c r="BK47" i="13" s="1"/>
  <c r="BB43" i="13"/>
  <c r="BK43" i="13" s="1"/>
  <c r="BB39" i="13"/>
  <c r="BK39" i="13" s="1"/>
  <c r="F48" i="16"/>
  <c r="O48" i="16" s="1"/>
  <c r="AD42" i="16"/>
  <c r="AM42" i="16" s="1"/>
  <c r="F39" i="16"/>
  <c r="O39" i="16" s="1"/>
  <c r="AD38" i="16"/>
  <c r="AM38" i="16" s="1"/>
  <c r="AD38" i="15"/>
  <c r="AM38" i="15" s="1"/>
  <c r="F53" i="14"/>
  <c r="O53" i="14" s="1"/>
  <c r="F51" i="14"/>
  <c r="O51" i="14" s="1"/>
  <c r="F40" i="14"/>
  <c r="O40" i="14" s="1"/>
  <c r="CX49" i="16"/>
  <c r="DG49" i="16" s="1"/>
  <c r="BZ48" i="16"/>
  <c r="CI48" i="16" s="1"/>
  <c r="BZ40" i="16"/>
  <c r="CI40" i="16" s="1"/>
  <c r="CX52" i="15"/>
  <c r="DG52" i="15" s="1"/>
  <c r="CX50" i="15"/>
  <c r="DG50" i="15" s="1"/>
  <c r="CX48" i="15"/>
  <c r="DG48" i="15" s="1"/>
  <c r="CX46" i="15"/>
  <c r="DG46" i="15" s="1"/>
  <c r="CX44" i="15"/>
  <c r="DG44" i="15" s="1"/>
  <c r="CX42" i="15"/>
  <c r="DG42" i="15" s="1"/>
  <c r="CX40" i="15"/>
  <c r="DG40" i="15" s="1"/>
  <c r="BZ53" i="15"/>
  <c r="CI53" i="15" s="1"/>
  <c r="BZ43" i="15"/>
  <c r="CI43" i="15" s="1"/>
  <c r="BB53" i="15"/>
  <c r="BK53" i="15" s="1"/>
  <c r="BB51" i="15"/>
  <c r="BK51" i="15" s="1"/>
  <c r="BB49" i="15"/>
  <c r="BK49" i="15" s="1"/>
  <c r="BB47" i="15"/>
  <c r="BK47" i="15" s="1"/>
  <c r="BB45" i="15"/>
  <c r="BK45" i="15" s="1"/>
  <c r="BB43" i="15"/>
  <c r="BK43" i="15" s="1"/>
  <c r="BB41" i="15"/>
  <c r="BK41" i="15" s="1"/>
  <c r="BB39" i="15"/>
  <c r="BK39" i="15" s="1"/>
  <c r="BB38" i="15"/>
  <c r="BK38" i="15" s="1"/>
  <c r="BZ47" i="14"/>
  <c r="CI47" i="14" s="1"/>
  <c r="BZ43" i="14"/>
  <c r="CI43" i="14" s="1"/>
  <c r="BZ38" i="14"/>
  <c r="CI38" i="14" s="1"/>
  <c r="BB51" i="14"/>
  <c r="BK51" i="14" s="1"/>
  <c r="BB46" i="14"/>
  <c r="BK46" i="14" s="1"/>
  <c r="BB39" i="14"/>
  <c r="BK39" i="14" s="1"/>
  <c r="CX52" i="13"/>
  <c r="DG52" i="13" s="1"/>
  <c r="BZ51" i="13"/>
  <c r="CI51" i="13" s="1"/>
  <c r="BZ47" i="13"/>
  <c r="CI47" i="13" s="1"/>
  <c r="BZ43" i="13"/>
  <c r="CI43" i="13" s="1"/>
  <c r="F53" i="16"/>
  <c r="O53" i="16" s="1"/>
  <c r="CX46" i="16"/>
  <c r="DG46" i="16" s="1"/>
  <c r="BZ46" i="16"/>
  <c r="CI46" i="16" s="1"/>
  <c r="BB50" i="16"/>
  <c r="BK50" i="16" s="1"/>
  <c r="BB42" i="16"/>
  <c r="BK42" i="16" s="1"/>
  <c r="BZ40" i="13"/>
  <c r="CI40" i="13" s="1"/>
  <c r="BB42" i="13"/>
  <c r="BK42" i="13" s="1"/>
  <c r="AD51" i="16"/>
  <c r="AM51" i="16" s="1"/>
  <c r="F45" i="16"/>
  <c r="O45" i="16" s="1"/>
  <c r="AD51" i="15"/>
  <c r="AM51" i="15" s="1"/>
  <c r="AD49" i="15"/>
  <c r="AM49" i="15" s="1"/>
  <c r="F44" i="15"/>
  <c r="O44" i="15" s="1"/>
  <c r="AD42" i="15"/>
  <c r="AM42" i="15" s="1"/>
  <c r="F48" i="14"/>
  <c r="O48" i="14" s="1"/>
  <c r="CX42" i="16"/>
  <c r="DG42" i="16" s="1"/>
  <c r="CX39" i="16"/>
  <c r="DG39" i="16" s="1"/>
  <c r="BZ53" i="16"/>
  <c r="CI53" i="16" s="1"/>
  <c r="BZ45" i="15"/>
  <c r="CI45" i="15" s="1"/>
  <c r="CX42" i="14"/>
  <c r="DG42" i="14" s="1"/>
  <c r="BZ50" i="14"/>
  <c r="CI50" i="14" s="1"/>
  <c r="BB45" i="14"/>
  <c r="BK45" i="14" s="1"/>
  <c r="BZ52" i="13"/>
  <c r="CI52" i="13" s="1"/>
  <c r="AD46" i="16"/>
  <c r="AM46" i="16" s="1"/>
  <c r="F53" i="15"/>
  <c r="O53" i="15" s="1"/>
  <c r="AD45" i="15"/>
  <c r="AM45" i="15" s="1"/>
  <c r="F39" i="15"/>
  <c r="O39" i="15" s="1"/>
  <c r="F43" i="14"/>
  <c r="O43" i="14" s="1"/>
  <c r="AD49" i="13"/>
  <c r="AM49" i="13" s="1"/>
  <c r="AD44" i="13"/>
  <c r="AM44" i="13" s="1"/>
  <c r="F41" i="16"/>
  <c r="O41" i="16" s="1"/>
  <c r="AD39" i="16"/>
  <c r="AM39" i="16" s="1"/>
  <c r="F38" i="16"/>
  <c r="O38" i="16" s="1"/>
  <c r="F47" i="15"/>
  <c r="O47" i="15" s="1"/>
  <c r="AD49" i="14"/>
  <c r="AM49" i="14" s="1"/>
  <c r="F45" i="14"/>
  <c r="O45" i="14" s="1"/>
  <c r="BZ45" i="16"/>
  <c r="CI45" i="16" s="1"/>
  <c r="BZ39" i="13"/>
  <c r="CI39" i="13" s="1"/>
  <c r="BB46" i="13"/>
  <c r="BK46" i="13" s="1"/>
  <c r="AD49" i="16"/>
  <c r="AM49" i="16" s="1"/>
  <c r="AD43" i="15"/>
  <c r="AM43" i="15" s="1"/>
  <c r="F40" i="15"/>
  <c r="O40" i="15" s="1"/>
  <c r="AD51" i="14"/>
  <c r="AM51" i="14" s="1"/>
  <c r="F47" i="14"/>
  <c r="O47" i="14" s="1"/>
  <c r="AD48" i="13"/>
  <c r="AM48" i="13" s="1"/>
  <c r="BZ38" i="16"/>
  <c r="CI38" i="16" s="1"/>
  <c r="BB53" i="14"/>
  <c r="BK53" i="14" s="1"/>
  <c r="CX44" i="13"/>
  <c r="DG44" i="13" s="1"/>
  <c r="AD50" i="16"/>
  <c r="AM50" i="16" s="1"/>
  <c r="F44" i="16"/>
  <c r="O44" i="16" s="1"/>
  <c r="F45" i="15"/>
  <c r="O45" i="15" s="1"/>
  <c r="AD38" i="13"/>
  <c r="AM38" i="13" s="1"/>
  <c r="BZ44" i="13"/>
  <c r="CI44" i="13" s="1"/>
  <c r="BB52" i="16"/>
  <c r="BK52" i="16" s="1"/>
  <c r="BB44" i="16"/>
  <c r="BK44" i="16" s="1"/>
  <c r="BZ51" i="15"/>
  <c r="CI51" i="15" s="1"/>
  <c r="BZ41" i="15"/>
  <c r="CI41" i="15" s="1"/>
  <c r="CX45" i="14"/>
  <c r="DG45" i="14" s="1"/>
  <c r="BZ44" i="14"/>
  <c r="CI44" i="14" s="1"/>
  <c r="BB40" i="14"/>
  <c r="BK40" i="14" s="1"/>
  <c r="F51" i="15"/>
  <c r="O51" i="15" s="1"/>
  <c r="BB46" i="16"/>
  <c r="BK46" i="16" s="1"/>
  <c r="CX47" i="16"/>
  <c r="DG47" i="16" s="1"/>
  <c r="BZ50" i="15"/>
  <c r="CI50" i="15" s="1"/>
  <c r="BZ40" i="15"/>
  <c r="CI40" i="15" s="1"/>
  <c r="BZ48" i="14"/>
  <c r="CI48" i="14" s="1"/>
  <c r="BB50" i="14"/>
  <c r="BK50" i="14" s="1"/>
  <c r="F52" i="16"/>
  <c r="O52" i="16" s="1"/>
  <c r="AD45" i="16"/>
  <c r="AM45" i="16" s="1"/>
  <c r="F48" i="15"/>
  <c r="O48" i="15" s="1"/>
  <c r="AD46" i="15"/>
  <c r="AM46" i="15" s="1"/>
  <c r="AD44" i="14"/>
  <c r="AM44" i="14" s="1"/>
  <c r="AD52" i="13"/>
  <c r="AM52" i="13" s="1"/>
  <c r="AD41" i="13"/>
  <c r="AM41" i="13" s="1"/>
  <c r="CX38" i="16"/>
  <c r="DG38" i="16" s="1"/>
  <c r="BB48" i="16"/>
  <c r="BK48" i="16" s="1"/>
  <c r="BB40" i="16"/>
  <c r="BK40" i="16" s="1"/>
  <c r="BZ46" i="15"/>
  <c r="CI46" i="15" s="1"/>
  <c r="CX43" i="14"/>
  <c r="DG43" i="14" s="1"/>
  <c r="BZ48" i="13"/>
  <c r="CI48" i="13" s="1"/>
  <c r="BB50" i="13"/>
  <c r="BK50" i="13" s="1"/>
  <c r="F49" i="16"/>
  <c r="O49" i="16" s="1"/>
  <c r="F41" i="15"/>
  <c r="O41" i="15" s="1"/>
  <c r="AD48" i="14"/>
  <c r="AM48" i="14" s="1"/>
  <c r="AD46" i="14"/>
  <c r="AM46" i="14" s="1"/>
  <c r="AD41" i="14"/>
  <c r="AM41" i="14" s="1"/>
  <c r="AD38" i="14"/>
  <c r="AM38" i="14" s="1"/>
  <c r="F38" i="14"/>
  <c r="O38" i="14" s="1"/>
  <c r="CX51" i="14"/>
  <c r="DG51" i="14" s="1"/>
  <c r="BB38" i="14"/>
  <c r="BK38" i="14" s="1"/>
  <c r="CX53" i="13"/>
  <c r="DG53" i="13" s="1"/>
  <c r="CX48" i="13"/>
  <c r="DG48" i="13" s="1"/>
  <c r="AD43" i="16"/>
  <c r="AM43" i="16" s="1"/>
  <c r="F40" i="16"/>
  <c r="O40" i="16" s="1"/>
  <c r="F38" i="15"/>
  <c r="O38" i="15" s="1"/>
  <c r="F46" i="14"/>
  <c r="O46" i="14" s="1"/>
  <c r="F41" i="14"/>
  <c r="O41" i="14" s="1"/>
  <c r="F39" i="14"/>
  <c r="O39" i="14" s="1"/>
  <c r="AD45" i="13"/>
  <c r="AM45" i="13" s="1"/>
  <c r="AD40" i="13"/>
  <c r="AM40" i="13" s="1"/>
  <c r="AD53" i="13"/>
  <c r="AM53" i="13" s="1"/>
  <c r="CX49" i="13"/>
  <c r="DG49" i="13" s="1"/>
  <c r="AD52" i="15"/>
  <c r="AM52" i="15" s="1"/>
  <c r="AD41" i="15"/>
  <c r="AM41" i="15" s="1"/>
  <c r="H47" i="10"/>
  <c r="Y47" i="10" s="1"/>
  <c r="K69" i="22" s="1"/>
  <c r="H52" i="10"/>
  <c r="Y52" i="10" s="1"/>
  <c r="K74" i="22" s="1"/>
  <c r="H48" i="10"/>
  <c r="Y48" i="10" s="1"/>
  <c r="K70" i="22" s="1"/>
  <c r="H44" i="10"/>
  <c r="Y44" i="10" s="1"/>
  <c r="K66" i="22" s="1"/>
  <c r="H40" i="10"/>
  <c r="Y40" i="10" s="1"/>
  <c r="K62" i="22" s="1"/>
  <c r="H54" i="10"/>
  <c r="Y54" i="10" s="1"/>
  <c r="K76" i="22" s="1"/>
  <c r="AF39" i="10"/>
  <c r="H39" i="10"/>
  <c r="H43" i="10"/>
  <c r="Y43" i="10" s="1"/>
  <c r="K65" i="22" s="1"/>
  <c r="H42" i="10"/>
  <c r="Y42" i="10" s="1"/>
  <c r="K64" i="22" s="1"/>
  <c r="H46" i="10"/>
  <c r="Y46" i="10" s="1"/>
  <c r="K68" i="22" s="1"/>
  <c r="H51" i="10"/>
  <c r="Y51" i="10" s="1"/>
  <c r="K73" i="22" s="1"/>
  <c r="H50" i="10"/>
  <c r="Y50" i="10" s="1"/>
  <c r="K72" i="22" s="1"/>
  <c r="H45" i="10"/>
  <c r="Y45" i="10" s="1"/>
  <c r="K67" i="22" s="1"/>
  <c r="H49" i="10"/>
  <c r="Y49" i="10" s="1"/>
  <c r="K71" i="22" s="1"/>
  <c r="H41" i="10"/>
  <c r="Y41" i="10" s="1"/>
  <c r="K63" i="22" s="1"/>
  <c r="H53" i="10"/>
  <c r="Y53" i="10" s="1"/>
  <c r="K75" i="22" s="1"/>
  <c r="K23" i="2"/>
  <c r="K42" i="2" s="1"/>
  <c r="K41" i="2" s="1"/>
  <c r="P20" i="8"/>
  <c r="X18" i="2"/>
  <c r="T17" i="8" s="1"/>
  <c r="O43" i="13" l="1"/>
  <c r="G43" i="13"/>
  <c r="O46" i="13"/>
  <c r="G46" i="13"/>
  <c r="O39" i="13"/>
  <c r="G39" i="13"/>
  <c r="O40" i="13"/>
  <c r="G40" i="13"/>
  <c r="O41" i="13"/>
  <c r="G41" i="13"/>
  <c r="BO63" i="15"/>
  <c r="BT63" i="15" s="1"/>
  <c r="BR63" i="15"/>
  <c r="O38" i="13"/>
  <c r="G38" i="13"/>
  <c r="O44" i="13"/>
  <c r="G44" i="13"/>
  <c r="O45" i="13"/>
  <c r="G45" i="13"/>
  <c r="AN73" i="15"/>
  <c r="AS73" i="15" s="1"/>
  <c r="AR73" i="15"/>
  <c r="CN63" i="15"/>
  <c r="CS63" i="15" s="1"/>
  <c r="CR63" i="15"/>
  <c r="CW63" i="15" s="1"/>
  <c r="CW64" i="15" s="1"/>
  <c r="CW65" i="15" s="1"/>
  <c r="CW66" i="15" s="1"/>
  <c r="CW67" i="15" s="1"/>
  <c r="CW68" i="15" s="1"/>
  <c r="CW69" i="15" s="1"/>
  <c r="CW70" i="15" s="1"/>
  <c r="O50" i="13"/>
  <c r="G50" i="13"/>
  <c r="O51" i="13"/>
  <c r="G51" i="13"/>
  <c r="O52" i="13"/>
  <c r="G52" i="13"/>
  <c r="O53" i="13"/>
  <c r="G53" i="13"/>
  <c r="O42" i="13"/>
  <c r="G42" i="13"/>
  <c r="O47" i="13"/>
  <c r="G47" i="13"/>
  <c r="O48" i="13"/>
  <c r="G48" i="13"/>
  <c r="O49" i="13"/>
  <c r="G49" i="13"/>
  <c r="CW76" i="16"/>
  <c r="CW77" i="16" s="1"/>
  <c r="CW78" i="16" s="1"/>
  <c r="U162" i="16" s="1"/>
  <c r="U163" i="16" s="1"/>
  <c r="AL166" i="15"/>
  <c r="AL168" i="15" s="1"/>
  <c r="AK115" i="13"/>
  <c r="AP115" i="13" s="1"/>
  <c r="AK128" i="13"/>
  <c r="AP128" i="13" s="1"/>
  <c r="AK114" i="13"/>
  <c r="AP114" i="13" s="1"/>
  <c r="BP90" i="15"/>
  <c r="BP91" i="15" s="1"/>
  <c r="CO76" i="15"/>
  <c r="CT76" i="15" s="1"/>
  <c r="CN76" i="15"/>
  <c r="CS76" i="15" s="1"/>
  <c r="BO71" i="15"/>
  <c r="BT71" i="15" s="1"/>
  <c r="BN71" i="15"/>
  <c r="BS71" i="15" s="1"/>
  <c r="BN63" i="15"/>
  <c r="CO63" i="15"/>
  <c r="AW71" i="16"/>
  <c r="AW72" i="16" s="1"/>
  <c r="AW73" i="16" s="1"/>
  <c r="AW74" i="16" s="1"/>
  <c r="AW75" i="16" s="1"/>
  <c r="AW76" i="16" s="1"/>
  <c r="AW77" i="16" s="1"/>
  <c r="AW78" i="16" s="1"/>
  <c r="S162" i="16" s="1"/>
  <c r="S163" i="16" s="1"/>
  <c r="CB88" i="15"/>
  <c r="I13" i="10"/>
  <c r="W13" i="10" s="1"/>
  <c r="BW71" i="13"/>
  <c r="BW72" i="13" s="1"/>
  <c r="BW73" i="13" s="1"/>
  <c r="BW74" i="13" s="1"/>
  <c r="BW75" i="13" s="1"/>
  <c r="BW76" i="13" s="1"/>
  <c r="BW77" i="13" s="1"/>
  <c r="BW78" i="13" s="1"/>
  <c r="U162" i="13" s="1"/>
  <c r="U163" i="13" s="1"/>
  <c r="U165" i="13" s="1"/>
  <c r="U167" i="13" s="1"/>
  <c r="CX63" i="15"/>
  <c r="CX64" i="15" s="1"/>
  <c r="CX65" i="15" s="1"/>
  <c r="CX66" i="15" s="1"/>
  <c r="CX67" i="15" s="1"/>
  <c r="CX68" i="15" s="1"/>
  <c r="CX69" i="15" s="1"/>
  <c r="CX70" i="15" s="1"/>
  <c r="AX63" i="14"/>
  <c r="AX64" i="14" s="1"/>
  <c r="AX65" i="14" s="1"/>
  <c r="AX66" i="14" s="1"/>
  <c r="AX67" i="14" s="1"/>
  <c r="AX68" i="14" s="1"/>
  <c r="AX69" i="14" s="1"/>
  <c r="AX70" i="14" s="1"/>
  <c r="AX71" i="14" s="1"/>
  <c r="AX72" i="14" s="1"/>
  <c r="AX73" i="14" s="1"/>
  <c r="AX74" i="14" s="1"/>
  <c r="AX75" i="14" s="1"/>
  <c r="AX76" i="14" s="1"/>
  <c r="AX77" i="14" s="1"/>
  <c r="AX78" i="14" s="1"/>
  <c r="DX63" i="14"/>
  <c r="DX64" i="14" s="1"/>
  <c r="DX65" i="14" s="1"/>
  <c r="DX66" i="14" s="1"/>
  <c r="DX67" i="14" s="1"/>
  <c r="DX68" i="14" s="1"/>
  <c r="DX69" i="14" s="1"/>
  <c r="DX70" i="14" s="1"/>
  <c r="DX71" i="14" s="1"/>
  <c r="DX72" i="14" s="1"/>
  <c r="DX73" i="14" s="1"/>
  <c r="DX74" i="14" s="1"/>
  <c r="DX75" i="14" s="1"/>
  <c r="DX76" i="14" s="1"/>
  <c r="DX77" i="14" s="1"/>
  <c r="DX78" i="14" s="1"/>
  <c r="X63" i="14"/>
  <c r="X64" i="14" s="1"/>
  <c r="X65" i="14" s="1"/>
  <c r="X66" i="14" s="1"/>
  <c r="X67" i="14" s="1"/>
  <c r="X68" i="14" s="1"/>
  <c r="X69" i="14" s="1"/>
  <c r="X70" i="14" s="1"/>
  <c r="X71" i="14" s="1"/>
  <c r="X72" i="14" s="1"/>
  <c r="X73" i="14" s="1"/>
  <c r="X74" i="14" s="1"/>
  <c r="X75" i="14" s="1"/>
  <c r="X76" i="14" s="1"/>
  <c r="X77" i="14" s="1"/>
  <c r="X78" i="14" s="1"/>
  <c r="BW63" i="15"/>
  <c r="BW64" i="15" s="1"/>
  <c r="BW65" i="15" s="1"/>
  <c r="BW66" i="15" s="1"/>
  <c r="BW67" i="15" s="1"/>
  <c r="BW68" i="15" s="1"/>
  <c r="BW69" i="15" s="1"/>
  <c r="BW70" i="15" s="1"/>
  <c r="BW71" i="15" s="1"/>
  <c r="BW72" i="15" s="1"/>
  <c r="BW73" i="15" s="1"/>
  <c r="BW74" i="15" s="1"/>
  <c r="BW75" i="15" s="1"/>
  <c r="BW76" i="15" s="1"/>
  <c r="BW77" i="15" s="1"/>
  <c r="BW78" i="15" s="1"/>
  <c r="U162" i="15" s="1"/>
  <c r="U163" i="15" s="1"/>
  <c r="U165" i="15" s="1"/>
  <c r="U167" i="15" s="1"/>
  <c r="X63" i="13"/>
  <c r="X64" i="13" s="1"/>
  <c r="X65" i="13" s="1"/>
  <c r="X66" i="13" s="1"/>
  <c r="X67" i="13" s="1"/>
  <c r="X68" i="13" s="1"/>
  <c r="X69" i="13" s="1"/>
  <c r="X70" i="13" s="1"/>
  <c r="X71" i="13" s="1"/>
  <c r="X72" i="13" s="1"/>
  <c r="X73" i="13" s="1"/>
  <c r="X74" i="13" s="1"/>
  <c r="X75" i="13" s="1"/>
  <c r="X76" i="13" s="1"/>
  <c r="X77" i="13" s="1"/>
  <c r="X78" i="13" s="1"/>
  <c r="CX63" i="13"/>
  <c r="CX64" i="13" s="1"/>
  <c r="CX65" i="13" s="1"/>
  <c r="CX66" i="13" s="1"/>
  <c r="CX67" i="13" s="1"/>
  <c r="CX68" i="13" s="1"/>
  <c r="CX69" i="13" s="1"/>
  <c r="CX70" i="13" s="1"/>
  <c r="CX71" i="13" s="1"/>
  <c r="CX72" i="13" s="1"/>
  <c r="CX73" i="13" s="1"/>
  <c r="CX74" i="13" s="1"/>
  <c r="CX75" i="13" s="1"/>
  <c r="CX76" i="13" s="1"/>
  <c r="CX77" i="13" s="1"/>
  <c r="CX78" i="13" s="1"/>
  <c r="BX63" i="13"/>
  <c r="BX64" i="13" s="1"/>
  <c r="BX65" i="13" s="1"/>
  <c r="BX66" i="13" s="1"/>
  <c r="BX67" i="13" s="1"/>
  <c r="BX68" i="13" s="1"/>
  <c r="BX69" i="13" s="1"/>
  <c r="BX70" i="13" s="1"/>
  <c r="BX71" i="13" s="1"/>
  <c r="BX72" i="13" s="1"/>
  <c r="BX73" i="13" s="1"/>
  <c r="BX74" i="13" s="1"/>
  <c r="BX75" i="13" s="1"/>
  <c r="BX76" i="13" s="1"/>
  <c r="BX77" i="13" s="1"/>
  <c r="BX78" i="13" s="1"/>
  <c r="DX63" i="16"/>
  <c r="DX64" i="16" s="1"/>
  <c r="DX65" i="16" s="1"/>
  <c r="DX66" i="16" s="1"/>
  <c r="DX67" i="16" s="1"/>
  <c r="DX68" i="16" s="1"/>
  <c r="DX69" i="16" s="1"/>
  <c r="DX70" i="16" s="1"/>
  <c r="DX71" i="16" s="1"/>
  <c r="DX72" i="16" s="1"/>
  <c r="DX73" i="16" s="1"/>
  <c r="DX74" i="16" s="1"/>
  <c r="DX75" i="16" s="1"/>
  <c r="DX76" i="16" s="1"/>
  <c r="DX77" i="16" s="1"/>
  <c r="DX78" i="16" s="1"/>
  <c r="BX63" i="16"/>
  <c r="BX64" i="16" s="1"/>
  <c r="BX65" i="16" s="1"/>
  <c r="BX66" i="16" s="1"/>
  <c r="BX67" i="16" s="1"/>
  <c r="BX68" i="16" s="1"/>
  <c r="BX69" i="16" s="1"/>
  <c r="BX70" i="16" s="1"/>
  <c r="BX71" i="16" s="1"/>
  <c r="BX72" i="16" s="1"/>
  <c r="BX73" i="16" s="1"/>
  <c r="BX74" i="16" s="1"/>
  <c r="BX75" i="16" s="1"/>
  <c r="BX76" i="16" s="1"/>
  <c r="BX77" i="16" s="1"/>
  <c r="BX78" i="16" s="1"/>
  <c r="DW63" i="15"/>
  <c r="DW64" i="15" s="1"/>
  <c r="DW65" i="15" s="1"/>
  <c r="DW66" i="15" s="1"/>
  <c r="DW67" i="15" s="1"/>
  <c r="DW68" i="15" s="1"/>
  <c r="DW69" i="15" s="1"/>
  <c r="DW70" i="15" s="1"/>
  <c r="DW71" i="15" s="1"/>
  <c r="DW72" i="15" s="1"/>
  <c r="DW73" i="15" s="1"/>
  <c r="DW74" i="15" s="1"/>
  <c r="DW75" i="15" s="1"/>
  <c r="DW76" i="15" s="1"/>
  <c r="DW77" i="15" s="1"/>
  <c r="DW78" i="15" s="1"/>
  <c r="W162" i="15" s="1"/>
  <c r="W163" i="15" s="1"/>
  <c r="W165" i="15" s="1"/>
  <c r="W167" i="15" s="1"/>
  <c r="AW63" i="15"/>
  <c r="AW64" i="15" s="1"/>
  <c r="AW65" i="15" s="1"/>
  <c r="AW66" i="15" s="1"/>
  <c r="AW67" i="15" s="1"/>
  <c r="AW68" i="15" s="1"/>
  <c r="AW69" i="15" s="1"/>
  <c r="AW70" i="15" s="1"/>
  <c r="AW71" i="15" s="1"/>
  <c r="AW72" i="15" s="1"/>
  <c r="DX63" i="13"/>
  <c r="DX64" i="13" s="1"/>
  <c r="DX65" i="13" s="1"/>
  <c r="DX66" i="13" s="1"/>
  <c r="DX67" i="13" s="1"/>
  <c r="DX68" i="13" s="1"/>
  <c r="DX69" i="13" s="1"/>
  <c r="DX70" i="13" s="1"/>
  <c r="DX71" i="13" s="1"/>
  <c r="DX72" i="13" s="1"/>
  <c r="DX73" i="13" s="1"/>
  <c r="DX74" i="13" s="1"/>
  <c r="DX75" i="13" s="1"/>
  <c r="DX76" i="13" s="1"/>
  <c r="DX77" i="13" s="1"/>
  <c r="DX78" i="13" s="1"/>
  <c r="AX63" i="13"/>
  <c r="AX64" i="13" s="1"/>
  <c r="AX65" i="13" s="1"/>
  <c r="AX66" i="13" s="1"/>
  <c r="AX67" i="13" s="1"/>
  <c r="AX68" i="13" s="1"/>
  <c r="AX69" i="13" s="1"/>
  <c r="AX70" i="13" s="1"/>
  <c r="AX71" i="13" s="1"/>
  <c r="AX72" i="13" s="1"/>
  <c r="AX73" i="13" s="1"/>
  <c r="AX74" i="13" s="1"/>
  <c r="AX75" i="13" s="1"/>
  <c r="AX76" i="13" s="1"/>
  <c r="AX77" i="13" s="1"/>
  <c r="AX78" i="13" s="1"/>
  <c r="X63" i="15"/>
  <c r="X64" i="15" s="1"/>
  <c r="X65" i="15" s="1"/>
  <c r="X66" i="15" s="1"/>
  <c r="X67" i="15" s="1"/>
  <c r="X68" i="15" s="1"/>
  <c r="X69" i="15" s="1"/>
  <c r="X70" i="15" s="1"/>
  <c r="X71" i="15" s="1"/>
  <c r="X72" i="15" s="1"/>
  <c r="X73" i="15" s="1"/>
  <c r="X74" i="15" s="1"/>
  <c r="X75" i="15" s="1"/>
  <c r="X76" i="15" s="1"/>
  <c r="X77" i="15" s="1"/>
  <c r="X78" i="15" s="1"/>
  <c r="X63" i="16"/>
  <c r="X64" i="16" s="1"/>
  <c r="X65" i="16" s="1"/>
  <c r="X66" i="16" s="1"/>
  <c r="X67" i="16" s="1"/>
  <c r="X68" i="16" s="1"/>
  <c r="X69" i="16" s="1"/>
  <c r="X70" i="16" s="1"/>
  <c r="X71" i="16" s="1"/>
  <c r="X72" i="16" s="1"/>
  <c r="X73" i="16" s="1"/>
  <c r="X74" i="16" s="1"/>
  <c r="X75" i="16" s="1"/>
  <c r="X76" i="16" s="1"/>
  <c r="X77" i="16" s="1"/>
  <c r="X78" i="16" s="1"/>
  <c r="BX63" i="14"/>
  <c r="BX64" i="14" s="1"/>
  <c r="BX65" i="14" s="1"/>
  <c r="BX66" i="14" s="1"/>
  <c r="BX67" i="14" s="1"/>
  <c r="BX68" i="14" s="1"/>
  <c r="BX69" i="14" s="1"/>
  <c r="BX70" i="14" s="1"/>
  <c r="BX71" i="14" s="1"/>
  <c r="BX72" i="14" s="1"/>
  <c r="BX73" i="14" s="1"/>
  <c r="BX74" i="14" s="1"/>
  <c r="BX75" i="14" s="1"/>
  <c r="BX76" i="14" s="1"/>
  <c r="BX77" i="14" s="1"/>
  <c r="BX78" i="14" s="1"/>
  <c r="CX63" i="16"/>
  <c r="CX64" i="16" s="1"/>
  <c r="CX65" i="16" s="1"/>
  <c r="CX66" i="16" s="1"/>
  <c r="CX67" i="16" s="1"/>
  <c r="CX68" i="16" s="1"/>
  <c r="CX69" i="16" s="1"/>
  <c r="CX70" i="16" s="1"/>
  <c r="CX71" i="16" s="1"/>
  <c r="CX72" i="16" s="1"/>
  <c r="CX73" i="16" s="1"/>
  <c r="CX74" i="16" s="1"/>
  <c r="CX75" i="16" s="1"/>
  <c r="CX76" i="16" s="1"/>
  <c r="CX77" i="16" s="1"/>
  <c r="CX78" i="16" s="1"/>
  <c r="CX63" i="14"/>
  <c r="CX64" i="14" s="1"/>
  <c r="CX65" i="14" s="1"/>
  <c r="CX66" i="14" s="1"/>
  <c r="CX67" i="14" s="1"/>
  <c r="CX68" i="14" s="1"/>
  <c r="CX69" i="14" s="1"/>
  <c r="CX70" i="14" s="1"/>
  <c r="CX71" i="14" s="1"/>
  <c r="CX72" i="14" s="1"/>
  <c r="CX73" i="14" s="1"/>
  <c r="CX74" i="14" s="1"/>
  <c r="CX75" i="14" s="1"/>
  <c r="CX76" i="14" s="1"/>
  <c r="CX77" i="14" s="1"/>
  <c r="CX78" i="14" s="1"/>
  <c r="AK166" i="15"/>
  <c r="AK168" i="15" s="1"/>
  <c r="H33" i="12"/>
  <c r="AI166" i="13"/>
  <c r="AI168" i="13" s="1"/>
  <c r="G19" i="12"/>
  <c r="AJ166" i="15"/>
  <c r="AJ168" i="15" s="1"/>
  <c r="E33" i="12"/>
  <c r="AI166" i="14"/>
  <c r="AI168" i="14" s="1"/>
  <c r="G26" i="12"/>
  <c r="AK166" i="13"/>
  <c r="AK168" i="13" s="1"/>
  <c r="H19" i="12"/>
  <c r="AJ166" i="14"/>
  <c r="AJ168" i="14" s="1"/>
  <c r="E26" i="12"/>
  <c r="D19" i="12"/>
  <c r="AL166" i="13"/>
  <c r="AL168" i="13" s="1"/>
  <c r="E19" i="12"/>
  <c r="AJ166" i="13"/>
  <c r="AJ168" i="13" s="1"/>
  <c r="AK166" i="14"/>
  <c r="AK168" i="14" s="1"/>
  <c r="H26" i="12"/>
  <c r="AH166" i="15"/>
  <c r="AH168" i="15" s="1"/>
  <c r="F33" i="12"/>
  <c r="AH166" i="14"/>
  <c r="AH168" i="14" s="1"/>
  <c r="F26" i="12"/>
  <c r="D26" i="12"/>
  <c r="AL166" i="14"/>
  <c r="AL168" i="14" s="1"/>
  <c r="AI166" i="15"/>
  <c r="AI168" i="15" s="1"/>
  <c r="G33" i="12"/>
  <c r="F19" i="12"/>
  <c r="AH166" i="13"/>
  <c r="AH168" i="13" s="1"/>
  <c r="BO73" i="15"/>
  <c r="BT73" i="15" s="1"/>
  <c r="BN73" i="15"/>
  <c r="BS73" i="15" s="1"/>
  <c r="BO76" i="15"/>
  <c r="BT76" i="15" s="1"/>
  <c r="AX71" i="16"/>
  <c r="AX72" i="16" s="1"/>
  <c r="AX73" i="16" s="1"/>
  <c r="AX74" i="16" s="1"/>
  <c r="AX75" i="16" s="1"/>
  <c r="AX76" i="16" s="1"/>
  <c r="AX77" i="16" s="1"/>
  <c r="AX78" i="16" s="1"/>
  <c r="BN76" i="15"/>
  <c r="BS76" i="15" s="1"/>
  <c r="AN76" i="15"/>
  <c r="AS76" i="15" s="1"/>
  <c r="AO63" i="15"/>
  <c r="AT63" i="15" s="1"/>
  <c r="AN63" i="15"/>
  <c r="AS63" i="15" s="1"/>
  <c r="W73" i="14"/>
  <c r="W74" i="14" s="1"/>
  <c r="W75" i="14" s="1"/>
  <c r="W76" i="14" s="1"/>
  <c r="W77" i="14" s="1"/>
  <c r="W78" i="14" s="1"/>
  <c r="S162" i="14" s="1"/>
  <c r="S163" i="14" s="1"/>
  <c r="S165" i="14" s="1"/>
  <c r="S167" i="14" s="1"/>
  <c r="DO63" i="15"/>
  <c r="DT63" i="15" s="1"/>
  <c r="CO73" i="15"/>
  <c r="CT73" i="15" s="1"/>
  <c r="DN63" i="15"/>
  <c r="DS63" i="15" s="1"/>
  <c r="BW71" i="14"/>
  <c r="BW72" i="14" s="1"/>
  <c r="BW73" i="14" s="1"/>
  <c r="BW74" i="14" s="1"/>
  <c r="BW75" i="14" s="1"/>
  <c r="BW76" i="14" s="1"/>
  <c r="BW77" i="14" s="1"/>
  <c r="BW78" i="14" s="1"/>
  <c r="U162" i="14" s="1"/>
  <c r="U163" i="14" s="1"/>
  <c r="U165" i="14" s="1"/>
  <c r="U167" i="14" s="1"/>
  <c r="DO76" i="15"/>
  <c r="DT76" i="15" s="1"/>
  <c r="W71" i="13"/>
  <c r="W72" i="13" s="1"/>
  <c r="W73" i="13" s="1"/>
  <c r="W74" i="13" s="1"/>
  <c r="W75" i="13" s="1"/>
  <c r="W76" i="13" s="1"/>
  <c r="W77" i="13" s="1"/>
  <c r="W78" i="13" s="1"/>
  <c r="S162" i="13" s="1"/>
  <c r="S163" i="13" s="1"/>
  <c r="S165" i="13" s="1"/>
  <c r="S167" i="13" s="1"/>
  <c r="DN76" i="15"/>
  <c r="DS76" i="15" s="1"/>
  <c r="BN78" i="15"/>
  <c r="BS78" i="15" s="1"/>
  <c r="W71" i="16"/>
  <c r="W72" i="16" s="1"/>
  <c r="W73" i="16" s="1"/>
  <c r="W74" i="16" s="1"/>
  <c r="W75" i="16" s="1"/>
  <c r="W76" i="16" s="1"/>
  <c r="W77" i="16" s="1"/>
  <c r="W78" i="16" s="1"/>
  <c r="R162" i="16" s="1"/>
  <c r="R163" i="16" s="1"/>
  <c r="AO76" i="15"/>
  <c r="AT76" i="15" s="1"/>
  <c r="DO71" i="15"/>
  <c r="DT71" i="15" s="1"/>
  <c r="AO73" i="15"/>
  <c r="AT73" i="15" s="1"/>
  <c r="DW71" i="16"/>
  <c r="DW72" i="16" s="1"/>
  <c r="DW73" i="16" s="1"/>
  <c r="DW74" i="16" s="1"/>
  <c r="DW75" i="16" s="1"/>
  <c r="DW76" i="16" s="1"/>
  <c r="DW77" i="16" s="1"/>
  <c r="DW78" i="16" s="1"/>
  <c r="V162" i="16" s="1"/>
  <c r="V163" i="16" s="1"/>
  <c r="DN71" i="15"/>
  <c r="DS71" i="15" s="1"/>
  <c r="CO71" i="15"/>
  <c r="CT71" i="15" s="1"/>
  <c r="CW71" i="15"/>
  <c r="CW72" i="15" s="1"/>
  <c r="CW73" i="15" s="1"/>
  <c r="CW74" i="15" s="1"/>
  <c r="CW75" i="15" s="1"/>
  <c r="CW76" i="15" s="1"/>
  <c r="CW77" i="15" s="1"/>
  <c r="CW78" i="15" s="1"/>
  <c r="V162" i="15" s="1"/>
  <c r="V163" i="15" s="1"/>
  <c r="V165" i="15" s="1"/>
  <c r="V167" i="15" s="1"/>
  <c r="DW71" i="14"/>
  <c r="DW72" i="14" s="1"/>
  <c r="DW73" i="14" s="1"/>
  <c r="DW74" i="14" s="1"/>
  <c r="DW75" i="14" s="1"/>
  <c r="DW76" i="14" s="1"/>
  <c r="DW77" i="14" s="1"/>
  <c r="DW78" i="14" s="1"/>
  <c r="W162" i="14" s="1"/>
  <c r="W163" i="14" s="1"/>
  <c r="W165" i="14" s="1"/>
  <c r="W167" i="14" s="1"/>
  <c r="AO71" i="15"/>
  <c r="AT71" i="15" s="1"/>
  <c r="CN71" i="15"/>
  <c r="CS71" i="15" s="1"/>
  <c r="AN71" i="15"/>
  <c r="AS71" i="15" s="1"/>
  <c r="DO73" i="15"/>
  <c r="DT73" i="15" s="1"/>
  <c r="DN73" i="15"/>
  <c r="DS73" i="15" s="1"/>
  <c r="BO78" i="15"/>
  <c r="BT78" i="15" s="1"/>
  <c r="W73" i="15"/>
  <c r="W74" i="15" s="1"/>
  <c r="W75" i="15" s="1"/>
  <c r="W76" i="15" s="1"/>
  <c r="W77" i="15" s="1"/>
  <c r="W78" i="15" s="1"/>
  <c r="S162" i="15" s="1"/>
  <c r="S163" i="15" s="1"/>
  <c r="S165" i="15" s="1"/>
  <c r="S167" i="15" s="1"/>
  <c r="CN73" i="15"/>
  <c r="CS73" i="15" s="1"/>
  <c r="DN78" i="15"/>
  <c r="DS78" i="15" s="1"/>
  <c r="BW71" i="16"/>
  <c r="BW72" i="16" s="1"/>
  <c r="BW73" i="16" s="1"/>
  <c r="BW74" i="16" s="1"/>
  <c r="BW75" i="16" s="1"/>
  <c r="BW76" i="16" s="1"/>
  <c r="BW77" i="16" s="1"/>
  <c r="BW78" i="16" s="1"/>
  <c r="T162" i="16" s="1"/>
  <c r="T163" i="16" s="1"/>
  <c r="CW73" i="14"/>
  <c r="CW74" i="14" s="1"/>
  <c r="CW75" i="14" s="1"/>
  <c r="CW76" i="14" s="1"/>
  <c r="CW77" i="14" s="1"/>
  <c r="CW78" i="14" s="1"/>
  <c r="V162" i="14" s="1"/>
  <c r="V163" i="14" s="1"/>
  <c r="V165" i="14" s="1"/>
  <c r="V167" i="14" s="1"/>
  <c r="AW73" i="13"/>
  <c r="AW74" i="13" s="1"/>
  <c r="AW75" i="13" s="1"/>
  <c r="AW76" i="13" s="1"/>
  <c r="AW77" i="13" s="1"/>
  <c r="AW78" i="13" s="1"/>
  <c r="T162" i="13" s="1"/>
  <c r="T163" i="13" s="1"/>
  <c r="T165" i="13" s="1"/>
  <c r="T167" i="13" s="1"/>
  <c r="AW78" i="14"/>
  <c r="T162" i="14" s="1"/>
  <c r="T163" i="14" s="1"/>
  <c r="T165" i="14" s="1"/>
  <c r="T167" i="14" s="1"/>
  <c r="CO78" i="15"/>
  <c r="CT78" i="15" s="1"/>
  <c r="CN78" i="15"/>
  <c r="CS78" i="15" s="1"/>
  <c r="DO78" i="15"/>
  <c r="DT78" i="15" s="1"/>
  <c r="X42" i="2"/>
  <c r="T20" i="8" s="1"/>
  <c r="R42" i="2"/>
  <c r="R41" i="2" s="1"/>
  <c r="AO78" i="15"/>
  <c r="AT78" i="15" s="1"/>
  <c r="AF22" i="2"/>
  <c r="AF42" i="2" s="1"/>
  <c r="CN89" i="14"/>
  <c r="CN90" i="14" s="1"/>
  <c r="CN91" i="14" s="1"/>
  <c r="CN92" i="14" s="1"/>
  <c r="CN93" i="14" s="1"/>
  <c r="CN94" i="14" s="1"/>
  <c r="CN95" i="14" s="1"/>
  <c r="CN96" i="14" s="1"/>
  <c r="CN97" i="14" s="1"/>
  <c r="CN98" i="14" s="1"/>
  <c r="CN99" i="14" s="1"/>
  <c r="CN100" i="14" s="1"/>
  <c r="CN101" i="14" s="1"/>
  <c r="CN102" i="14" s="1"/>
  <c r="CN103" i="14" s="1"/>
  <c r="AA161" i="14" s="1"/>
  <c r="Q20" i="8"/>
  <c r="AN78" i="15"/>
  <c r="AS78" i="15" s="1"/>
  <c r="DL114" i="13"/>
  <c r="DL115" i="13" s="1"/>
  <c r="DL116" i="13" s="1"/>
  <c r="DL117" i="13" s="1"/>
  <c r="DL118" i="13" s="1"/>
  <c r="DL119" i="13" s="1"/>
  <c r="DL120" i="13" s="1"/>
  <c r="DL121" i="13" s="1"/>
  <c r="DL122" i="13" s="1"/>
  <c r="DL123" i="13" s="1"/>
  <c r="DL124" i="13" s="1"/>
  <c r="DL125" i="13" s="1"/>
  <c r="DL126" i="13" s="1"/>
  <c r="DL127" i="13" s="1"/>
  <c r="DL128" i="13" s="1"/>
  <c r="AG161" i="13" s="1"/>
  <c r="CN114" i="14"/>
  <c r="CN115" i="14" s="1"/>
  <c r="CN116" i="14" s="1"/>
  <c r="CN117" i="14" s="1"/>
  <c r="CN118" i="14" s="1"/>
  <c r="CN119" i="14" s="1"/>
  <c r="CN120" i="14" s="1"/>
  <c r="CN121" i="14" s="1"/>
  <c r="CN122" i="14" s="1"/>
  <c r="CN123" i="14" s="1"/>
  <c r="CN124" i="14" s="1"/>
  <c r="CN125" i="14" s="1"/>
  <c r="CN126" i="14" s="1"/>
  <c r="CN127" i="14" s="1"/>
  <c r="CN128" i="14" s="1"/>
  <c r="AF161" i="14" s="1"/>
  <c r="AR114" i="13"/>
  <c r="AR115" i="13" s="1"/>
  <c r="AR116" i="13" s="1"/>
  <c r="AR117" i="13" s="1"/>
  <c r="AR118" i="13" s="1"/>
  <c r="AR119" i="13" s="1"/>
  <c r="AR120" i="13" s="1"/>
  <c r="AR121" i="13" s="1"/>
  <c r="AR122" i="13" s="1"/>
  <c r="AR123" i="13" s="1"/>
  <c r="AR124" i="13" s="1"/>
  <c r="AR125" i="13" s="1"/>
  <c r="AR126" i="13" s="1"/>
  <c r="T114" i="16"/>
  <c r="T115" i="16" s="1"/>
  <c r="T116" i="16" s="1"/>
  <c r="T117" i="16" s="1"/>
  <c r="T118" i="16" s="1"/>
  <c r="T119" i="16" s="1"/>
  <c r="T120" i="16" s="1"/>
  <c r="T121" i="16" s="1"/>
  <c r="T122" i="16" s="1"/>
  <c r="T123" i="16" s="1"/>
  <c r="T124" i="16" s="1"/>
  <c r="T125" i="16" s="1"/>
  <c r="T126" i="16" s="1"/>
  <c r="T127" i="16" s="1"/>
  <c r="T128" i="16" s="1"/>
  <c r="AB161" i="16" s="1"/>
  <c r="AR114" i="15"/>
  <c r="AR115" i="15" s="1"/>
  <c r="AR116" i="15" s="1"/>
  <c r="AR117" i="15" s="1"/>
  <c r="AR118" i="15" s="1"/>
  <c r="AR119" i="15" s="1"/>
  <c r="AR120" i="15" s="1"/>
  <c r="AR121" i="15" s="1"/>
  <c r="AR122" i="15" s="1"/>
  <c r="AR123" i="15" s="1"/>
  <c r="AR124" i="15" s="1"/>
  <c r="AR125" i="15" s="1"/>
  <c r="AR126" i="15" s="1"/>
  <c r="AR127" i="15" s="1"/>
  <c r="AR128" i="15" s="1"/>
  <c r="AD161" i="15" s="1"/>
  <c r="CN89" i="16"/>
  <c r="CN90" i="16" s="1"/>
  <c r="CN91" i="16" s="1"/>
  <c r="CN92" i="16" s="1"/>
  <c r="CN93" i="16" s="1"/>
  <c r="CN94" i="16" s="1"/>
  <c r="CN95" i="16" s="1"/>
  <c r="CN96" i="16" s="1"/>
  <c r="CN97" i="16" s="1"/>
  <c r="CN98" i="16" s="1"/>
  <c r="CN99" i="16" s="1"/>
  <c r="CN100" i="16" s="1"/>
  <c r="CN101" i="16" s="1"/>
  <c r="CN102" i="16" s="1"/>
  <c r="CN103" i="16" s="1"/>
  <c r="Z161" i="16" s="1"/>
  <c r="T114" i="15"/>
  <c r="T115" i="15" s="1"/>
  <c r="T116" i="15" s="1"/>
  <c r="T117" i="15" s="1"/>
  <c r="T118" i="15" s="1"/>
  <c r="T119" i="15" s="1"/>
  <c r="T120" i="15" s="1"/>
  <c r="T121" i="15" s="1"/>
  <c r="T122" i="15" s="1"/>
  <c r="T123" i="15" s="1"/>
  <c r="T124" i="15" s="1"/>
  <c r="T125" i="15" s="1"/>
  <c r="T126" i="15" s="1"/>
  <c r="T127" i="15" s="1"/>
  <c r="T128" i="15" s="1"/>
  <c r="AC161" i="15" s="1"/>
  <c r="DL89" i="16"/>
  <c r="DL90" i="16" s="1"/>
  <c r="DL91" i="16" s="1"/>
  <c r="DL92" i="16" s="1"/>
  <c r="DL93" i="16" s="1"/>
  <c r="DL94" i="16" s="1"/>
  <c r="DL95" i="16" s="1"/>
  <c r="DL96" i="16" s="1"/>
  <c r="DL97" i="16" s="1"/>
  <c r="DL98" i="16" s="1"/>
  <c r="DL99" i="16" s="1"/>
  <c r="DL100" i="16" s="1"/>
  <c r="DL101" i="16" s="1"/>
  <c r="DL102" i="16" s="1"/>
  <c r="DL103" i="16" s="1"/>
  <c r="AA161" i="16" s="1"/>
  <c r="T89" i="16"/>
  <c r="T90" i="16" s="1"/>
  <c r="T91" i="16" s="1"/>
  <c r="T92" i="16" s="1"/>
  <c r="T93" i="16" s="1"/>
  <c r="T94" i="16" s="1"/>
  <c r="T95" i="16" s="1"/>
  <c r="T96" i="16" s="1"/>
  <c r="T97" i="16" s="1"/>
  <c r="T98" i="16" s="1"/>
  <c r="T99" i="16" s="1"/>
  <c r="T100" i="16" s="1"/>
  <c r="T101" i="16" s="1"/>
  <c r="T102" i="16" s="1"/>
  <c r="T103" i="16" s="1"/>
  <c r="W161" i="16" s="1"/>
  <c r="AR89" i="15"/>
  <c r="AR90" i="15" s="1"/>
  <c r="AR91" i="15" s="1"/>
  <c r="AR92" i="15" s="1"/>
  <c r="AR93" i="15" s="1"/>
  <c r="AR94" i="15" s="1"/>
  <c r="AR95" i="15" s="1"/>
  <c r="AR96" i="15" s="1"/>
  <c r="AR97" i="15" s="1"/>
  <c r="AR98" i="15" s="1"/>
  <c r="AR99" i="15" s="1"/>
  <c r="AR100" i="15" s="1"/>
  <c r="AR101" i="15" s="1"/>
  <c r="AR102" i="15" s="1"/>
  <c r="AR103" i="15" s="1"/>
  <c r="Y161" i="15" s="1"/>
  <c r="BP89" i="14"/>
  <c r="BP90" i="14" s="1"/>
  <c r="BP91" i="14" s="1"/>
  <c r="BP92" i="14" s="1"/>
  <c r="BP93" i="14" s="1"/>
  <c r="BP94" i="14" s="1"/>
  <c r="BP95" i="14" s="1"/>
  <c r="BP96" i="14" s="1"/>
  <c r="BP97" i="14" s="1"/>
  <c r="BP98" i="14" s="1"/>
  <c r="BP99" i="14" s="1"/>
  <c r="BP100" i="14" s="1"/>
  <c r="BP101" i="14" s="1"/>
  <c r="BP102" i="14" s="1"/>
  <c r="BP103" i="14" s="1"/>
  <c r="Z161" i="14" s="1"/>
  <c r="CN89" i="13"/>
  <c r="CN90" i="13" s="1"/>
  <c r="CN91" i="13" s="1"/>
  <c r="CN92" i="13" s="1"/>
  <c r="CN93" i="13" s="1"/>
  <c r="CN94" i="13" s="1"/>
  <c r="CN95" i="13" s="1"/>
  <c r="CN96" i="13" s="1"/>
  <c r="CN97" i="13" s="1"/>
  <c r="CN98" i="13" s="1"/>
  <c r="CN99" i="13" s="1"/>
  <c r="CN100" i="13" s="1"/>
  <c r="CN101" i="13" s="1"/>
  <c r="CN102" i="13" s="1"/>
  <c r="CN103" i="13" s="1"/>
  <c r="AA161" i="13" s="1"/>
  <c r="T89" i="14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X161" i="14" s="1"/>
  <c r="BP114" i="14"/>
  <c r="BP115" i="14" s="1"/>
  <c r="BP116" i="14" s="1"/>
  <c r="BP117" i="14" s="1"/>
  <c r="BP118" i="14" s="1"/>
  <c r="BP119" i="14" s="1"/>
  <c r="BP120" i="14" s="1"/>
  <c r="BP121" i="14" s="1"/>
  <c r="BP122" i="14" s="1"/>
  <c r="BP123" i="14" s="1"/>
  <c r="BP124" i="14" s="1"/>
  <c r="BP125" i="14" s="1"/>
  <c r="BP126" i="14" s="1"/>
  <c r="BP127" i="14" s="1"/>
  <c r="BP128" i="14" s="1"/>
  <c r="AE161" i="14" s="1"/>
  <c r="T114" i="13"/>
  <c r="T115" i="13" s="1"/>
  <c r="T116" i="13" s="1"/>
  <c r="T117" i="13" s="1"/>
  <c r="T118" i="13" s="1"/>
  <c r="T119" i="13" s="1"/>
  <c r="T120" i="13" s="1"/>
  <c r="T121" i="13" s="1"/>
  <c r="T122" i="13" s="1"/>
  <c r="T123" i="13" s="1"/>
  <c r="T124" i="13" s="1"/>
  <c r="T125" i="13" s="1"/>
  <c r="T126" i="13" s="1"/>
  <c r="T127" i="13" s="1"/>
  <c r="T128" i="13" s="1"/>
  <c r="AC161" i="13" s="1"/>
  <c r="AR90" i="16"/>
  <c r="AR91" i="16" s="1"/>
  <c r="AR92" i="16" s="1"/>
  <c r="AR93" i="16" s="1"/>
  <c r="AR94" i="16" s="1"/>
  <c r="AR95" i="16" s="1"/>
  <c r="AR96" i="16" s="1"/>
  <c r="AR97" i="16" s="1"/>
  <c r="AR98" i="16" s="1"/>
  <c r="AR99" i="16" s="1"/>
  <c r="AR100" i="16" s="1"/>
  <c r="AR101" i="16" s="1"/>
  <c r="AR102" i="16" s="1"/>
  <c r="AR103" i="16" s="1"/>
  <c r="X161" i="16" s="1"/>
  <c r="BP114" i="15"/>
  <c r="BP115" i="15" s="1"/>
  <c r="BP116" i="15" s="1"/>
  <c r="BP117" i="15" s="1"/>
  <c r="BP118" i="15" s="1"/>
  <c r="BP119" i="15" s="1"/>
  <c r="BP120" i="15" s="1"/>
  <c r="BP121" i="15" s="1"/>
  <c r="BP122" i="15" s="1"/>
  <c r="BP123" i="15" s="1"/>
  <c r="BP124" i="15" s="1"/>
  <c r="BP125" i="15" s="1"/>
  <c r="BP126" i="15" s="1"/>
  <c r="BP127" i="15" s="1"/>
  <c r="BP128" i="15" s="1"/>
  <c r="AE161" i="15" s="1"/>
  <c r="D32" i="22"/>
  <c r="AF88" i="16"/>
  <c r="AI88" i="16" s="1"/>
  <c r="AN88" i="16" s="1"/>
  <c r="H88" i="15"/>
  <c r="K88" i="15" s="1"/>
  <c r="P88" i="15" s="1"/>
  <c r="BD88" i="14"/>
  <c r="BG88" i="14" s="1"/>
  <c r="BL88" i="14" s="1"/>
  <c r="CB88" i="13"/>
  <c r="CE88" i="13" s="1"/>
  <c r="CJ88" i="13" s="1"/>
  <c r="CB88" i="16"/>
  <c r="CE88" i="16" s="1"/>
  <c r="CJ88" i="16" s="1"/>
  <c r="BD88" i="15"/>
  <c r="BG88" i="15" s="1"/>
  <c r="BL88" i="15" s="1"/>
  <c r="CZ88" i="14"/>
  <c r="DC88" i="14" s="1"/>
  <c r="DH88" i="14" s="1"/>
  <c r="H88" i="14"/>
  <c r="K88" i="14" s="1"/>
  <c r="P88" i="14" s="1"/>
  <c r="AF88" i="13"/>
  <c r="AI88" i="13" s="1"/>
  <c r="AN88" i="13" s="1"/>
  <c r="CZ88" i="16"/>
  <c r="DC88" i="16" s="1"/>
  <c r="DH88" i="16" s="1"/>
  <c r="CZ88" i="15"/>
  <c r="DC88" i="15" s="1"/>
  <c r="DH88" i="15" s="1"/>
  <c r="BD88" i="13"/>
  <c r="BG88" i="13" s="1"/>
  <c r="BL88" i="13" s="1"/>
  <c r="H88" i="16"/>
  <c r="K88" i="16" s="1"/>
  <c r="P88" i="16" s="1"/>
  <c r="AF88" i="14"/>
  <c r="AI88" i="14" s="1"/>
  <c r="AN88" i="14" s="1"/>
  <c r="BD88" i="16"/>
  <c r="BG88" i="16" s="1"/>
  <c r="BL88" i="16" s="1"/>
  <c r="H88" i="13"/>
  <c r="K88" i="13" s="1"/>
  <c r="P88" i="13" s="1"/>
  <c r="CB88" i="14"/>
  <c r="CE88" i="14" s="1"/>
  <c r="CJ88" i="14" s="1"/>
  <c r="CZ88" i="13"/>
  <c r="DC88" i="13" s="1"/>
  <c r="DH88" i="13" s="1"/>
  <c r="AF88" i="15"/>
  <c r="DL89" i="15"/>
  <c r="DL90" i="15" s="1"/>
  <c r="DL91" i="15" s="1"/>
  <c r="DL92" i="15" s="1"/>
  <c r="DL93" i="15" s="1"/>
  <c r="DL94" i="15" s="1"/>
  <c r="DL95" i="15" s="1"/>
  <c r="DL96" i="15" s="1"/>
  <c r="DL97" i="15" s="1"/>
  <c r="DL98" i="15" s="1"/>
  <c r="DL99" i="15" s="1"/>
  <c r="DL100" i="15" s="1"/>
  <c r="DL101" i="15" s="1"/>
  <c r="DL102" i="15" s="1"/>
  <c r="DL103" i="15" s="1"/>
  <c r="AB161" i="15" s="1"/>
  <c r="T89" i="15"/>
  <c r="T90" i="15" s="1"/>
  <c r="T91" i="15" s="1"/>
  <c r="T92" i="15" s="1"/>
  <c r="T93" i="15" s="1"/>
  <c r="T94" i="15" s="1"/>
  <c r="T95" i="15" s="1"/>
  <c r="T96" i="15" s="1"/>
  <c r="T97" i="15" s="1"/>
  <c r="T98" i="15" s="1"/>
  <c r="T99" i="15" s="1"/>
  <c r="T100" i="15" s="1"/>
  <c r="T101" i="15" s="1"/>
  <c r="T102" i="15" s="1"/>
  <c r="T103" i="15" s="1"/>
  <c r="X161" i="15" s="1"/>
  <c r="AR89" i="14"/>
  <c r="AR90" i="14" s="1"/>
  <c r="AR91" i="14" s="1"/>
  <c r="AR92" i="14" s="1"/>
  <c r="AR93" i="14" s="1"/>
  <c r="AR94" i="14" s="1"/>
  <c r="AR95" i="14" s="1"/>
  <c r="AR96" i="14" s="1"/>
  <c r="AR97" i="14" s="1"/>
  <c r="AR98" i="14" s="1"/>
  <c r="AR99" i="14" s="1"/>
  <c r="AR100" i="14" s="1"/>
  <c r="AR101" i="14" s="1"/>
  <c r="AR102" i="14" s="1"/>
  <c r="AR103" i="14" s="1"/>
  <c r="Y161" i="14" s="1"/>
  <c r="DL90" i="13"/>
  <c r="DL91" i="13" s="1"/>
  <c r="DL92" i="13" s="1"/>
  <c r="DL93" i="13" s="1"/>
  <c r="DL94" i="13" s="1"/>
  <c r="DL95" i="13" s="1"/>
  <c r="DL96" i="13" s="1"/>
  <c r="DL97" i="13" s="1"/>
  <c r="DL98" i="13" s="1"/>
  <c r="DL99" i="13" s="1"/>
  <c r="DL100" i="13" s="1"/>
  <c r="DL101" i="13" s="1"/>
  <c r="DL102" i="13" s="1"/>
  <c r="DL103" i="13" s="1"/>
  <c r="AB161" i="13" s="1"/>
  <c r="BP89" i="13"/>
  <c r="BP90" i="13" s="1"/>
  <c r="BP91" i="13" s="1"/>
  <c r="BP92" i="13" s="1"/>
  <c r="BP93" i="13" s="1"/>
  <c r="BP94" i="13" s="1"/>
  <c r="BP95" i="13" s="1"/>
  <c r="BP96" i="13" s="1"/>
  <c r="BP97" i="13" s="1"/>
  <c r="BP98" i="13" s="1"/>
  <c r="BP99" i="13" s="1"/>
  <c r="BP100" i="13" s="1"/>
  <c r="BP101" i="13" s="1"/>
  <c r="BP102" i="13" s="1"/>
  <c r="BP103" i="13" s="1"/>
  <c r="Z161" i="13" s="1"/>
  <c r="T89" i="13"/>
  <c r="T90" i="13" s="1"/>
  <c r="T91" i="13" s="1"/>
  <c r="T92" i="13" s="1"/>
  <c r="T93" i="13" s="1"/>
  <c r="T94" i="13" s="1"/>
  <c r="T95" i="13" s="1"/>
  <c r="T96" i="13" s="1"/>
  <c r="T97" i="13" s="1"/>
  <c r="T98" i="13" s="1"/>
  <c r="T99" i="13" s="1"/>
  <c r="T100" i="13" s="1"/>
  <c r="T101" i="13" s="1"/>
  <c r="T102" i="13" s="1"/>
  <c r="T103" i="13" s="1"/>
  <c r="X161" i="13" s="1"/>
  <c r="T114" i="14"/>
  <c r="T115" i="14" s="1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AC161" i="14" s="1"/>
  <c r="DL114" i="16"/>
  <c r="DL115" i="16" s="1"/>
  <c r="DL116" i="16" s="1"/>
  <c r="DL117" i="16" s="1"/>
  <c r="DL118" i="16" s="1"/>
  <c r="DL119" i="16" s="1"/>
  <c r="DL120" i="16" s="1"/>
  <c r="DL121" i="16" s="1"/>
  <c r="DL122" i="16" s="1"/>
  <c r="DL123" i="16" s="1"/>
  <c r="DL124" i="16" s="1"/>
  <c r="DL125" i="16" s="1"/>
  <c r="DL126" i="16" s="1"/>
  <c r="DL127" i="16" s="1"/>
  <c r="DL128" i="16" s="1"/>
  <c r="AF161" i="16" s="1"/>
  <c r="CN114" i="13"/>
  <c r="CN115" i="13" s="1"/>
  <c r="CN116" i="13" s="1"/>
  <c r="CN117" i="13" s="1"/>
  <c r="CN118" i="13" s="1"/>
  <c r="CN119" i="13" s="1"/>
  <c r="CN120" i="13" s="1"/>
  <c r="CN121" i="13" s="1"/>
  <c r="CN122" i="13" s="1"/>
  <c r="CN123" i="13" s="1"/>
  <c r="CN124" i="13" s="1"/>
  <c r="CN125" i="13" s="1"/>
  <c r="CN126" i="13" s="1"/>
  <c r="CN127" i="13" s="1"/>
  <c r="CN128" i="13" s="1"/>
  <c r="AF161" i="13" s="1"/>
  <c r="DL114" i="15"/>
  <c r="DL115" i="15" s="1"/>
  <c r="DL116" i="15" s="1"/>
  <c r="DL117" i="15" s="1"/>
  <c r="DL118" i="15" s="1"/>
  <c r="DL119" i="15" s="1"/>
  <c r="DL120" i="15" s="1"/>
  <c r="DL121" i="15" s="1"/>
  <c r="DL122" i="15" s="1"/>
  <c r="DL123" i="15" s="1"/>
  <c r="DL124" i="15" s="1"/>
  <c r="DL125" i="15" s="1"/>
  <c r="DL126" i="15" s="1"/>
  <c r="DL127" i="15" s="1"/>
  <c r="DL128" i="15" s="1"/>
  <c r="AG161" i="15" s="1"/>
  <c r="CN116" i="16"/>
  <c r="CN117" i="16" s="1"/>
  <c r="CN118" i="16" s="1"/>
  <c r="CN119" i="16" s="1"/>
  <c r="CN120" i="16" s="1"/>
  <c r="CN121" i="16" s="1"/>
  <c r="CN122" i="16" s="1"/>
  <c r="CN123" i="16" s="1"/>
  <c r="CN124" i="16" s="1"/>
  <c r="CN125" i="16" s="1"/>
  <c r="CN126" i="16" s="1"/>
  <c r="CN127" i="16" s="1"/>
  <c r="CN128" i="16" s="1"/>
  <c r="AE161" i="16" s="1"/>
  <c r="E32" i="22"/>
  <c r="CZ113" i="16"/>
  <c r="DC113" i="16" s="1"/>
  <c r="DH113" i="16" s="1"/>
  <c r="H113" i="16"/>
  <c r="K113" i="16" s="1"/>
  <c r="P113" i="16" s="1"/>
  <c r="AF113" i="15"/>
  <c r="BD113" i="14"/>
  <c r="BG113" i="14" s="1"/>
  <c r="BL113" i="14" s="1"/>
  <c r="CB113" i="13"/>
  <c r="CE113" i="13" s="1"/>
  <c r="CJ113" i="13" s="1"/>
  <c r="BD113" i="16"/>
  <c r="BG113" i="16" s="1"/>
  <c r="BL113" i="16" s="1"/>
  <c r="CB113" i="15"/>
  <c r="CZ113" i="14"/>
  <c r="DC113" i="14" s="1"/>
  <c r="DH113" i="14" s="1"/>
  <c r="H113" i="14"/>
  <c r="K113" i="14" s="1"/>
  <c r="P113" i="14" s="1"/>
  <c r="AF113" i="13"/>
  <c r="AI113" i="13" s="1"/>
  <c r="AN113" i="13" s="1"/>
  <c r="CZ113" i="15"/>
  <c r="AF113" i="14"/>
  <c r="AI113" i="14" s="1"/>
  <c r="AN113" i="14" s="1"/>
  <c r="CB113" i="16"/>
  <c r="CE113" i="16" s="1"/>
  <c r="CJ113" i="16" s="1"/>
  <c r="H113" i="15"/>
  <c r="K113" i="15" s="1"/>
  <c r="P113" i="15" s="1"/>
  <c r="BD113" i="13"/>
  <c r="BG113" i="13" s="1"/>
  <c r="BL113" i="13" s="1"/>
  <c r="BD113" i="15"/>
  <c r="CZ113" i="13"/>
  <c r="DC113" i="13" s="1"/>
  <c r="DH113" i="13" s="1"/>
  <c r="CB113" i="14"/>
  <c r="CE113" i="14" s="1"/>
  <c r="CJ113" i="14" s="1"/>
  <c r="AF113" i="16"/>
  <c r="AI113" i="16" s="1"/>
  <c r="AN113" i="16" s="1"/>
  <c r="H113" i="13"/>
  <c r="K113" i="13" s="1"/>
  <c r="P113" i="13" s="1"/>
  <c r="BP89" i="16"/>
  <c r="BP90" i="16" s="1"/>
  <c r="BP91" i="16" s="1"/>
  <c r="BP92" i="16" s="1"/>
  <c r="BP93" i="16" s="1"/>
  <c r="BP94" i="16" s="1"/>
  <c r="BP95" i="16" s="1"/>
  <c r="BP96" i="16" s="1"/>
  <c r="BP97" i="16" s="1"/>
  <c r="BP98" i="16" s="1"/>
  <c r="BP99" i="16" s="1"/>
  <c r="BP100" i="16" s="1"/>
  <c r="BP101" i="16" s="1"/>
  <c r="BP102" i="16" s="1"/>
  <c r="BP103" i="16" s="1"/>
  <c r="Y161" i="16" s="1"/>
  <c r="CN114" i="15"/>
  <c r="CN115" i="15" s="1"/>
  <c r="CN116" i="15" s="1"/>
  <c r="CN117" i="15" s="1"/>
  <c r="CN118" i="15" s="1"/>
  <c r="CN119" i="15" s="1"/>
  <c r="CN120" i="15" s="1"/>
  <c r="CN121" i="15" s="1"/>
  <c r="CN122" i="15" s="1"/>
  <c r="CN123" i="15" s="1"/>
  <c r="CN124" i="15" s="1"/>
  <c r="CN125" i="15" s="1"/>
  <c r="CN126" i="15" s="1"/>
  <c r="CN127" i="15" s="1"/>
  <c r="CN128" i="15" s="1"/>
  <c r="AF161" i="15" s="1"/>
  <c r="AR115" i="16"/>
  <c r="AR116" i="16" s="1"/>
  <c r="AR117" i="16" s="1"/>
  <c r="AR118" i="16" s="1"/>
  <c r="AR119" i="16" s="1"/>
  <c r="AR120" i="16" s="1"/>
  <c r="AR121" i="16" s="1"/>
  <c r="AR122" i="16" s="1"/>
  <c r="AR123" i="16" s="1"/>
  <c r="AR124" i="16" s="1"/>
  <c r="AR125" i="16" s="1"/>
  <c r="AR126" i="16" s="1"/>
  <c r="AR127" i="16" s="1"/>
  <c r="AR128" i="16" s="1"/>
  <c r="AC161" i="16" s="1"/>
  <c r="CN89" i="15"/>
  <c r="CN90" i="15" s="1"/>
  <c r="CN91" i="15" s="1"/>
  <c r="CN92" i="15" s="1"/>
  <c r="CN93" i="15" s="1"/>
  <c r="CN94" i="15" s="1"/>
  <c r="CN95" i="15" s="1"/>
  <c r="CN96" i="15" s="1"/>
  <c r="CN97" i="15" s="1"/>
  <c r="CN98" i="15" s="1"/>
  <c r="CN99" i="15" s="1"/>
  <c r="CN100" i="15" s="1"/>
  <c r="CN101" i="15" s="1"/>
  <c r="CN102" i="15" s="1"/>
  <c r="CN103" i="15" s="1"/>
  <c r="AA161" i="15" s="1"/>
  <c r="DL89" i="14"/>
  <c r="DL90" i="14" s="1"/>
  <c r="DL91" i="14" s="1"/>
  <c r="DL92" i="14" s="1"/>
  <c r="DL93" i="14" s="1"/>
  <c r="DL94" i="14" s="1"/>
  <c r="DL95" i="14" s="1"/>
  <c r="DL96" i="14" s="1"/>
  <c r="DL97" i="14" s="1"/>
  <c r="DL98" i="14" s="1"/>
  <c r="DL99" i="14" s="1"/>
  <c r="DL100" i="14" s="1"/>
  <c r="DL101" i="14" s="1"/>
  <c r="DL102" i="14" s="1"/>
  <c r="DL103" i="14" s="1"/>
  <c r="AB161" i="14" s="1"/>
  <c r="AR89" i="13"/>
  <c r="AR90" i="13" s="1"/>
  <c r="AR91" i="13" s="1"/>
  <c r="AR92" i="13" s="1"/>
  <c r="AR93" i="13" s="1"/>
  <c r="AR94" i="13" s="1"/>
  <c r="AR95" i="13" s="1"/>
  <c r="AR96" i="13" s="1"/>
  <c r="AR97" i="13" s="1"/>
  <c r="AR98" i="13" s="1"/>
  <c r="AR99" i="13" s="1"/>
  <c r="AR100" i="13" s="1"/>
  <c r="AR101" i="13" s="1"/>
  <c r="AR102" i="13" s="1"/>
  <c r="AR103" i="13" s="1"/>
  <c r="Y161" i="13" s="1"/>
  <c r="BP114" i="16"/>
  <c r="BP115" i="16" s="1"/>
  <c r="BP116" i="16" s="1"/>
  <c r="BP117" i="16" s="1"/>
  <c r="BP118" i="16" s="1"/>
  <c r="BP119" i="16" s="1"/>
  <c r="BP120" i="16" s="1"/>
  <c r="BP121" i="16" s="1"/>
  <c r="BP122" i="16" s="1"/>
  <c r="BP123" i="16" s="1"/>
  <c r="BP124" i="16" s="1"/>
  <c r="BP125" i="16" s="1"/>
  <c r="BP126" i="16" s="1"/>
  <c r="BP127" i="16" s="1"/>
  <c r="BP128" i="16" s="1"/>
  <c r="AD161" i="16" s="1"/>
  <c r="DL114" i="14"/>
  <c r="DL115" i="14" s="1"/>
  <c r="DL116" i="14" s="1"/>
  <c r="DL117" i="14" s="1"/>
  <c r="DL118" i="14" s="1"/>
  <c r="DL119" i="14" s="1"/>
  <c r="DL120" i="14" s="1"/>
  <c r="DL121" i="14" s="1"/>
  <c r="DL122" i="14" s="1"/>
  <c r="DL123" i="14" s="1"/>
  <c r="DL124" i="14" s="1"/>
  <c r="DL125" i="14" s="1"/>
  <c r="DL126" i="14" s="1"/>
  <c r="DL127" i="14" s="1"/>
  <c r="DL128" i="14" s="1"/>
  <c r="AG161" i="14" s="1"/>
  <c r="BP92" i="15"/>
  <c r="BP93" i="15" s="1"/>
  <c r="BP94" i="15" s="1"/>
  <c r="BP95" i="15" s="1"/>
  <c r="BP96" i="15" s="1"/>
  <c r="BP97" i="15" s="1"/>
  <c r="BP98" i="15" s="1"/>
  <c r="BP99" i="15" s="1"/>
  <c r="BP100" i="15" s="1"/>
  <c r="BP101" i="15" s="1"/>
  <c r="BP102" i="15" s="1"/>
  <c r="BP103" i="15" s="1"/>
  <c r="Z161" i="15" s="1"/>
  <c r="BP114" i="13"/>
  <c r="BP115" i="13" s="1"/>
  <c r="BP116" i="13" s="1"/>
  <c r="BP117" i="13" s="1"/>
  <c r="BP118" i="13" s="1"/>
  <c r="BP119" i="13" s="1"/>
  <c r="BP120" i="13" s="1"/>
  <c r="BP121" i="13" s="1"/>
  <c r="BP122" i="13" s="1"/>
  <c r="BP123" i="13" s="1"/>
  <c r="BP124" i="13" s="1"/>
  <c r="BP125" i="13" s="1"/>
  <c r="BP126" i="13" s="1"/>
  <c r="AR114" i="14"/>
  <c r="AR115" i="14" s="1"/>
  <c r="AR116" i="14" s="1"/>
  <c r="AR117" i="14" s="1"/>
  <c r="AR118" i="14" s="1"/>
  <c r="AR119" i="14" s="1"/>
  <c r="AR120" i="14" s="1"/>
  <c r="AR121" i="14" s="1"/>
  <c r="AR122" i="14" s="1"/>
  <c r="AR123" i="14" s="1"/>
  <c r="AR124" i="14" s="1"/>
  <c r="AR125" i="14" s="1"/>
  <c r="AR126" i="14" s="1"/>
  <c r="AR127" i="14" s="1"/>
  <c r="AR128" i="14" s="1"/>
  <c r="AD161" i="14" s="1"/>
  <c r="Y18" i="2"/>
  <c r="U17" i="8" s="1"/>
  <c r="Y22" i="2"/>
  <c r="Y42" i="2" s="1"/>
  <c r="AF40" i="10"/>
  <c r="AF41" i="10" s="1"/>
  <c r="AF42" i="10" s="1"/>
  <c r="AF43" i="10" s="1"/>
  <c r="AF44" i="10" s="1"/>
  <c r="AF45" i="10" s="1"/>
  <c r="AF46" i="10" s="1"/>
  <c r="AF47" i="10" s="1"/>
  <c r="AF48" i="10" s="1"/>
  <c r="AF49" i="10" s="1"/>
  <c r="AF50" i="10" s="1"/>
  <c r="AF51" i="10" s="1"/>
  <c r="AF52" i="10" s="1"/>
  <c r="AF53" i="10" s="1"/>
  <c r="AF54" i="10" s="1"/>
  <c r="K7" i="11" s="1"/>
  <c r="T38" i="13"/>
  <c r="M40" i="13"/>
  <c r="R40" i="13" s="1"/>
  <c r="AE48" i="13"/>
  <c r="AK48" i="13" s="1"/>
  <c r="AP48" i="13" s="1"/>
  <c r="CA52" i="13"/>
  <c r="CG52" i="13" s="1"/>
  <c r="CL52" i="13" s="1"/>
  <c r="CA47" i="13"/>
  <c r="CG47" i="13" s="1"/>
  <c r="CL47" i="13" s="1"/>
  <c r="BC51" i="15"/>
  <c r="BI51" i="15" s="1"/>
  <c r="BN51" i="15" s="1"/>
  <c r="CY48" i="15"/>
  <c r="DE48" i="15" s="1"/>
  <c r="DJ48" i="15" s="1"/>
  <c r="G40" i="14"/>
  <c r="M40" i="14" s="1"/>
  <c r="R40" i="14" s="1"/>
  <c r="BC39" i="13"/>
  <c r="BI39" i="13" s="1"/>
  <c r="BN39" i="13" s="1"/>
  <c r="CA43" i="16"/>
  <c r="CG43" i="16" s="1"/>
  <c r="CL43" i="16" s="1"/>
  <c r="CY50" i="13"/>
  <c r="DE50" i="13" s="1"/>
  <c r="DJ50" i="13" s="1"/>
  <c r="BC42" i="15"/>
  <c r="BI42" i="15" s="1"/>
  <c r="BN42" i="15" s="1"/>
  <c r="DL38" i="15"/>
  <c r="CY38" i="15"/>
  <c r="CZ53" i="15"/>
  <c r="DK53" i="15" s="1"/>
  <c r="M49" i="13"/>
  <c r="R49" i="13" s="1"/>
  <c r="AE50" i="15"/>
  <c r="AK50" i="15" s="1"/>
  <c r="AP50" i="15" s="1"/>
  <c r="BC45" i="13"/>
  <c r="BI45" i="13" s="1"/>
  <c r="BN45" i="13" s="1"/>
  <c r="CA42" i="15"/>
  <c r="CG42" i="15" s="1"/>
  <c r="CL42" i="15" s="1"/>
  <c r="G42" i="14"/>
  <c r="M42" i="14" s="1"/>
  <c r="R42" i="14" s="1"/>
  <c r="BC48" i="13"/>
  <c r="BI48" i="13" s="1"/>
  <c r="BN48" i="13" s="1"/>
  <c r="BP38" i="16"/>
  <c r="BC38" i="16"/>
  <c r="BC53" i="16"/>
  <c r="BI53" i="16" s="1"/>
  <c r="BN53" i="16" s="1"/>
  <c r="AE39" i="13"/>
  <c r="AK39" i="13" s="1"/>
  <c r="AP39" i="13" s="1"/>
  <c r="AE39" i="15"/>
  <c r="AK39" i="15" s="1"/>
  <c r="AP39" i="15" s="1"/>
  <c r="CA50" i="13"/>
  <c r="CG50" i="13" s="1"/>
  <c r="CL50" i="13" s="1"/>
  <c r="CA53" i="14"/>
  <c r="CG53" i="14" s="1"/>
  <c r="CL53" i="14" s="1"/>
  <c r="H96" i="10"/>
  <c r="Y96" i="10" s="1"/>
  <c r="H92" i="10"/>
  <c r="Y92" i="10" s="1"/>
  <c r="M50" i="13"/>
  <c r="R50" i="13" s="1"/>
  <c r="G41" i="14"/>
  <c r="M41" i="14" s="1"/>
  <c r="R41" i="14" s="1"/>
  <c r="CY51" i="14"/>
  <c r="DE51" i="14" s="1"/>
  <c r="DJ51" i="14" s="1"/>
  <c r="BC50" i="13"/>
  <c r="BI50" i="13" s="1"/>
  <c r="BN50" i="13" s="1"/>
  <c r="M43" i="13"/>
  <c r="R43" i="13" s="1"/>
  <c r="BC50" i="14"/>
  <c r="BI50" i="14" s="1"/>
  <c r="BN50" i="14" s="1"/>
  <c r="CA44" i="14"/>
  <c r="CG44" i="14" s="1"/>
  <c r="CL44" i="14" s="1"/>
  <c r="AR38" i="13"/>
  <c r="AE38" i="13"/>
  <c r="G47" i="14"/>
  <c r="M47" i="14" s="1"/>
  <c r="R47" i="14" s="1"/>
  <c r="G45" i="14"/>
  <c r="M45" i="14" s="1"/>
  <c r="R45" i="14" s="1"/>
  <c r="AE44" i="13"/>
  <c r="AK44" i="13" s="1"/>
  <c r="AP44" i="13" s="1"/>
  <c r="BC45" i="14"/>
  <c r="BI45" i="14" s="1"/>
  <c r="BN45" i="14" s="1"/>
  <c r="G48" i="14"/>
  <c r="M48" i="14" s="1"/>
  <c r="R48" i="14" s="1"/>
  <c r="CA40" i="13"/>
  <c r="CG40" i="13" s="1"/>
  <c r="CL40" i="13" s="1"/>
  <c r="CA51" i="13"/>
  <c r="CG51" i="13" s="1"/>
  <c r="CL51" i="13" s="1"/>
  <c r="BP38" i="15"/>
  <c r="BC38" i="15"/>
  <c r="BC53" i="15"/>
  <c r="BI53" i="15" s="1"/>
  <c r="BN53" i="15" s="1"/>
  <c r="CY50" i="15"/>
  <c r="DE50" i="15" s="1"/>
  <c r="DJ50" i="15" s="1"/>
  <c r="G51" i="14"/>
  <c r="M51" i="14" s="1"/>
  <c r="R51" i="14" s="1"/>
  <c r="BC43" i="13"/>
  <c r="BI43" i="13" s="1"/>
  <c r="BN43" i="13" s="1"/>
  <c r="CA40" i="14"/>
  <c r="CG40" i="14" s="1"/>
  <c r="CL40" i="14" s="1"/>
  <c r="CA51" i="16"/>
  <c r="CG51" i="16" s="1"/>
  <c r="CL51" i="16" s="1"/>
  <c r="AE46" i="13"/>
  <c r="AK46" i="13" s="1"/>
  <c r="AP46" i="13" s="1"/>
  <c r="AE53" i="16"/>
  <c r="AK53" i="16" s="1"/>
  <c r="AP53" i="16" s="1"/>
  <c r="BC42" i="14"/>
  <c r="BI42" i="14" s="1"/>
  <c r="BN42" i="14" s="1"/>
  <c r="BC44" i="15"/>
  <c r="BI44" i="15" s="1"/>
  <c r="BN44" i="15" s="1"/>
  <c r="CY39" i="15"/>
  <c r="DE39" i="15" s="1"/>
  <c r="DJ39" i="15" s="1"/>
  <c r="CA44" i="16"/>
  <c r="CG44" i="16" s="1"/>
  <c r="CL44" i="16" s="1"/>
  <c r="AE39" i="14"/>
  <c r="AK39" i="14" s="1"/>
  <c r="AP39" i="14" s="1"/>
  <c r="G52" i="15"/>
  <c r="M52" i="15" s="1"/>
  <c r="R52" i="15" s="1"/>
  <c r="BC49" i="13"/>
  <c r="BI49" i="13" s="1"/>
  <c r="BN49" i="13" s="1"/>
  <c r="CA47" i="15"/>
  <c r="CG47" i="15" s="1"/>
  <c r="CL47" i="15" s="1"/>
  <c r="AE43" i="14"/>
  <c r="AK43" i="14" s="1"/>
  <c r="AP43" i="14" s="1"/>
  <c r="BC52" i="13"/>
  <c r="BI52" i="13" s="1"/>
  <c r="BN52" i="13" s="1"/>
  <c r="BC39" i="16"/>
  <c r="BI39" i="16" s="1"/>
  <c r="BN39" i="16" s="1"/>
  <c r="CA41" i="16"/>
  <c r="CG41" i="16" s="1"/>
  <c r="CL41" i="16" s="1"/>
  <c r="AE43" i="13"/>
  <c r="AK43" i="13" s="1"/>
  <c r="AP43" i="13" s="1"/>
  <c r="G49" i="15"/>
  <c r="M49" i="15" s="1"/>
  <c r="R49" i="15" s="1"/>
  <c r="DL38" i="13"/>
  <c r="CY38" i="13"/>
  <c r="DL38" i="14"/>
  <c r="CY38" i="14"/>
  <c r="H103" i="10"/>
  <c r="Y103" i="10" s="1"/>
  <c r="H98" i="10"/>
  <c r="Y98" i="10" s="1"/>
  <c r="AE41" i="15"/>
  <c r="AK41" i="15" s="1"/>
  <c r="AP41" i="15" s="1"/>
  <c r="G46" i="14"/>
  <c r="M46" i="14" s="1"/>
  <c r="R46" i="14" s="1"/>
  <c r="T38" i="14"/>
  <c r="G38" i="14"/>
  <c r="CA48" i="13"/>
  <c r="CG48" i="13" s="1"/>
  <c r="CL48" i="13" s="1"/>
  <c r="AE41" i="13"/>
  <c r="AK41" i="13" s="1"/>
  <c r="AP41" i="13" s="1"/>
  <c r="CA48" i="14"/>
  <c r="CG48" i="14" s="1"/>
  <c r="CL48" i="14" s="1"/>
  <c r="CY45" i="14"/>
  <c r="DE45" i="14" s="1"/>
  <c r="DJ45" i="14" s="1"/>
  <c r="G45" i="15"/>
  <c r="M45" i="15" s="1"/>
  <c r="R45" i="15" s="1"/>
  <c r="AE51" i="14"/>
  <c r="AK51" i="14" s="1"/>
  <c r="AP51" i="14" s="1"/>
  <c r="AE49" i="14"/>
  <c r="AK49" i="14" s="1"/>
  <c r="AP49" i="14" s="1"/>
  <c r="AE49" i="13"/>
  <c r="AK49" i="13" s="1"/>
  <c r="AP49" i="13" s="1"/>
  <c r="CA50" i="14"/>
  <c r="CG50" i="14" s="1"/>
  <c r="CL50" i="14" s="1"/>
  <c r="AE42" i="15"/>
  <c r="AK42" i="15" s="1"/>
  <c r="AP42" i="15" s="1"/>
  <c r="BC42" i="16"/>
  <c r="BI42" i="16" s="1"/>
  <c r="BN42" i="16" s="1"/>
  <c r="CY52" i="13"/>
  <c r="DE52" i="13" s="1"/>
  <c r="DJ52" i="13" s="1"/>
  <c r="BC39" i="15"/>
  <c r="BI39" i="15" s="1"/>
  <c r="BN39" i="15" s="1"/>
  <c r="CA43" i="15"/>
  <c r="CG43" i="15" s="1"/>
  <c r="CL43" i="15" s="1"/>
  <c r="CY52" i="15"/>
  <c r="DE52" i="15" s="1"/>
  <c r="DJ52" i="15" s="1"/>
  <c r="G53" i="14"/>
  <c r="M53" i="14" s="1"/>
  <c r="R53" i="14" s="1"/>
  <c r="BC47" i="13"/>
  <c r="BI47" i="13" s="1"/>
  <c r="BN47" i="13" s="1"/>
  <c r="CA51" i="14"/>
  <c r="CG51" i="14" s="1"/>
  <c r="CL51" i="14" s="1"/>
  <c r="CY44" i="16"/>
  <c r="DE44" i="16" s="1"/>
  <c r="DJ44" i="16" s="1"/>
  <c r="AE50" i="13"/>
  <c r="AK50" i="13" s="1"/>
  <c r="AP50" i="13" s="1"/>
  <c r="BP38" i="13"/>
  <c r="BC38" i="13"/>
  <c r="CA45" i="14"/>
  <c r="CG45" i="14" s="1"/>
  <c r="CL45" i="14" s="1"/>
  <c r="BC46" i="15"/>
  <c r="BI46" i="15" s="1"/>
  <c r="BN46" i="15" s="1"/>
  <c r="CY41" i="15"/>
  <c r="DE41" i="15" s="1"/>
  <c r="DJ41" i="15" s="1"/>
  <c r="CA52" i="16"/>
  <c r="CG52" i="16" s="1"/>
  <c r="CL52" i="16" s="1"/>
  <c r="AE42" i="14"/>
  <c r="AK42" i="14" s="1"/>
  <c r="AP42" i="14" s="1"/>
  <c r="AE53" i="15"/>
  <c r="AK53" i="15" s="1"/>
  <c r="AP53" i="15" s="1"/>
  <c r="CY43" i="13"/>
  <c r="DE43" i="13" s="1"/>
  <c r="DJ43" i="13" s="1"/>
  <c r="CA52" i="15"/>
  <c r="CG52" i="15" s="1"/>
  <c r="CL52" i="15" s="1"/>
  <c r="G50" i="14"/>
  <c r="M50" i="14" s="1"/>
  <c r="R50" i="14" s="1"/>
  <c r="CY46" i="13"/>
  <c r="DE46" i="13" s="1"/>
  <c r="DJ46" i="13" s="1"/>
  <c r="BC41" i="16"/>
  <c r="BI41" i="16" s="1"/>
  <c r="BN41" i="16" s="1"/>
  <c r="CA49" i="16"/>
  <c r="CG49" i="16" s="1"/>
  <c r="CL49" i="16" s="1"/>
  <c r="AE47" i="13"/>
  <c r="AK47" i="13" s="1"/>
  <c r="AP47" i="13" s="1"/>
  <c r="G42" i="16"/>
  <c r="M42" i="16" s="1"/>
  <c r="R42" i="16" s="1"/>
  <c r="CY40" i="13"/>
  <c r="DE40" i="13" s="1"/>
  <c r="DJ40" i="13" s="1"/>
  <c r="CY39" i="14"/>
  <c r="DE39" i="14" s="1"/>
  <c r="DJ39" i="14" s="1"/>
  <c r="G39" i="14"/>
  <c r="M39" i="14" s="1"/>
  <c r="R39" i="14" s="1"/>
  <c r="G52" i="16"/>
  <c r="M52" i="16" s="1"/>
  <c r="R52" i="16" s="1"/>
  <c r="CA45" i="16"/>
  <c r="CG45" i="16" s="1"/>
  <c r="CL45" i="16" s="1"/>
  <c r="BC42" i="13"/>
  <c r="BI42" i="13" s="1"/>
  <c r="BN42" i="13" s="1"/>
  <c r="AE42" i="13"/>
  <c r="AK42" i="13" s="1"/>
  <c r="AP42" i="13" s="1"/>
  <c r="H97" i="10"/>
  <c r="Y97" i="10" s="1"/>
  <c r="AR38" i="14"/>
  <c r="AE38" i="14"/>
  <c r="CA40" i="15"/>
  <c r="CG40" i="15" s="1"/>
  <c r="CL40" i="15" s="1"/>
  <c r="G40" i="15"/>
  <c r="M40" i="15" s="1"/>
  <c r="R40" i="15" s="1"/>
  <c r="CY42" i="14"/>
  <c r="DE42" i="14" s="1"/>
  <c r="DJ42" i="14" s="1"/>
  <c r="BC39" i="14"/>
  <c r="BI39" i="14" s="1"/>
  <c r="BN39" i="14" s="1"/>
  <c r="CA53" i="15"/>
  <c r="CG53" i="15" s="1"/>
  <c r="CL53" i="15" s="1"/>
  <c r="BC51" i="13"/>
  <c r="BI51" i="13" s="1"/>
  <c r="BN51" i="13" s="1"/>
  <c r="AE45" i="14"/>
  <c r="AK45" i="14" s="1"/>
  <c r="AP45" i="14" s="1"/>
  <c r="BC48" i="15"/>
  <c r="BI48" i="15" s="1"/>
  <c r="BN48" i="15" s="1"/>
  <c r="AE47" i="14"/>
  <c r="AK47" i="14" s="1"/>
  <c r="AP47" i="14" s="1"/>
  <c r="CA39" i="16"/>
  <c r="CG39" i="16" s="1"/>
  <c r="CL39" i="16" s="1"/>
  <c r="BC48" i="14"/>
  <c r="BI48" i="14" s="1"/>
  <c r="BN48" i="14" s="1"/>
  <c r="AE51" i="13"/>
  <c r="AK51" i="13" s="1"/>
  <c r="AP51" i="13" s="1"/>
  <c r="AE47" i="16"/>
  <c r="AK47" i="16" s="1"/>
  <c r="AP47" i="16" s="1"/>
  <c r="H106" i="10"/>
  <c r="Y106" i="10" s="1"/>
  <c r="CY49" i="13"/>
  <c r="DE49" i="13" s="1"/>
  <c r="DJ49" i="13" s="1"/>
  <c r="CA46" i="15"/>
  <c r="CG46" i="15" s="1"/>
  <c r="CL46" i="15" s="1"/>
  <c r="CA51" i="15"/>
  <c r="CG51" i="15" s="1"/>
  <c r="CL51" i="15" s="1"/>
  <c r="T38" i="16"/>
  <c r="G38" i="16"/>
  <c r="CA45" i="15"/>
  <c r="CG45" i="15" s="1"/>
  <c r="CL45" i="15" s="1"/>
  <c r="BC46" i="14"/>
  <c r="BI46" i="14" s="1"/>
  <c r="BN46" i="14" s="1"/>
  <c r="CA48" i="16"/>
  <c r="CG48" i="16" s="1"/>
  <c r="CL48" i="16" s="1"/>
  <c r="CY46" i="14"/>
  <c r="DE46" i="14" s="1"/>
  <c r="DJ46" i="14" s="1"/>
  <c r="CA52" i="14"/>
  <c r="CG52" i="14" s="1"/>
  <c r="CL52" i="14" s="1"/>
  <c r="CY53" i="16"/>
  <c r="DE53" i="16" s="1"/>
  <c r="DJ53" i="16" s="1"/>
  <c r="BC43" i="14"/>
  <c r="BI43" i="14" s="1"/>
  <c r="BN43" i="14" s="1"/>
  <c r="BC45" i="16"/>
  <c r="BI45" i="16" s="1"/>
  <c r="BN45" i="16" s="1"/>
  <c r="CA42" i="16"/>
  <c r="CG42" i="16" s="1"/>
  <c r="CL42" i="16" s="1"/>
  <c r="H105" i="10"/>
  <c r="Y105" i="10" s="1"/>
  <c r="H101" i="10"/>
  <c r="Y101" i="10" s="1"/>
  <c r="AE53" i="13"/>
  <c r="AK53" i="13" s="1"/>
  <c r="AP53" i="13" s="1"/>
  <c r="AE43" i="16"/>
  <c r="AK43" i="16" s="1"/>
  <c r="AP43" i="16" s="1"/>
  <c r="AE46" i="14"/>
  <c r="AK46" i="14" s="1"/>
  <c r="AP46" i="14" s="1"/>
  <c r="BC40" i="16"/>
  <c r="BI40" i="16" s="1"/>
  <c r="BN40" i="16" s="1"/>
  <c r="AE46" i="15"/>
  <c r="AK46" i="15" s="1"/>
  <c r="AP46" i="15" s="1"/>
  <c r="CY47" i="16"/>
  <c r="DE47" i="16" s="1"/>
  <c r="DJ47" i="16" s="1"/>
  <c r="BC44" i="16"/>
  <c r="BI44" i="16" s="1"/>
  <c r="BN44" i="16" s="1"/>
  <c r="CY44" i="13"/>
  <c r="DE44" i="13" s="1"/>
  <c r="DJ44" i="13" s="1"/>
  <c r="AE49" i="16"/>
  <c r="AK49" i="16" s="1"/>
  <c r="AP49" i="16" s="1"/>
  <c r="AE39" i="16"/>
  <c r="AK39" i="16" s="1"/>
  <c r="AP39" i="16" s="1"/>
  <c r="AE45" i="15"/>
  <c r="AK45" i="15" s="1"/>
  <c r="AP45" i="15" s="1"/>
  <c r="CA53" i="16"/>
  <c r="CG53" i="16" s="1"/>
  <c r="CL53" i="16" s="1"/>
  <c r="AE51" i="15"/>
  <c r="AK51" i="15" s="1"/>
  <c r="AP51" i="15" s="1"/>
  <c r="CY46" i="16"/>
  <c r="DE46" i="16" s="1"/>
  <c r="DJ46" i="16" s="1"/>
  <c r="BC51" i="14"/>
  <c r="BI51" i="14" s="1"/>
  <c r="BN51" i="14" s="1"/>
  <c r="BC45" i="15"/>
  <c r="BI45" i="15" s="1"/>
  <c r="BN45" i="15" s="1"/>
  <c r="CY42" i="15"/>
  <c r="DE42" i="15" s="1"/>
  <c r="DJ42" i="15" s="1"/>
  <c r="CY49" i="16"/>
  <c r="DE49" i="16" s="1"/>
  <c r="DJ49" i="16" s="1"/>
  <c r="G39" i="16"/>
  <c r="M39" i="16" s="1"/>
  <c r="R39" i="16" s="1"/>
  <c r="CY41" i="13"/>
  <c r="DE41" i="13" s="1"/>
  <c r="DJ41" i="13" s="1"/>
  <c r="CY49" i="14"/>
  <c r="DE49" i="14" s="1"/>
  <c r="DJ49" i="14" s="1"/>
  <c r="G47" i="16"/>
  <c r="M47" i="16" s="1"/>
  <c r="R47" i="16" s="1"/>
  <c r="AE44" i="15"/>
  <c r="AK44" i="15" s="1"/>
  <c r="AP44" i="15" s="1"/>
  <c r="CA49" i="13"/>
  <c r="CG49" i="13" s="1"/>
  <c r="CL49" i="13" s="1"/>
  <c r="CY41" i="14"/>
  <c r="DE41" i="14" s="1"/>
  <c r="DJ41" i="14" s="1"/>
  <c r="BC52" i="15"/>
  <c r="BI52" i="15" s="1"/>
  <c r="BN52" i="15" s="1"/>
  <c r="CY47" i="15"/>
  <c r="DE47" i="15" s="1"/>
  <c r="DJ47" i="15" s="1"/>
  <c r="BC40" i="13"/>
  <c r="BI40" i="13" s="1"/>
  <c r="BN40" i="13" s="1"/>
  <c r="AE53" i="14"/>
  <c r="AK53" i="14" s="1"/>
  <c r="AP53" i="14" s="1"/>
  <c r="G46" i="16"/>
  <c r="M46" i="16" s="1"/>
  <c r="R46" i="16" s="1"/>
  <c r="BC49" i="14"/>
  <c r="BI49" i="14" s="1"/>
  <c r="BN49" i="14" s="1"/>
  <c r="CY43" i="16"/>
  <c r="DE43" i="16" s="1"/>
  <c r="DJ43" i="16" s="1"/>
  <c r="AE41" i="16"/>
  <c r="AK41" i="16" s="1"/>
  <c r="AP41" i="16" s="1"/>
  <c r="CY47" i="14"/>
  <c r="DE47" i="14" s="1"/>
  <c r="DJ47" i="14" s="1"/>
  <c r="BC47" i="16"/>
  <c r="BI47" i="16" s="1"/>
  <c r="BN47" i="16" s="1"/>
  <c r="M39" i="13"/>
  <c r="R39" i="13" s="1"/>
  <c r="G49" i="14"/>
  <c r="M49" i="14" s="1"/>
  <c r="R49" i="14" s="1"/>
  <c r="BC53" i="13"/>
  <c r="BI53" i="13" s="1"/>
  <c r="BN53" i="13" s="1"/>
  <c r="CA39" i="14"/>
  <c r="CG39" i="14" s="1"/>
  <c r="CL39" i="14" s="1"/>
  <c r="CA50" i="16"/>
  <c r="CG50" i="16" s="1"/>
  <c r="CL50" i="16" s="1"/>
  <c r="H100" i="10"/>
  <c r="Y100" i="10" s="1"/>
  <c r="BP38" i="14"/>
  <c r="BC38" i="14"/>
  <c r="BC40" i="14"/>
  <c r="BI40" i="14" s="1"/>
  <c r="BN40" i="14" s="1"/>
  <c r="M51" i="13"/>
  <c r="R51" i="13" s="1"/>
  <c r="CA47" i="14"/>
  <c r="CG47" i="14" s="1"/>
  <c r="CL47" i="14" s="1"/>
  <c r="BC52" i="14"/>
  <c r="BI52" i="14" s="1"/>
  <c r="BN52" i="14" s="1"/>
  <c r="H95" i="10"/>
  <c r="Y95" i="10" s="1"/>
  <c r="T38" i="15"/>
  <c r="G38" i="15"/>
  <c r="AE52" i="13"/>
  <c r="AK52" i="13" s="1"/>
  <c r="AP52" i="13" s="1"/>
  <c r="G44" i="16"/>
  <c r="M44" i="16" s="1"/>
  <c r="R44" i="16" s="1"/>
  <c r="G43" i="14"/>
  <c r="M43" i="14" s="1"/>
  <c r="R43" i="14" s="1"/>
  <c r="G44" i="15"/>
  <c r="M44" i="15" s="1"/>
  <c r="R44" i="15" s="1"/>
  <c r="BC41" i="15"/>
  <c r="BI41" i="15" s="1"/>
  <c r="BN41" i="15" s="1"/>
  <c r="AE38" i="15"/>
  <c r="AR38" i="15"/>
  <c r="CY52" i="16"/>
  <c r="DE52" i="16" s="1"/>
  <c r="DJ52" i="16" s="1"/>
  <c r="CA49" i="14"/>
  <c r="CG49" i="14" s="1"/>
  <c r="CL49" i="14" s="1"/>
  <c r="CY45" i="16"/>
  <c r="DE45" i="16" s="1"/>
  <c r="DJ45" i="16" s="1"/>
  <c r="AE40" i="16"/>
  <c r="AK40" i="16" s="1"/>
  <c r="AP40" i="16" s="1"/>
  <c r="G43" i="15"/>
  <c r="M43" i="15" s="1"/>
  <c r="R43" i="15" s="1"/>
  <c r="CY40" i="16"/>
  <c r="DE40" i="16" s="1"/>
  <c r="DJ40" i="16" s="1"/>
  <c r="CY51" i="13"/>
  <c r="DE51" i="13" s="1"/>
  <c r="DJ51" i="13" s="1"/>
  <c r="G40" i="16"/>
  <c r="M40" i="16" s="1"/>
  <c r="R40" i="16" s="1"/>
  <c r="AE44" i="14"/>
  <c r="AK44" i="14" s="1"/>
  <c r="AP44" i="14" s="1"/>
  <c r="AE43" i="15"/>
  <c r="AK43" i="15" s="1"/>
  <c r="AP43" i="15" s="1"/>
  <c r="AE49" i="15"/>
  <c r="AK49" i="15" s="1"/>
  <c r="AP49" i="15" s="1"/>
  <c r="BC43" i="15"/>
  <c r="BI43" i="15" s="1"/>
  <c r="BN43" i="15" s="1"/>
  <c r="AR38" i="16"/>
  <c r="AE38" i="16"/>
  <c r="AE48" i="15"/>
  <c r="AK48" i="15" s="1"/>
  <c r="AP48" i="15" s="1"/>
  <c r="CA45" i="13"/>
  <c r="CG45" i="13" s="1"/>
  <c r="CL45" i="13" s="1"/>
  <c r="CY45" i="15"/>
  <c r="DE45" i="15" s="1"/>
  <c r="DJ45" i="15" s="1"/>
  <c r="G43" i="16"/>
  <c r="M43" i="16" s="1"/>
  <c r="R43" i="16" s="1"/>
  <c r="G50" i="15"/>
  <c r="M50" i="15" s="1"/>
  <c r="R50" i="15" s="1"/>
  <c r="CY50" i="16"/>
  <c r="DE50" i="16" s="1"/>
  <c r="DJ50" i="16" s="1"/>
  <c r="BC44" i="14"/>
  <c r="BI44" i="14" s="1"/>
  <c r="BN44" i="14" s="1"/>
  <c r="H94" i="10"/>
  <c r="Y94" i="10" s="1"/>
  <c r="AF91" i="10"/>
  <c r="H91" i="10"/>
  <c r="AE40" i="13"/>
  <c r="AK40" i="13" s="1"/>
  <c r="AP40" i="13" s="1"/>
  <c r="CY48" i="13"/>
  <c r="DE48" i="13" s="1"/>
  <c r="DJ48" i="13" s="1"/>
  <c r="AE48" i="14"/>
  <c r="AK48" i="14" s="1"/>
  <c r="AP48" i="14" s="1"/>
  <c r="BC48" i="16"/>
  <c r="BI48" i="16" s="1"/>
  <c r="BN48" i="16" s="1"/>
  <c r="G48" i="15"/>
  <c r="M48" i="15" s="1"/>
  <c r="R48" i="15" s="1"/>
  <c r="BC46" i="16"/>
  <c r="BI46" i="16" s="1"/>
  <c r="BN46" i="16" s="1"/>
  <c r="BC52" i="16"/>
  <c r="BI52" i="16" s="1"/>
  <c r="BN52" i="16" s="1"/>
  <c r="BC53" i="14"/>
  <c r="BI53" i="14" s="1"/>
  <c r="BN53" i="14" s="1"/>
  <c r="BC46" i="13"/>
  <c r="BI46" i="13" s="1"/>
  <c r="BN46" i="13" s="1"/>
  <c r="G41" i="16"/>
  <c r="M41" i="16" s="1"/>
  <c r="R41" i="16" s="1"/>
  <c r="G53" i="15"/>
  <c r="M53" i="15" s="1"/>
  <c r="R53" i="15" s="1"/>
  <c r="CY39" i="16"/>
  <c r="DE39" i="16" s="1"/>
  <c r="DJ39" i="16" s="1"/>
  <c r="G45" i="16"/>
  <c r="M45" i="16" s="1"/>
  <c r="R45" i="16" s="1"/>
  <c r="G53" i="16"/>
  <c r="M53" i="16" s="1"/>
  <c r="R53" i="16" s="1"/>
  <c r="CN38" i="14"/>
  <c r="CA38" i="14"/>
  <c r="BC47" i="15"/>
  <c r="BI47" i="15" s="1"/>
  <c r="BN47" i="15" s="1"/>
  <c r="CY44" i="15"/>
  <c r="DE44" i="15" s="1"/>
  <c r="DJ44" i="15" s="1"/>
  <c r="M45" i="13"/>
  <c r="R45" i="13" s="1"/>
  <c r="AE42" i="16"/>
  <c r="AK42" i="16" s="1"/>
  <c r="AP42" i="16" s="1"/>
  <c r="CY45" i="13"/>
  <c r="DE45" i="13" s="1"/>
  <c r="DJ45" i="13" s="1"/>
  <c r="CY52" i="14"/>
  <c r="DE52" i="14" s="1"/>
  <c r="DJ52" i="14" s="1"/>
  <c r="BC41" i="14"/>
  <c r="BI41" i="14" s="1"/>
  <c r="BN41" i="14" s="1"/>
  <c r="AE47" i="15"/>
  <c r="AK47" i="15" s="1"/>
  <c r="AP47" i="15" s="1"/>
  <c r="CA53" i="13"/>
  <c r="CG53" i="13" s="1"/>
  <c r="CL53" i="13" s="1"/>
  <c r="CY50" i="14"/>
  <c r="DE50" i="14" s="1"/>
  <c r="DJ50" i="14" s="1"/>
  <c r="CA44" i="15"/>
  <c r="CG44" i="15" s="1"/>
  <c r="CL44" i="15" s="1"/>
  <c r="CY49" i="15"/>
  <c r="DE49" i="15" s="1"/>
  <c r="DJ49" i="15" s="1"/>
  <c r="CY42" i="13"/>
  <c r="DE42" i="13" s="1"/>
  <c r="DJ42" i="13" s="1"/>
  <c r="G42" i="15"/>
  <c r="M42" i="15" s="1"/>
  <c r="R42" i="15" s="1"/>
  <c r="G51" i="16"/>
  <c r="M51" i="16" s="1"/>
  <c r="R51" i="16" s="1"/>
  <c r="CY44" i="14"/>
  <c r="DE44" i="14" s="1"/>
  <c r="DJ44" i="14" s="1"/>
  <c r="CY48" i="16"/>
  <c r="DE48" i="16" s="1"/>
  <c r="DJ48" i="16" s="1"/>
  <c r="AE48" i="16"/>
  <c r="AK48" i="16" s="1"/>
  <c r="AP48" i="16" s="1"/>
  <c r="CY53" i="14"/>
  <c r="DE53" i="14" s="1"/>
  <c r="DJ53" i="14" s="1"/>
  <c r="BC49" i="16"/>
  <c r="BI49" i="16" s="1"/>
  <c r="BN49" i="16" s="1"/>
  <c r="M44" i="13"/>
  <c r="R44" i="13" s="1"/>
  <c r="AE50" i="14"/>
  <c r="AK50" i="14" s="1"/>
  <c r="AP50" i="14" s="1"/>
  <c r="CA42" i="13"/>
  <c r="CG42" i="13" s="1"/>
  <c r="CL42" i="13" s="1"/>
  <c r="CA42" i="14"/>
  <c r="CG42" i="14" s="1"/>
  <c r="CL42" i="14" s="1"/>
  <c r="CY41" i="16"/>
  <c r="DE41" i="16" s="1"/>
  <c r="DJ41" i="16" s="1"/>
  <c r="H104" i="10"/>
  <c r="Y104" i="10" s="1"/>
  <c r="G49" i="16"/>
  <c r="M49" i="16" s="1"/>
  <c r="R49" i="16" s="1"/>
  <c r="M47" i="13"/>
  <c r="R47" i="13" s="1"/>
  <c r="M42" i="13"/>
  <c r="R42" i="13" s="1"/>
  <c r="AE52" i="16"/>
  <c r="AK52" i="16" s="1"/>
  <c r="AP52" i="16" s="1"/>
  <c r="AE52" i="15"/>
  <c r="AK52" i="15" s="1"/>
  <c r="AP52" i="15" s="1"/>
  <c r="CY43" i="14"/>
  <c r="DE43" i="14" s="1"/>
  <c r="DJ43" i="14" s="1"/>
  <c r="CA41" i="15"/>
  <c r="CG41" i="15" s="1"/>
  <c r="CL41" i="15" s="1"/>
  <c r="G47" i="15"/>
  <c r="M47" i="15" s="1"/>
  <c r="R47" i="15" s="1"/>
  <c r="BC50" i="16"/>
  <c r="BI50" i="16" s="1"/>
  <c r="BN50" i="16" s="1"/>
  <c r="CA40" i="16"/>
  <c r="CG40" i="16" s="1"/>
  <c r="CL40" i="16" s="1"/>
  <c r="CY40" i="14"/>
  <c r="DE40" i="14" s="1"/>
  <c r="DJ40" i="14" s="1"/>
  <c r="CA41" i="13"/>
  <c r="CG41" i="13" s="1"/>
  <c r="CL41" i="13" s="1"/>
  <c r="CY43" i="15"/>
  <c r="DE43" i="15" s="1"/>
  <c r="DJ43" i="15" s="1"/>
  <c r="CY47" i="13"/>
  <c r="DE47" i="13" s="1"/>
  <c r="DJ47" i="13" s="1"/>
  <c r="BC43" i="16"/>
  <c r="BI43" i="16" s="1"/>
  <c r="BN43" i="16" s="1"/>
  <c r="CY48" i="14"/>
  <c r="DE48" i="14" s="1"/>
  <c r="DJ48" i="14" s="1"/>
  <c r="H102" i="10"/>
  <c r="Y102" i="10" s="1"/>
  <c r="AE41" i="14"/>
  <c r="AK41" i="14" s="1"/>
  <c r="AP41" i="14" s="1"/>
  <c r="CA50" i="15"/>
  <c r="CG50" i="15" s="1"/>
  <c r="CL50" i="15" s="1"/>
  <c r="AE50" i="16"/>
  <c r="AK50" i="16" s="1"/>
  <c r="AP50" i="16" s="1"/>
  <c r="G39" i="15"/>
  <c r="M39" i="15" s="1"/>
  <c r="R39" i="15" s="1"/>
  <c r="CA46" i="16"/>
  <c r="CG46" i="16" s="1"/>
  <c r="CL46" i="16" s="1"/>
  <c r="CY40" i="15"/>
  <c r="DE40" i="15" s="1"/>
  <c r="DJ40" i="15" s="1"/>
  <c r="CN38" i="13"/>
  <c r="CA38" i="13"/>
  <c r="AE40" i="15"/>
  <c r="AK40" i="15" s="1"/>
  <c r="AP40" i="15" s="1"/>
  <c r="BC50" i="15"/>
  <c r="BI50" i="15" s="1"/>
  <c r="BN50" i="15" s="1"/>
  <c r="G52" i="14"/>
  <c r="M52" i="14" s="1"/>
  <c r="R52" i="14" s="1"/>
  <c r="CA47" i="16"/>
  <c r="CG47" i="16" s="1"/>
  <c r="CL47" i="16" s="1"/>
  <c r="CA41" i="14"/>
  <c r="CG41" i="14" s="1"/>
  <c r="CL41" i="14" s="1"/>
  <c r="G44" i="14"/>
  <c r="M44" i="14" s="1"/>
  <c r="R44" i="14" s="1"/>
  <c r="G50" i="16"/>
  <c r="M50" i="16" s="1"/>
  <c r="R50" i="16" s="1"/>
  <c r="H93" i="10"/>
  <c r="Y93" i="10" s="1"/>
  <c r="H99" i="10"/>
  <c r="Y99" i="10" s="1"/>
  <c r="AE45" i="13"/>
  <c r="AK45" i="13" s="1"/>
  <c r="AP45" i="13" s="1"/>
  <c r="CY53" i="13"/>
  <c r="DE53" i="13" s="1"/>
  <c r="DJ53" i="13" s="1"/>
  <c r="G41" i="15"/>
  <c r="M41" i="15" s="1"/>
  <c r="R41" i="15" s="1"/>
  <c r="DL38" i="16"/>
  <c r="CY38" i="16"/>
  <c r="AE45" i="16"/>
  <c r="AK45" i="16" s="1"/>
  <c r="AP45" i="16" s="1"/>
  <c r="G51" i="15"/>
  <c r="M51" i="15" s="1"/>
  <c r="R51" i="15" s="1"/>
  <c r="CA44" i="13"/>
  <c r="CG44" i="13" s="1"/>
  <c r="CL44" i="13" s="1"/>
  <c r="CN38" i="16"/>
  <c r="CA38" i="16"/>
  <c r="CA39" i="13"/>
  <c r="CG39" i="13" s="1"/>
  <c r="CL39" i="13" s="1"/>
  <c r="M48" i="13"/>
  <c r="R48" i="13" s="1"/>
  <c r="AE46" i="16"/>
  <c r="AK46" i="16" s="1"/>
  <c r="AP46" i="16" s="1"/>
  <c r="CY42" i="16"/>
  <c r="DE42" i="16" s="1"/>
  <c r="DJ42" i="16" s="1"/>
  <c r="AE51" i="16"/>
  <c r="AK51" i="16" s="1"/>
  <c r="AP51" i="16" s="1"/>
  <c r="CA43" i="13"/>
  <c r="CG43" i="13" s="1"/>
  <c r="CL43" i="13" s="1"/>
  <c r="CA43" i="14"/>
  <c r="CG43" i="14" s="1"/>
  <c r="CL43" i="14" s="1"/>
  <c r="BC49" i="15"/>
  <c r="BI49" i="15" s="1"/>
  <c r="BN49" i="15" s="1"/>
  <c r="CY46" i="15"/>
  <c r="DE46" i="15" s="1"/>
  <c r="DJ46" i="15" s="1"/>
  <c r="M53" i="13"/>
  <c r="R53" i="13" s="1"/>
  <c r="G48" i="16"/>
  <c r="M48" i="16" s="1"/>
  <c r="R48" i="16" s="1"/>
  <c r="BC47" i="14"/>
  <c r="BI47" i="14" s="1"/>
  <c r="BN47" i="14" s="1"/>
  <c r="CA48" i="15"/>
  <c r="CG48" i="15" s="1"/>
  <c r="CL48" i="15" s="1"/>
  <c r="M46" i="13"/>
  <c r="R46" i="13" s="1"/>
  <c r="AE44" i="16"/>
  <c r="AK44" i="16" s="1"/>
  <c r="AP44" i="16" s="1"/>
  <c r="CY39" i="13"/>
  <c r="DE39" i="13" s="1"/>
  <c r="DJ39" i="13" s="1"/>
  <c r="BC40" i="15"/>
  <c r="BI40" i="15" s="1"/>
  <c r="BN40" i="15" s="1"/>
  <c r="CA49" i="15"/>
  <c r="CG49" i="15" s="1"/>
  <c r="CL49" i="15" s="1"/>
  <c r="CY51" i="15"/>
  <c r="DE51" i="15" s="1"/>
  <c r="DJ51" i="15" s="1"/>
  <c r="M41" i="13"/>
  <c r="R41" i="13" s="1"/>
  <c r="G46" i="15"/>
  <c r="M46" i="15" s="1"/>
  <c r="R46" i="15" s="1"/>
  <c r="BC41" i="13"/>
  <c r="BI41" i="13" s="1"/>
  <c r="BN41" i="13" s="1"/>
  <c r="CN38" i="15"/>
  <c r="CA38" i="15"/>
  <c r="AE40" i="14"/>
  <c r="AK40" i="14" s="1"/>
  <c r="AP40" i="14" s="1"/>
  <c r="BC44" i="13"/>
  <c r="BI44" i="13" s="1"/>
  <c r="BN44" i="13" s="1"/>
  <c r="CA39" i="15"/>
  <c r="CG39" i="15" s="1"/>
  <c r="CL39" i="15" s="1"/>
  <c r="BC51" i="16"/>
  <c r="BI51" i="16" s="1"/>
  <c r="BN51" i="16" s="1"/>
  <c r="M52" i="13"/>
  <c r="R52" i="13" s="1"/>
  <c r="AE52" i="14"/>
  <c r="AK52" i="14" s="1"/>
  <c r="AP52" i="14" s="1"/>
  <c r="CA46" i="13"/>
  <c r="CG46" i="13" s="1"/>
  <c r="CL46" i="13" s="1"/>
  <c r="CA46" i="14"/>
  <c r="CG46" i="14" s="1"/>
  <c r="CL46" i="14" s="1"/>
  <c r="CY51" i="16"/>
  <c r="DE51" i="16" s="1"/>
  <c r="DJ51" i="16" s="1"/>
  <c r="BZ26" i="15"/>
  <c r="CI26" i="15" s="1"/>
  <c r="BZ18" i="15"/>
  <c r="CI18" i="15" s="1"/>
  <c r="BZ15" i="15"/>
  <c r="CI15" i="15" s="1"/>
  <c r="BZ17" i="15"/>
  <c r="CI17" i="15" s="1"/>
  <c r="BZ23" i="15"/>
  <c r="CI23" i="15" s="1"/>
  <c r="CX26" i="15"/>
  <c r="DG26" i="15" s="1"/>
  <c r="CX24" i="15"/>
  <c r="DG24" i="15" s="1"/>
  <c r="CX22" i="15"/>
  <c r="DG22" i="15" s="1"/>
  <c r="CX20" i="15"/>
  <c r="DG20" i="15" s="1"/>
  <c r="CX18" i="15"/>
  <c r="DG18" i="15" s="1"/>
  <c r="CX16" i="15"/>
  <c r="DG16" i="15" s="1"/>
  <c r="CX14" i="15"/>
  <c r="DG14" i="15" s="1"/>
  <c r="BZ20" i="15"/>
  <c r="CI20" i="15" s="1"/>
  <c r="BZ25" i="15"/>
  <c r="CI25" i="15" s="1"/>
  <c r="BZ22" i="15"/>
  <c r="CI22" i="15" s="1"/>
  <c r="BZ14" i="15"/>
  <c r="CI14" i="15" s="1"/>
  <c r="BZ12" i="15"/>
  <c r="CI12" i="15" s="1"/>
  <c r="CX12" i="15"/>
  <c r="DG12" i="15" s="1"/>
  <c r="BZ27" i="15"/>
  <c r="CI27" i="15" s="1"/>
  <c r="BZ19" i="15"/>
  <c r="CI19" i="15" s="1"/>
  <c r="CX27" i="15"/>
  <c r="DG27" i="15" s="1"/>
  <c r="CX25" i="15"/>
  <c r="DG25" i="15" s="1"/>
  <c r="CX23" i="15"/>
  <c r="DG23" i="15" s="1"/>
  <c r="CX21" i="15"/>
  <c r="DG21" i="15" s="1"/>
  <c r="CX19" i="15"/>
  <c r="DG19" i="15" s="1"/>
  <c r="CX17" i="15"/>
  <c r="DG17" i="15" s="1"/>
  <c r="CX13" i="15"/>
  <c r="DG13" i="15" s="1"/>
  <c r="CX15" i="15"/>
  <c r="DG15" i="15" s="1"/>
  <c r="BZ21" i="15"/>
  <c r="CI21" i="15" s="1"/>
  <c r="BZ24" i="15"/>
  <c r="CI24" i="15" s="1"/>
  <c r="BZ13" i="15"/>
  <c r="CI13" i="15" s="1"/>
  <c r="BZ16" i="15"/>
  <c r="CI16" i="15" s="1"/>
  <c r="BZ20" i="16"/>
  <c r="CI20" i="16" s="1"/>
  <c r="BZ15" i="16"/>
  <c r="CI15" i="16" s="1"/>
  <c r="CX24" i="14"/>
  <c r="DG24" i="14" s="1"/>
  <c r="CX18" i="14"/>
  <c r="DG18" i="14" s="1"/>
  <c r="BB27" i="14"/>
  <c r="BK27" i="14" s="1"/>
  <c r="BZ25" i="14"/>
  <c r="CI25" i="14" s="1"/>
  <c r="BZ18" i="14"/>
  <c r="CI18" i="14" s="1"/>
  <c r="AD26" i="16"/>
  <c r="AM26" i="16" s="1"/>
  <c r="BB22" i="16"/>
  <c r="BK22" i="16" s="1"/>
  <c r="BB19" i="16"/>
  <c r="BK19" i="16" s="1"/>
  <c r="BB26" i="15"/>
  <c r="BK26" i="15" s="1"/>
  <c r="BB25" i="15"/>
  <c r="BK25" i="15" s="1"/>
  <c r="BB24" i="15"/>
  <c r="BK24" i="15" s="1"/>
  <c r="AD22" i="15"/>
  <c r="AM22" i="15" s="1"/>
  <c r="AD20" i="15"/>
  <c r="AM20" i="15" s="1"/>
  <c r="AD18" i="15"/>
  <c r="AM18" i="15" s="1"/>
  <c r="AD13" i="15"/>
  <c r="AM13" i="15" s="1"/>
  <c r="BB12" i="15"/>
  <c r="BK12" i="15" s="1"/>
  <c r="AD26" i="14"/>
  <c r="AM26" i="14" s="1"/>
  <c r="F23" i="14"/>
  <c r="O23" i="14" s="1"/>
  <c r="AD21" i="14"/>
  <c r="AM21" i="14" s="1"/>
  <c r="AD18" i="14"/>
  <c r="AM18" i="14" s="1"/>
  <c r="AD16" i="14"/>
  <c r="AM16" i="14" s="1"/>
  <c r="F12" i="14"/>
  <c r="O12" i="14" s="1"/>
  <c r="BB25" i="13"/>
  <c r="BK25" i="13" s="1"/>
  <c r="BB21" i="13"/>
  <c r="BK21" i="13" s="1"/>
  <c r="BB17" i="13"/>
  <c r="BK17" i="13" s="1"/>
  <c r="BB13" i="13"/>
  <c r="BK13" i="13" s="1"/>
  <c r="AD17" i="13"/>
  <c r="AM17" i="13" s="1"/>
  <c r="AD25" i="13"/>
  <c r="AM25" i="13" s="1"/>
  <c r="F20" i="13"/>
  <c r="O20" i="13" s="1"/>
  <c r="AD12" i="13"/>
  <c r="AM12" i="13" s="1"/>
  <c r="CX26" i="16"/>
  <c r="DG26" i="16" s="1"/>
  <c r="CX24" i="16"/>
  <c r="DG24" i="16" s="1"/>
  <c r="CX22" i="16"/>
  <c r="DG22" i="16" s="1"/>
  <c r="CX20" i="16"/>
  <c r="DG20" i="16" s="1"/>
  <c r="CX18" i="16"/>
  <c r="DG18" i="16" s="1"/>
  <c r="CX16" i="16"/>
  <c r="DG16" i="16" s="1"/>
  <c r="CX14" i="16"/>
  <c r="DG14" i="16" s="1"/>
  <c r="BZ25" i="16"/>
  <c r="CI25" i="16" s="1"/>
  <c r="CX21" i="14"/>
  <c r="DG21" i="14" s="1"/>
  <c r="BB23" i="14"/>
  <c r="BK23" i="14" s="1"/>
  <c r="BB20" i="14"/>
  <c r="BK20" i="14" s="1"/>
  <c r="BZ24" i="14"/>
  <c r="CI24" i="14" s="1"/>
  <c r="BZ17" i="14"/>
  <c r="CI17" i="14" s="1"/>
  <c r="CX26" i="13"/>
  <c r="DG26" i="13" s="1"/>
  <c r="CX22" i="13"/>
  <c r="DG22" i="13" s="1"/>
  <c r="CX19" i="13"/>
  <c r="DG19" i="13" s="1"/>
  <c r="CX15" i="13"/>
  <c r="DG15" i="13" s="1"/>
  <c r="BZ27" i="13"/>
  <c r="CI27" i="13" s="1"/>
  <c r="BZ23" i="13"/>
  <c r="CI23" i="13" s="1"/>
  <c r="BZ19" i="13"/>
  <c r="CI19" i="13" s="1"/>
  <c r="BZ15" i="13"/>
  <c r="CI15" i="13" s="1"/>
  <c r="AD25" i="16"/>
  <c r="AM25" i="16" s="1"/>
  <c r="AD24" i="16"/>
  <c r="AM24" i="16" s="1"/>
  <c r="AD23" i="16"/>
  <c r="AM23" i="16" s="1"/>
  <c r="BB21" i="16"/>
  <c r="BK21" i="16" s="1"/>
  <c r="BB20" i="16"/>
  <c r="BK20" i="16" s="1"/>
  <c r="BB18" i="16"/>
  <c r="BK18" i="16" s="1"/>
  <c r="F16" i="16"/>
  <c r="O16" i="16" s="1"/>
  <c r="AD14" i="16"/>
  <c r="AM14" i="16" s="1"/>
  <c r="BB13" i="16"/>
  <c r="BK13" i="16" s="1"/>
  <c r="F13" i="16"/>
  <c r="O13" i="16" s="1"/>
  <c r="AD27" i="15"/>
  <c r="AM27" i="15" s="1"/>
  <c r="AD23" i="15"/>
  <c r="AM23" i="15" s="1"/>
  <c r="F17" i="15"/>
  <c r="O17" i="15" s="1"/>
  <c r="F16" i="15"/>
  <c r="O16" i="15" s="1"/>
  <c r="F15" i="15"/>
  <c r="O15" i="15" s="1"/>
  <c r="F14" i="15"/>
  <c r="O14" i="15" s="1"/>
  <c r="AD24" i="14"/>
  <c r="AM24" i="14" s="1"/>
  <c r="F18" i="14"/>
  <c r="O18" i="14" s="1"/>
  <c r="F16" i="14"/>
  <c r="O16" i="14" s="1"/>
  <c r="AD13" i="14"/>
  <c r="AM13" i="14" s="1"/>
  <c r="AD18" i="13"/>
  <c r="AM18" i="13" s="1"/>
  <c r="AD26" i="13"/>
  <c r="AM26" i="13" s="1"/>
  <c r="F25" i="13"/>
  <c r="O25" i="13" s="1"/>
  <c r="F17" i="13"/>
  <c r="O17" i="13" s="1"/>
  <c r="F12" i="13"/>
  <c r="O12" i="13" s="1"/>
  <c r="BZ27" i="16"/>
  <c r="CI27" i="16" s="1"/>
  <c r="BZ19" i="16"/>
  <c r="CI19" i="16" s="1"/>
  <c r="CX23" i="14"/>
  <c r="DG23" i="14" s="1"/>
  <c r="BZ22" i="14"/>
  <c r="CI22" i="14" s="1"/>
  <c r="BZ12" i="14"/>
  <c r="CI12" i="14" s="1"/>
  <c r="CX25" i="13"/>
  <c r="DG25" i="13" s="1"/>
  <c r="BZ26" i="13"/>
  <c r="CI26" i="13" s="1"/>
  <c r="BZ18" i="13"/>
  <c r="CI18" i="13" s="1"/>
  <c r="BZ14" i="13"/>
  <c r="CI14" i="13" s="1"/>
  <c r="BB27" i="16"/>
  <c r="BK27" i="16" s="1"/>
  <c r="F24" i="16"/>
  <c r="O24" i="16" s="1"/>
  <c r="AD20" i="16"/>
  <c r="AM20" i="16" s="1"/>
  <c r="AD18" i="16"/>
  <c r="AM18" i="16" s="1"/>
  <c r="AD12" i="15"/>
  <c r="AM12" i="15" s="1"/>
  <c r="AD22" i="14"/>
  <c r="AM22" i="14" s="1"/>
  <c r="AD20" i="13"/>
  <c r="AM20" i="13" s="1"/>
  <c r="F19" i="13"/>
  <c r="O19" i="13" s="1"/>
  <c r="BB17" i="15"/>
  <c r="BK17" i="15" s="1"/>
  <c r="BZ22" i="16"/>
  <c r="CI22" i="16" s="1"/>
  <c r="BZ17" i="16"/>
  <c r="CI17" i="16" s="1"/>
  <c r="CX27" i="14"/>
  <c r="DG27" i="14" s="1"/>
  <c r="CX17" i="14"/>
  <c r="DG17" i="14" s="1"/>
  <c r="CX14" i="14"/>
  <c r="DG14" i="14" s="1"/>
  <c r="BB26" i="14"/>
  <c r="BK26" i="14" s="1"/>
  <c r="BB16" i="14"/>
  <c r="BK16" i="14" s="1"/>
  <c r="BB13" i="14"/>
  <c r="BK13" i="14" s="1"/>
  <c r="BZ23" i="14"/>
  <c r="CI23" i="14" s="1"/>
  <c r="BZ16" i="14"/>
  <c r="CI16" i="14" s="1"/>
  <c r="F27" i="16"/>
  <c r="O27" i="16" s="1"/>
  <c r="F26" i="16"/>
  <c r="O26" i="16" s="1"/>
  <c r="AD22" i="16"/>
  <c r="AM22" i="16" s="1"/>
  <c r="AD19" i="16"/>
  <c r="AM19" i="16" s="1"/>
  <c r="BB17" i="16"/>
  <c r="BK17" i="16" s="1"/>
  <c r="BB16" i="16"/>
  <c r="BK16" i="16" s="1"/>
  <c r="F15" i="16"/>
  <c r="O15" i="16" s="1"/>
  <c r="AD25" i="15"/>
  <c r="AM25" i="15" s="1"/>
  <c r="AD24" i="15"/>
  <c r="AM24" i="15" s="1"/>
  <c r="F22" i="15"/>
  <c r="O22" i="15" s="1"/>
  <c r="F21" i="15"/>
  <c r="O21" i="15" s="1"/>
  <c r="F20" i="15"/>
  <c r="O20" i="15" s="1"/>
  <c r="F19" i="15"/>
  <c r="O19" i="15" s="1"/>
  <c r="F18" i="15"/>
  <c r="O18" i="15" s="1"/>
  <c r="AD27" i="14"/>
  <c r="AM27" i="14" s="1"/>
  <c r="F26" i="14"/>
  <c r="O26" i="14" s="1"/>
  <c r="AD19" i="14"/>
  <c r="AM19" i="14" s="1"/>
  <c r="AD14" i="14"/>
  <c r="AM14" i="14" s="1"/>
  <c r="BB24" i="13"/>
  <c r="BK24" i="13" s="1"/>
  <c r="BB20" i="13"/>
  <c r="BK20" i="13" s="1"/>
  <c r="BB16" i="13"/>
  <c r="BK16" i="13" s="1"/>
  <c r="AD19" i="13"/>
  <c r="AM19" i="13" s="1"/>
  <c r="AD27" i="13"/>
  <c r="AM27" i="13" s="1"/>
  <c r="F22" i="13"/>
  <c r="O22" i="13" s="1"/>
  <c r="F14" i="13"/>
  <c r="O14" i="13" s="1"/>
  <c r="BZ14" i="16"/>
  <c r="CI14" i="16" s="1"/>
  <c r="BB19" i="14"/>
  <c r="BK19" i="14" s="1"/>
  <c r="CX18" i="13"/>
  <c r="DG18" i="13" s="1"/>
  <c r="BZ22" i="13"/>
  <c r="CI22" i="13" s="1"/>
  <c r="BZ12" i="13"/>
  <c r="CI12" i="13" s="1"/>
  <c r="F12" i="16"/>
  <c r="O12" i="16" s="1"/>
  <c r="AD26" i="15"/>
  <c r="AM26" i="15" s="1"/>
  <c r="F23" i="15"/>
  <c r="O23" i="15" s="1"/>
  <c r="F13" i="15"/>
  <c r="O13" i="15" s="1"/>
  <c r="F24" i="14"/>
  <c r="O24" i="14" s="1"/>
  <c r="F21" i="14"/>
  <c r="O21" i="14" s="1"/>
  <c r="AD12" i="14"/>
  <c r="AM12" i="14" s="1"/>
  <c r="F27" i="13"/>
  <c r="O27" i="13" s="1"/>
  <c r="AD25" i="14"/>
  <c r="AM25" i="14" s="1"/>
  <c r="BZ24" i="16"/>
  <c r="CI24" i="16" s="1"/>
  <c r="CX26" i="14"/>
  <c r="DG26" i="14" s="1"/>
  <c r="CX20" i="14"/>
  <c r="DG20" i="14" s="1"/>
  <c r="CX16" i="14"/>
  <c r="DG16" i="14" s="1"/>
  <c r="CX12" i="14"/>
  <c r="DG12" i="14" s="1"/>
  <c r="BB25" i="14"/>
  <c r="BK25" i="14" s="1"/>
  <c r="BB22" i="14"/>
  <c r="BK22" i="14" s="1"/>
  <c r="BB15" i="14"/>
  <c r="BK15" i="14" s="1"/>
  <c r="BZ15" i="14"/>
  <c r="CI15" i="14" s="1"/>
  <c r="CX21" i="13"/>
  <c r="DG21" i="13" s="1"/>
  <c r="CX14" i="13"/>
  <c r="DG14" i="13" s="1"/>
  <c r="F25" i="16"/>
  <c r="O25" i="16" s="1"/>
  <c r="F23" i="16"/>
  <c r="O23" i="16" s="1"/>
  <c r="AD21" i="16"/>
  <c r="AM21" i="16" s="1"/>
  <c r="AD17" i="16"/>
  <c r="AM17" i="16" s="1"/>
  <c r="F24" i="15"/>
  <c r="O24" i="15" s="1"/>
  <c r="BB16" i="15"/>
  <c r="BK16" i="15" s="1"/>
  <c r="BB14" i="15"/>
  <c r="BK14" i="15" s="1"/>
  <c r="AD17" i="14"/>
  <c r="AM17" i="14" s="1"/>
  <c r="AD15" i="14"/>
  <c r="AM15" i="14" s="1"/>
  <c r="BB27" i="13"/>
  <c r="BK27" i="13" s="1"/>
  <c r="BB23" i="13"/>
  <c r="BK23" i="13" s="1"/>
  <c r="BB19" i="13"/>
  <c r="BK19" i="13" s="1"/>
  <c r="BB15" i="13"/>
  <c r="BK15" i="13" s="1"/>
  <c r="AD13" i="13"/>
  <c r="AM13" i="13" s="1"/>
  <c r="AD21" i="13"/>
  <c r="AM21" i="13" s="1"/>
  <c r="F24" i="13"/>
  <c r="O24" i="13" s="1"/>
  <c r="F16" i="13"/>
  <c r="O16" i="13" s="1"/>
  <c r="CX27" i="16"/>
  <c r="DG27" i="16" s="1"/>
  <c r="CX25" i="16"/>
  <c r="DG25" i="16" s="1"/>
  <c r="CX23" i="16"/>
  <c r="DG23" i="16" s="1"/>
  <c r="CX21" i="16"/>
  <c r="DG21" i="16" s="1"/>
  <c r="CX19" i="16"/>
  <c r="DG19" i="16" s="1"/>
  <c r="CX17" i="16"/>
  <c r="DG17" i="16" s="1"/>
  <c r="CX15" i="16"/>
  <c r="DG15" i="16" s="1"/>
  <c r="CX13" i="16"/>
  <c r="DG13" i="16" s="1"/>
  <c r="CX12" i="16"/>
  <c r="DG12" i="16" s="1"/>
  <c r="BZ21" i="16"/>
  <c r="CI21" i="16" s="1"/>
  <c r="BZ16" i="16"/>
  <c r="CI16" i="16" s="1"/>
  <c r="BZ12" i="16"/>
  <c r="CI12" i="16" s="1"/>
  <c r="CX13" i="14"/>
  <c r="DG13" i="14" s="1"/>
  <c r="BB18" i="14"/>
  <c r="BK18" i="14" s="1"/>
  <c r="BZ21" i="14"/>
  <c r="CI21" i="14" s="1"/>
  <c r="BZ14" i="14"/>
  <c r="CI14" i="14" s="1"/>
  <c r="CX24" i="13"/>
  <c r="DG24" i="13" s="1"/>
  <c r="CX17" i="13"/>
  <c r="DG17" i="13" s="1"/>
  <c r="BZ25" i="13"/>
  <c r="CI25" i="13" s="1"/>
  <c r="BZ21" i="13"/>
  <c r="CI21" i="13" s="1"/>
  <c r="BZ17" i="13"/>
  <c r="CI17" i="13" s="1"/>
  <c r="BZ13" i="13"/>
  <c r="CI13" i="13" s="1"/>
  <c r="BB26" i="16"/>
  <c r="BK26" i="16" s="1"/>
  <c r="F20" i="16"/>
  <c r="O20" i="16" s="1"/>
  <c r="AD16" i="16"/>
  <c r="AM16" i="16" s="1"/>
  <c r="BB15" i="16"/>
  <c r="BK15" i="16" s="1"/>
  <c r="F14" i="16"/>
  <c r="O14" i="16" s="1"/>
  <c r="AD13" i="16"/>
  <c r="AM13" i="16" s="1"/>
  <c r="AD12" i="16"/>
  <c r="AM12" i="16" s="1"/>
  <c r="BB27" i="15"/>
  <c r="BK27" i="15" s="1"/>
  <c r="F27" i="15"/>
  <c r="O27" i="15" s="1"/>
  <c r="F26" i="15"/>
  <c r="O26" i="15" s="1"/>
  <c r="F25" i="15"/>
  <c r="O25" i="15" s="1"/>
  <c r="BB21" i="15"/>
  <c r="BK21" i="15" s="1"/>
  <c r="BB20" i="15"/>
  <c r="BK20" i="15" s="1"/>
  <c r="BB19" i="15"/>
  <c r="BK19" i="15" s="1"/>
  <c r="BB18" i="15"/>
  <c r="BK18" i="15" s="1"/>
  <c r="BB15" i="15"/>
  <c r="BK15" i="15" s="1"/>
  <c r="BB13" i="15"/>
  <c r="BK13" i="15" s="1"/>
  <c r="F27" i="14"/>
  <c r="O27" i="14" s="1"/>
  <c r="F22" i="14"/>
  <c r="O22" i="14" s="1"/>
  <c r="BZ23" i="16"/>
  <c r="CI23" i="16" s="1"/>
  <c r="CX22" i="14"/>
  <c r="DG22" i="14" s="1"/>
  <c r="BB17" i="14"/>
  <c r="BK17" i="14" s="1"/>
  <c r="BZ20" i="13"/>
  <c r="CI20" i="13" s="1"/>
  <c r="BB24" i="16"/>
  <c r="BK24" i="16" s="1"/>
  <c r="F22" i="16"/>
  <c r="O22" i="16" s="1"/>
  <c r="F19" i="16"/>
  <c r="O19" i="16" s="1"/>
  <c r="AD15" i="16"/>
  <c r="AM15" i="16" s="1"/>
  <c r="AD17" i="15"/>
  <c r="AM17" i="15" s="1"/>
  <c r="F19" i="14"/>
  <c r="O19" i="14" s="1"/>
  <c r="F14" i="14"/>
  <c r="O14" i="14" s="1"/>
  <c r="BB22" i="13"/>
  <c r="BK22" i="13" s="1"/>
  <c r="BB12" i="13"/>
  <c r="BK12" i="13" s="1"/>
  <c r="AD23" i="13"/>
  <c r="AM23" i="13" s="1"/>
  <c r="BZ26" i="16"/>
  <c r="CI26" i="16" s="1"/>
  <c r="CX27" i="13"/>
  <c r="DG27" i="13" s="1"/>
  <c r="CX16" i="13"/>
  <c r="DG16" i="13" s="1"/>
  <c r="AD14" i="15"/>
  <c r="AM14" i="15" s="1"/>
  <c r="AD23" i="14"/>
  <c r="AM23" i="14" s="1"/>
  <c r="AD24" i="13"/>
  <c r="AM24" i="13" s="1"/>
  <c r="F23" i="13"/>
  <c r="O23" i="13" s="1"/>
  <c r="F13" i="13"/>
  <c r="O13" i="13" s="1"/>
  <c r="CX25" i="14"/>
  <c r="DG25" i="14" s="1"/>
  <c r="BZ13" i="14"/>
  <c r="CI13" i="14" s="1"/>
  <c r="BB25" i="16"/>
  <c r="BK25" i="16" s="1"/>
  <c r="AD21" i="15"/>
  <c r="AM21" i="15" s="1"/>
  <c r="BB14" i="13"/>
  <c r="BK14" i="13" s="1"/>
  <c r="F26" i="13"/>
  <c r="O26" i="13" s="1"/>
  <c r="BZ18" i="16"/>
  <c r="CI18" i="16" s="1"/>
  <c r="BB21" i="14"/>
  <c r="BK21" i="14" s="1"/>
  <c r="BZ27" i="14"/>
  <c r="CI27" i="14" s="1"/>
  <c r="BZ24" i="13"/>
  <c r="CI24" i="13" s="1"/>
  <c r="AD15" i="15"/>
  <c r="AM15" i="15" s="1"/>
  <c r="F12" i="15"/>
  <c r="O12" i="15" s="1"/>
  <c r="AD20" i="14"/>
  <c r="AM20" i="14" s="1"/>
  <c r="CX15" i="14"/>
  <c r="DG15" i="14" s="1"/>
  <c r="BZ26" i="14"/>
  <c r="CI26" i="14" s="1"/>
  <c r="CX20" i="13"/>
  <c r="DG20" i="13" s="1"/>
  <c r="F25" i="14"/>
  <c r="O25" i="14" s="1"/>
  <c r="F15" i="13"/>
  <c r="O15" i="13" s="1"/>
  <c r="F15" i="14"/>
  <c r="O15" i="14" s="1"/>
  <c r="BB24" i="14"/>
  <c r="BK24" i="14" s="1"/>
  <c r="CX12" i="13"/>
  <c r="DG12" i="13" s="1"/>
  <c r="BZ16" i="13"/>
  <c r="CI16" i="13" s="1"/>
  <c r="F17" i="16"/>
  <c r="O17" i="16" s="1"/>
  <c r="BB14" i="16"/>
  <c r="BK14" i="16" s="1"/>
  <c r="AD19" i="15"/>
  <c r="AM19" i="15" s="1"/>
  <c r="AD16" i="15"/>
  <c r="AM16" i="15" s="1"/>
  <c r="F17" i="14"/>
  <c r="O17" i="14" s="1"/>
  <c r="BB18" i="13"/>
  <c r="BK18" i="13" s="1"/>
  <c r="AD15" i="13"/>
  <c r="AM15" i="13" s="1"/>
  <c r="F18" i="13"/>
  <c r="O18" i="13" s="1"/>
  <c r="CX19" i="14"/>
  <c r="DG19" i="14" s="1"/>
  <c r="BB14" i="14"/>
  <c r="BK14" i="14" s="1"/>
  <c r="BZ20" i="14"/>
  <c r="CI20" i="14" s="1"/>
  <c r="CX23" i="13"/>
  <c r="DG23" i="13" s="1"/>
  <c r="BB23" i="16"/>
  <c r="BK23" i="16" s="1"/>
  <c r="F21" i="16"/>
  <c r="O21" i="16" s="1"/>
  <c r="BB12" i="16"/>
  <c r="BK12" i="16" s="1"/>
  <c r="F13" i="14"/>
  <c r="O13" i="14" s="1"/>
  <c r="AD16" i="13"/>
  <c r="AM16" i="13" s="1"/>
  <c r="F21" i="13"/>
  <c r="O21" i="13" s="1"/>
  <c r="BZ13" i="16"/>
  <c r="CI13" i="16" s="1"/>
  <c r="BZ19" i="14"/>
  <c r="CI19" i="14" s="1"/>
  <c r="CX13" i="13"/>
  <c r="DG13" i="13" s="1"/>
  <c r="AD27" i="16"/>
  <c r="AM27" i="16" s="1"/>
  <c r="F18" i="16"/>
  <c r="O18" i="16" s="1"/>
  <c r="BB23" i="15"/>
  <c r="BK23" i="15" s="1"/>
  <c r="AD22" i="13"/>
  <c r="AM22" i="13" s="1"/>
  <c r="BB26" i="13"/>
  <c r="BK26" i="13" s="1"/>
  <c r="BB12" i="14"/>
  <c r="BK12" i="14" s="1"/>
  <c r="BB22" i="15"/>
  <c r="BK22" i="15" s="1"/>
  <c r="F20" i="14"/>
  <c r="O20" i="14" s="1"/>
  <c r="AD14" i="13"/>
  <c r="AM14" i="13" s="1"/>
  <c r="H24" i="10"/>
  <c r="Y24" i="10" s="1"/>
  <c r="J72" i="22" s="1"/>
  <c r="H17" i="10"/>
  <c r="Y17" i="10" s="1"/>
  <c r="J65" i="22" s="1"/>
  <c r="H14" i="10"/>
  <c r="Y14" i="10" s="1"/>
  <c r="J62" i="22" s="1"/>
  <c r="Q69" i="2"/>
  <c r="R24" i="8" s="1"/>
  <c r="I39" i="10"/>
  <c r="W39" i="10" s="1"/>
  <c r="AB39" i="10" s="1"/>
  <c r="AC39" i="10" s="1"/>
  <c r="AD39" i="10" s="1"/>
  <c r="H23" i="10"/>
  <c r="Y23" i="10" s="1"/>
  <c r="J71" i="22" s="1"/>
  <c r="H21" i="10"/>
  <c r="Y21" i="10" s="1"/>
  <c r="J69" i="22" s="1"/>
  <c r="H26" i="10"/>
  <c r="Y26" i="10" s="1"/>
  <c r="J74" i="22" s="1"/>
  <c r="H15" i="10"/>
  <c r="Y15" i="10" s="1"/>
  <c r="J63" i="22" s="1"/>
  <c r="H27" i="10"/>
  <c r="Y27" i="10" s="1"/>
  <c r="J75" i="22" s="1"/>
  <c r="AF18" i="2"/>
  <c r="W17" i="8" s="1"/>
  <c r="H18" i="10"/>
  <c r="Y18" i="10" s="1"/>
  <c r="J66" i="22" s="1"/>
  <c r="H13" i="10"/>
  <c r="AF13" i="10"/>
  <c r="H20" i="10"/>
  <c r="Y20" i="10" s="1"/>
  <c r="J68" i="22" s="1"/>
  <c r="H16" i="10"/>
  <c r="H22" i="10"/>
  <c r="H19" i="10"/>
  <c r="H25" i="10"/>
  <c r="H28" i="10"/>
  <c r="Q19" i="8"/>
  <c r="K69" i="2"/>
  <c r="Q24" i="8" s="1"/>
  <c r="R21" i="2"/>
  <c r="V20" i="8"/>
  <c r="H38" i="13" s="1"/>
  <c r="AD104" i="10" l="1"/>
  <c r="M74" i="22" s="1"/>
  <c r="AD94" i="10"/>
  <c r="M64" i="22" s="1"/>
  <c r="AD105" i="10"/>
  <c r="M75" i="22" s="1"/>
  <c r="AD103" i="10"/>
  <c r="M73" i="22" s="1"/>
  <c r="AD92" i="10"/>
  <c r="M62" i="22" s="1"/>
  <c r="AD99" i="10"/>
  <c r="M69" i="22" s="1"/>
  <c r="AD100" i="10"/>
  <c r="M70" i="22" s="1"/>
  <c r="AD96" i="10"/>
  <c r="M66" i="22" s="1"/>
  <c r="CT63" i="15"/>
  <c r="CY63" i="15" s="1"/>
  <c r="CY64" i="15" s="1"/>
  <c r="AD93" i="10"/>
  <c r="M63" i="22" s="1"/>
  <c r="AD102" i="10"/>
  <c r="M72" i="22" s="1"/>
  <c r="AD95" i="10"/>
  <c r="M65" i="22" s="1"/>
  <c r="AD101" i="10"/>
  <c r="M71" i="22" s="1"/>
  <c r="AD106" i="10"/>
  <c r="M76" i="22" s="1"/>
  <c r="AD97" i="10"/>
  <c r="M67" i="22" s="1"/>
  <c r="AD98" i="10"/>
  <c r="M68" i="22" s="1"/>
  <c r="AB13" i="10"/>
  <c r="AC13" i="10" s="1"/>
  <c r="AD13" i="10" s="1"/>
  <c r="X13" i="10"/>
  <c r="BS63" i="15"/>
  <c r="BX63" i="15" s="1"/>
  <c r="BX64" i="15" s="1"/>
  <c r="BX65" i="15" s="1"/>
  <c r="BX66" i="15" s="1"/>
  <c r="BX67" i="15" s="1"/>
  <c r="BX68" i="15" s="1"/>
  <c r="BX69" i="15" s="1"/>
  <c r="BX70" i="15" s="1"/>
  <c r="BX71" i="15" s="1"/>
  <c r="BX72" i="15" s="1"/>
  <c r="BX73" i="15" s="1"/>
  <c r="BX74" i="15" s="1"/>
  <c r="BX75" i="15" s="1"/>
  <c r="BX76" i="15" s="1"/>
  <c r="BX77" i="15" s="1"/>
  <c r="BX78" i="15" s="1"/>
  <c r="AS113" i="13"/>
  <c r="AJ113" i="13"/>
  <c r="AO113" i="13" s="1"/>
  <c r="AK113" i="13"/>
  <c r="AP113" i="13" s="1"/>
  <c r="DM88" i="13"/>
  <c r="DM89" i="13" s="1"/>
  <c r="DM90" i="13" s="1"/>
  <c r="DM91" i="13" s="1"/>
  <c r="DM92" i="13" s="1"/>
  <c r="DM93" i="13" s="1"/>
  <c r="DM94" i="13" s="1"/>
  <c r="DM95" i="13" s="1"/>
  <c r="DM96" i="13" s="1"/>
  <c r="DM97" i="13" s="1"/>
  <c r="DM98" i="13" s="1"/>
  <c r="DM99" i="13" s="1"/>
  <c r="DM100" i="13" s="1"/>
  <c r="DM101" i="13" s="1"/>
  <c r="DM102" i="13" s="1"/>
  <c r="DM103" i="13" s="1"/>
  <c r="AB162" i="13" s="1"/>
  <c r="AB163" i="13" s="1"/>
  <c r="AB165" i="13" s="1"/>
  <c r="AB167" i="13" s="1"/>
  <c r="DD88" i="13"/>
  <c r="DI88" i="13" s="1"/>
  <c r="DE88" i="13"/>
  <c r="DJ88" i="13" s="1"/>
  <c r="BP127" i="13"/>
  <c r="BP128" i="13" s="1"/>
  <c r="AE161" i="13" s="1"/>
  <c r="AR127" i="13"/>
  <c r="AR128" i="13" s="1"/>
  <c r="AD161" i="13" s="1"/>
  <c r="CN39" i="14"/>
  <c r="CN40" i="14" s="1"/>
  <c r="CN41" i="14" s="1"/>
  <c r="CN42" i="14" s="1"/>
  <c r="CN43" i="14" s="1"/>
  <c r="CN44" i="14" s="1"/>
  <c r="CN45" i="14" s="1"/>
  <c r="CN46" i="14" s="1"/>
  <c r="CN47" i="14" s="1"/>
  <c r="CN48" i="14" s="1"/>
  <c r="CN49" i="14" s="1"/>
  <c r="CN50" i="14" s="1"/>
  <c r="CN51" i="14" s="1"/>
  <c r="CN52" i="14" s="1"/>
  <c r="CN53" i="14" s="1"/>
  <c r="Q161" i="14" s="1"/>
  <c r="AR39" i="14"/>
  <c r="AR40" i="14" s="1"/>
  <c r="AR41" i="14" s="1"/>
  <c r="AR42" i="14" s="1"/>
  <c r="AR43" i="14" s="1"/>
  <c r="AR44" i="14" s="1"/>
  <c r="AR45" i="14" s="1"/>
  <c r="AR46" i="14" s="1"/>
  <c r="AR47" i="14" s="1"/>
  <c r="AR48" i="14" s="1"/>
  <c r="AR49" i="14" s="1"/>
  <c r="AR50" i="14" s="1"/>
  <c r="AR51" i="14" s="1"/>
  <c r="AR52" i="14" s="1"/>
  <c r="AR53" i="14" s="1"/>
  <c r="O161" i="14" s="1"/>
  <c r="Y39" i="10"/>
  <c r="BI113" i="13"/>
  <c r="BN113" i="13" s="1"/>
  <c r="BQ113" i="13"/>
  <c r="BQ114" i="13" s="1"/>
  <c r="BQ115" i="13" s="1"/>
  <c r="BQ116" i="13" s="1"/>
  <c r="BQ117" i="13" s="1"/>
  <c r="BQ118" i="13" s="1"/>
  <c r="BQ119" i="13" s="1"/>
  <c r="BQ120" i="13" s="1"/>
  <c r="BQ121" i="13" s="1"/>
  <c r="BQ122" i="13" s="1"/>
  <c r="BQ123" i="13" s="1"/>
  <c r="BQ124" i="13" s="1"/>
  <c r="BQ125" i="13" s="1"/>
  <c r="BQ126" i="13" s="1"/>
  <c r="BQ127" i="13" s="1"/>
  <c r="BQ128" i="13" s="1"/>
  <c r="AE162" i="13" s="1"/>
  <c r="AE163" i="13" s="1"/>
  <c r="AE165" i="13" s="1"/>
  <c r="AE167" i="13" s="1"/>
  <c r="AK88" i="14"/>
  <c r="AP88" i="14" s="1"/>
  <c r="AS88" i="14"/>
  <c r="AS89" i="14" s="1"/>
  <c r="AS90" i="14" s="1"/>
  <c r="AS91" i="14" s="1"/>
  <c r="AS92" i="14" s="1"/>
  <c r="AS93" i="14" s="1"/>
  <c r="AS94" i="14" s="1"/>
  <c r="AS95" i="14" s="1"/>
  <c r="AS96" i="14" s="1"/>
  <c r="AS97" i="14" s="1"/>
  <c r="AS98" i="14" s="1"/>
  <c r="AS99" i="14" s="1"/>
  <c r="AS100" i="14" s="1"/>
  <c r="AS101" i="14" s="1"/>
  <c r="AS102" i="14" s="1"/>
  <c r="AS103" i="14" s="1"/>
  <c r="Y162" i="14" s="1"/>
  <c r="Y163" i="14" s="1"/>
  <c r="Y165" i="14" s="1"/>
  <c r="Y167" i="14" s="1"/>
  <c r="DE88" i="16"/>
  <c r="DM88" i="16"/>
  <c r="DM89" i="16" s="1"/>
  <c r="DM90" i="16" s="1"/>
  <c r="DM91" i="16" s="1"/>
  <c r="DM92" i="16" s="1"/>
  <c r="DM93" i="16" s="1"/>
  <c r="DM94" i="16" s="1"/>
  <c r="DM95" i="16" s="1"/>
  <c r="DM96" i="16" s="1"/>
  <c r="DM97" i="16" s="1"/>
  <c r="DM98" i="16" s="1"/>
  <c r="DM99" i="16" s="1"/>
  <c r="DM100" i="16" s="1"/>
  <c r="DM101" i="16" s="1"/>
  <c r="DM102" i="16" s="1"/>
  <c r="DM103" i="16" s="1"/>
  <c r="AA162" i="16" s="1"/>
  <c r="AA163" i="16" s="1"/>
  <c r="M88" i="15"/>
  <c r="R88" i="15" s="1"/>
  <c r="U88" i="15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103" i="15" s="1"/>
  <c r="X162" i="15" s="1"/>
  <c r="X163" i="15" s="1"/>
  <c r="X165" i="15" s="1"/>
  <c r="X167" i="15" s="1"/>
  <c r="CG88" i="14"/>
  <c r="CL88" i="14" s="1"/>
  <c r="CO88" i="14"/>
  <c r="CO89" i="14" s="1"/>
  <c r="CO90" i="14" s="1"/>
  <c r="CO91" i="14" s="1"/>
  <c r="CO92" i="14" s="1"/>
  <c r="CO93" i="14" s="1"/>
  <c r="CO94" i="14" s="1"/>
  <c r="CO95" i="14" s="1"/>
  <c r="CO96" i="14" s="1"/>
  <c r="CO97" i="14" s="1"/>
  <c r="CO98" i="14" s="1"/>
  <c r="CO99" i="14" s="1"/>
  <c r="CO100" i="14" s="1"/>
  <c r="CO101" i="14" s="1"/>
  <c r="CO102" i="14" s="1"/>
  <c r="CO103" i="14" s="1"/>
  <c r="AA162" i="14" s="1"/>
  <c r="AA163" i="14" s="1"/>
  <c r="AA165" i="14" s="1"/>
  <c r="AA167" i="14" s="1"/>
  <c r="M88" i="16"/>
  <c r="R88" i="16" s="1"/>
  <c r="AK88" i="13"/>
  <c r="AP88" i="13" s="1"/>
  <c r="AS88" i="13"/>
  <c r="AS89" i="13" s="1"/>
  <c r="AS90" i="13" s="1"/>
  <c r="AS91" i="13" s="1"/>
  <c r="AS92" i="13" s="1"/>
  <c r="AS93" i="13" s="1"/>
  <c r="AS94" i="13" s="1"/>
  <c r="AS95" i="13" s="1"/>
  <c r="AS96" i="13" s="1"/>
  <c r="AS97" i="13" s="1"/>
  <c r="AS98" i="13" s="1"/>
  <c r="AS99" i="13" s="1"/>
  <c r="AS100" i="13" s="1"/>
  <c r="AS101" i="13" s="1"/>
  <c r="AS102" i="13" s="1"/>
  <c r="AS103" i="13" s="1"/>
  <c r="Y162" i="13" s="1"/>
  <c r="Y163" i="13" s="1"/>
  <c r="Y165" i="13" s="1"/>
  <c r="Y167" i="13" s="1"/>
  <c r="CG88" i="16"/>
  <c r="AK88" i="16"/>
  <c r="AS88" i="16"/>
  <c r="AS89" i="16" s="1"/>
  <c r="AS90" i="16" s="1"/>
  <c r="AS91" i="16" s="1"/>
  <c r="AS92" i="16" s="1"/>
  <c r="AS93" i="16" s="1"/>
  <c r="AS94" i="16" s="1"/>
  <c r="AS95" i="16" s="1"/>
  <c r="AS96" i="16" s="1"/>
  <c r="AS97" i="16" s="1"/>
  <c r="AS98" i="16" s="1"/>
  <c r="AS99" i="16" s="1"/>
  <c r="AS100" i="16" s="1"/>
  <c r="AS101" i="16" s="1"/>
  <c r="AS102" i="16" s="1"/>
  <c r="AS103" i="16" s="1"/>
  <c r="X162" i="16" s="1"/>
  <c r="X163" i="16" s="1"/>
  <c r="DE113" i="13"/>
  <c r="DJ113" i="13" s="1"/>
  <c r="DM113" i="13"/>
  <c r="DM114" i="13" s="1"/>
  <c r="DM115" i="13" s="1"/>
  <c r="DM116" i="13" s="1"/>
  <c r="DM117" i="13" s="1"/>
  <c r="DM118" i="13" s="1"/>
  <c r="DM119" i="13" s="1"/>
  <c r="DM120" i="13" s="1"/>
  <c r="DM121" i="13" s="1"/>
  <c r="DM122" i="13" s="1"/>
  <c r="DM123" i="13" s="1"/>
  <c r="DM124" i="13" s="1"/>
  <c r="DM125" i="13" s="1"/>
  <c r="DM126" i="13" s="1"/>
  <c r="DM127" i="13" s="1"/>
  <c r="DM128" i="13" s="1"/>
  <c r="AG162" i="13" s="1"/>
  <c r="AG163" i="13" s="1"/>
  <c r="AG165" i="13" s="1"/>
  <c r="AG167" i="13" s="1"/>
  <c r="M113" i="14"/>
  <c r="R113" i="14" s="1"/>
  <c r="U113" i="14"/>
  <c r="U114" i="14" s="1"/>
  <c r="U115" i="14" s="1"/>
  <c r="U116" i="14" s="1"/>
  <c r="U117" i="14" s="1"/>
  <c r="U118" i="14" s="1"/>
  <c r="U119" i="14" s="1"/>
  <c r="U120" i="14" s="1"/>
  <c r="U121" i="14" s="1"/>
  <c r="U122" i="14" s="1"/>
  <c r="U123" i="14" s="1"/>
  <c r="U124" i="14" s="1"/>
  <c r="U125" i="14" s="1"/>
  <c r="U126" i="14" s="1"/>
  <c r="U127" i="14" s="1"/>
  <c r="U128" i="14" s="1"/>
  <c r="AC162" i="14" s="1"/>
  <c r="AC163" i="14" s="1"/>
  <c r="AC165" i="14" s="1"/>
  <c r="AC167" i="14" s="1"/>
  <c r="CG113" i="13"/>
  <c r="CL113" i="13" s="1"/>
  <c r="CO113" i="13"/>
  <c r="CO114" i="13" s="1"/>
  <c r="CO115" i="13" s="1"/>
  <c r="CO116" i="13" s="1"/>
  <c r="CO117" i="13" s="1"/>
  <c r="CO118" i="13" s="1"/>
  <c r="CO119" i="13" s="1"/>
  <c r="CO120" i="13" s="1"/>
  <c r="CO121" i="13" s="1"/>
  <c r="CO122" i="13" s="1"/>
  <c r="CO123" i="13" s="1"/>
  <c r="CO124" i="13" s="1"/>
  <c r="CO125" i="13" s="1"/>
  <c r="CO126" i="13" s="1"/>
  <c r="CO127" i="13" s="1"/>
  <c r="CO128" i="13" s="1"/>
  <c r="AF162" i="13" s="1"/>
  <c r="AF163" i="13" s="1"/>
  <c r="AF165" i="13" s="1"/>
  <c r="AF167" i="13" s="1"/>
  <c r="M88" i="13"/>
  <c r="R88" i="13" s="1"/>
  <c r="U88" i="13"/>
  <c r="U89" i="13" s="1"/>
  <c r="U90" i="13" s="1"/>
  <c r="U91" i="13" s="1"/>
  <c r="U92" i="13" s="1"/>
  <c r="U93" i="13" s="1"/>
  <c r="U94" i="13" s="1"/>
  <c r="U95" i="13" s="1"/>
  <c r="U96" i="13" s="1"/>
  <c r="U97" i="13" s="1"/>
  <c r="U98" i="13" s="1"/>
  <c r="U99" i="13" s="1"/>
  <c r="U100" i="13" s="1"/>
  <c r="U101" i="13" s="1"/>
  <c r="U102" i="13" s="1"/>
  <c r="U103" i="13" s="1"/>
  <c r="X162" i="13" s="1"/>
  <c r="X163" i="13" s="1"/>
  <c r="X165" i="13" s="1"/>
  <c r="X167" i="13" s="1"/>
  <c r="BI88" i="13"/>
  <c r="BN88" i="13" s="1"/>
  <c r="BQ88" i="13"/>
  <c r="BQ89" i="13" s="1"/>
  <c r="BQ90" i="13" s="1"/>
  <c r="BQ91" i="13" s="1"/>
  <c r="BQ92" i="13" s="1"/>
  <c r="BQ93" i="13" s="1"/>
  <c r="BQ94" i="13" s="1"/>
  <c r="BQ95" i="13" s="1"/>
  <c r="BQ96" i="13" s="1"/>
  <c r="BQ97" i="13" s="1"/>
  <c r="BQ98" i="13" s="1"/>
  <c r="BQ99" i="13" s="1"/>
  <c r="BQ100" i="13" s="1"/>
  <c r="BQ101" i="13" s="1"/>
  <c r="BQ102" i="13" s="1"/>
  <c r="BQ103" i="13" s="1"/>
  <c r="Z162" i="13" s="1"/>
  <c r="M88" i="14"/>
  <c r="R88" i="14" s="1"/>
  <c r="U88" i="14"/>
  <c r="U89" i="14" s="1"/>
  <c r="U90" i="14" s="1"/>
  <c r="U91" i="14" s="1"/>
  <c r="U92" i="14" s="1"/>
  <c r="U93" i="14" s="1"/>
  <c r="U94" i="14" s="1"/>
  <c r="U95" i="14" s="1"/>
  <c r="U96" i="14" s="1"/>
  <c r="U97" i="14" s="1"/>
  <c r="U98" i="14" s="1"/>
  <c r="U99" i="14" s="1"/>
  <c r="U100" i="14" s="1"/>
  <c r="U101" i="14" s="1"/>
  <c r="U102" i="14" s="1"/>
  <c r="U103" i="14" s="1"/>
  <c r="X162" i="14" s="1"/>
  <c r="X163" i="14" s="1"/>
  <c r="X165" i="14" s="1"/>
  <c r="X167" i="14" s="1"/>
  <c r="CG88" i="13"/>
  <c r="CL88" i="13" s="1"/>
  <c r="CO88" i="13"/>
  <c r="CO89" i="13" s="1"/>
  <c r="CO90" i="13" s="1"/>
  <c r="CO91" i="13" s="1"/>
  <c r="CO92" i="13" s="1"/>
  <c r="CO93" i="13" s="1"/>
  <c r="CO94" i="13" s="1"/>
  <c r="CO95" i="13" s="1"/>
  <c r="CO96" i="13" s="1"/>
  <c r="CO97" i="13" s="1"/>
  <c r="CO98" i="13" s="1"/>
  <c r="CO99" i="13" s="1"/>
  <c r="CO100" i="13" s="1"/>
  <c r="CO101" i="13" s="1"/>
  <c r="CO102" i="13" s="1"/>
  <c r="CO103" i="13" s="1"/>
  <c r="AA162" i="13" s="1"/>
  <c r="AA163" i="13" s="1"/>
  <c r="AA165" i="13" s="1"/>
  <c r="AA167" i="13" s="1"/>
  <c r="BI88" i="15"/>
  <c r="BN88" i="15" s="1"/>
  <c r="BQ88" i="15"/>
  <c r="BQ89" i="15" s="1"/>
  <c r="BQ90" i="15" s="1"/>
  <c r="BQ91" i="15" s="1"/>
  <c r="BQ92" i="15" s="1"/>
  <c r="BQ93" i="15" s="1"/>
  <c r="BQ94" i="15" s="1"/>
  <c r="BQ95" i="15" s="1"/>
  <c r="BQ96" i="15" s="1"/>
  <c r="BQ97" i="15" s="1"/>
  <c r="BQ98" i="15" s="1"/>
  <c r="BQ99" i="15" s="1"/>
  <c r="BQ100" i="15" s="1"/>
  <c r="BQ101" i="15" s="1"/>
  <c r="BQ102" i="15" s="1"/>
  <c r="BQ103" i="15" s="1"/>
  <c r="Z162" i="15" s="1"/>
  <c r="Z163" i="15" s="1"/>
  <c r="Z165" i="15" s="1"/>
  <c r="Z167" i="15" s="1"/>
  <c r="M113" i="13"/>
  <c r="R113" i="13" s="1"/>
  <c r="U113" i="13"/>
  <c r="U114" i="13" s="1"/>
  <c r="U115" i="13" s="1"/>
  <c r="U116" i="13" s="1"/>
  <c r="U117" i="13" s="1"/>
  <c r="U118" i="13" s="1"/>
  <c r="U119" i="13" s="1"/>
  <c r="U120" i="13" s="1"/>
  <c r="U121" i="13" s="1"/>
  <c r="U122" i="13" s="1"/>
  <c r="U123" i="13" s="1"/>
  <c r="U124" i="13" s="1"/>
  <c r="U125" i="13" s="1"/>
  <c r="U126" i="13" s="1"/>
  <c r="U127" i="13" s="1"/>
  <c r="U128" i="13" s="1"/>
  <c r="AC162" i="13" s="1"/>
  <c r="AC163" i="13" s="1"/>
  <c r="AC165" i="13" s="1"/>
  <c r="AC167" i="13" s="1"/>
  <c r="AK113" i="14"/>
  <c r="AP113" i="14" s="1"/>
  <c r="AS113" i="14"/>
  <c r="AS114" i="14" s="1"/>
  <c r="AS115" i="14" s="1"/>
  <c r="AS116" i="14" s="1"/>
  <c r="AS117" i="14" s="1"/>
  <c r="AS118" i="14" s="1"/>
  <c r="AS119" i="14" s="1"/>
  <c r="AS120" i="14" s="1"/>
  <c r="AS121" i="14" s="1"/>
  <c r="AS122" i="14" s="1"/>
  <c r="AS123" i="14" s="1"/>
  <c r="AS124" i="14" s="1"/>
  <c r="AS125" i="14" s="1"/>
  <c r="AS126" i="14" s="1"/>
  <c r="AS127" i="14" s="1"/>
  <c r="AS128" i="14" s="1"/>
  <c r="AD162" i="14" s="1"/>
  <c r="AD163" i="14" s="1"/>
  <c r="AD165" i="14" s="1"/>
  <c r="AD167" i="14" s="1"/>
  <c r="DE113" i="14"/>
  <c r="DJ113" i="14" s="1"/>
  <c r="DM113" i="14"/>
  <c r="DM114" i="14" s="1"/>
  <c r="DM115" i="14" s="1"/>
  <c r="DM116" i="14" s="1"/>
  <c r="DM117" i="14" s="1"/>
  <c r="DM118" i="14" s="1"/>
  <c r="DM119" i="14" s="1"/>
  <c r="DM120" i="14" s="1"/>
  <c r="DM121" i="14" s="1"/>
  <c r="DM122" i="14" s="1"/>
  <c r="DM123" i="14" s="1"/>
  <c r="DM124" i="14" s="1"/>
  <c r="DM125" i="14" s="1"/>
  <c r="DM126" i="14" s="1"/>
  <c r="DM127" i="14" s="1"/>
  <c r="DM128" i="14" s="1"/>
  <c r="AG162" i="14" s="1"/>
  <c r="AG163" i="14" s="1"/>
  <c r="AG165" i="14" s="1"/>
  <c r="AG167" i="14" s="1"/>
  <c r="BI113" i="14"/>
  <c r="BN113" i="14" s="1"/>
  <c r="BQ113" i="14"/>
  <c r="BQ114" i="14" s="1"/>
  <c r="BQ115" i="14" s="1"/>
  <c r="BQ116" i="14" s="1"/>
  <c r="BQ117" i="14" s="1"/>
  <c r="BQ118" i="14" s="1"/>
  <c r="BQ119" i="14" s="1"/>
  <c r="BQ120" i="14" s="1"/>
  <c r="BQ121" i="14" s="1"/>
  <c r="BQ122" i="14" s="1"/>
  <c r="BQ123" i="14" s="1"/>
  <c r="BQ124" i="14" s="1"/>
  <c r="BQ125" i="14" s="1"/>
  <c r="BQ126" i="14" s="1"/>
  <c r="BQ127" i="14" s="1"/>
  <c r="BI88" i="14"/>
  <c r="BN88" i="14" s="1"/>
  <c r="BQ88" i="14"/>
  <c r="BQ89" i="14" s="1"/>
  <c r="BQ90" i="14" s="1"/>
  <c r="BQ91" i="14" s="1"/>
  <c r="BQ92" i="14" s="1"/>
  <c r="BQ93" i="14" s="1"/>
  <c r="BQ94" i="14" s="1"/>
  <c r="BQ95" i="14" s="1"/>
  <c r="BQ96" i="14" s="1"/>
  <c r="BQ97" i="14" s="1"/>
  <c r="BQ98" i="14" s="1"/>
  <c r="BQ99" i="14" s="1"/>
  <c r="BQ100" i="14" s="1"/>
  <c r="BQ101" i="14" s="1"/>
  <c r="BQ102" i="14" s="1"/>
  <c r="BQ103" i="14" s="1"/>
  <c r="Z162" i="14" s="1"/>
  <c r="Z163" i="14" s="1"/>
  <c r="Z165" i="14" s="1"/>
  <c r="Z167" i="14" s="1"/>
  <c r="DX63" i="15"/>
  <c r="DX64" i="15" s="1"/>
  <c r="DX65" i="15" s="1"/>
  <c r="DX66" i="15" s="1"/>
  <c r="DX67" i="15" s="1"/>
  <c r="DX68" i="15" s="1"/>
  <c r="DX69" i="15" s="1"/>
  <c r="DX70" i="15" s="1"/>
  <c r="DX71" i="15" s="1"/>
  <c r="DX72" i="15" s="1"/>
  <c r="DX73" i="15" s="1"/>
  <c r="DX74" i="15" s="1"/>
  <c r="DX75" i="15" s="1"/>
  <c r="DX76" i="15" s="1"/>
  <c r="DX77" i="15" s="1"/>
  <c r="DX78" i="15" s="1"/>
  <c r="AX63" i="15"/>
  <c r="AX64" i="15" s="1"/>
  <c r="AX65" i="15" s="1"/>
  <c r="AX66" i="15" s="1"/>
  <c r="AX67" i="15" s="1"/>
  <c r="AX68" i="15" s="1"/>
  <c r="AX69" i="15" s="1"/>
  <c r="AX70" i="15" s="1"/>
  <c r="AX71" i="15" s="1"/>
  <c r="AX72" i="15" s="1"/>
  <c r="AX73" i="15" s="1"/>
  <c r="AX74" i="15" s="1"/>
  <c r="AX75" i="15" s="1"/>
  <c r="AX76" i="15" s="1"/>
  <c r="AX77" i="15" s="1"/>
  <c r="AX78" i="15" s="1"/>
  <c r="BG113" i="15"/>
  <c r="DC113" i="15"/>
  <c r="DH113" i="15" s="1"/>
  <c r="CE113" i="15"/>
  <c r="AI113" i="15"/>
  <c r="AN113" i="15" s="1"/>
  <c r="AW73" i="15"/>
  <c r="AW74" i="15" s="1"/>
  <c r="AW75" i="15" s="1"/>
  <c r="AW76" i="15" s="1"/>
  <c r="AW77" i="15" s="1"/>
  <c r="AW78" i="15" s="1"/>
  <c r="T162" i="15" s="1"/>
  <c r="T163" i="15" s="1"/>
  <c r="T165" i="15" s="1"/>
  <c r="T167" i="15" s="1"/>
  <c r="CX71" i="15"/>
  <c r="CX72" i="15" s="1"/>
  <c r="CX73" i="15" s="1"/>
  <c r="CX74" i="15" s="1"/>
  <c r="CX75" i="15" s="1"/>
  <c r="CX76" i="15" s="1"/>
  <c r="CX77" i="15" s="1"/>
  <c r="CX78" i="15" s="1"/>
  <c r="S20" i="8"/>
  <c r="X69" i="2"/>
  <c r="T24" i="8" s="1"/>
  <c r="CG113" i="16"/>
  <c r="CL113" i="16" s="1"/>
  <c r="DE113" i="16"/>
  <c r="DJ113" i="16" s="1"/>
  <c r="AK113" i="16"/>
  <c r="AP113" i="16" s="1"/>
  <c r="AS113" i="16"/>
  <c r="AS114" i="16" s="1"/>
  <c r="AS115" i="16" s="1"/>
  <c r="AS116" i="16" s="1"/>
  <c r="AS117" i="16" s="1"/>
  <c r="AS118" i="16" s="1"/>
  <c r="AS119" i="16" s="1"/>
  <c r="AS120" i="16" s="1"/>
  <c r="AS121" i="16" s="1"/>
  <c r="AS122" i="16" s="1"/>
  <c r="AS123" i="16" s="1"/>
  <c r="AS124" i="16" s="1"/>
  <c r="AS125" i="16" s="1"/>
  <c r="AS126" i="16" s="1"/>
  <c r="AS127" i="16" s="1"/>
  <c r="AS128" i="16" s="1"/>
  <c r="AC162" i="16" s="1"/>
  <c r="AC163" i="16" s="1"/>
  <c r="DV63" i="15"/>
  <c r="DY63" i="15"/>
  <c r="DY63" i="16"/>
  <c r="DV63" i="16"/>
  <c r="CV63" i="14"/>
  <c r="CY63" i="14"/>
  <c r="V63" i="15"/>
  <c r="Y63" i="15"/>
  <c r="DV63" i="14"/>
  <c r="DY63" i="14"/>
  <c r="AF65" i="10"/>
  <c r="H65" i="10"/>
  <c r="AV63" i="16"/>
  <c r="AY63" i="16"/>
  <c r="CO113" i="14"/>
  <c r="CO114" i="14" s="1"/>
  <c r="CO115" i="14" s="1"/>
  <c r="CO116" i="14" s="1"/>
  <c r="CO117" i="14" s="1"/>
  <c r="CO118" i="14" s="1"/>
  <c r="CO119" i="14" s="1"/>
  <c r="CO120" i="14" s="1"/>
  <c r="CO121" i="14" s="1"/>
  <c r="CO122" i="14" s="1"/>
  <c r="CO123" i="14" s="1"/>
  <c r="CO124" i="14" s="1"/>
  <c r="CO125" i="14" s="1"/>
  <c r="CO126" i="14" s="1"/>
  <c r="CO127" i="14" s="1"/>
  <c r="CO128" i="14" s="1"/>
  <c r="AF162" i="14" s="1"/>
  <c r="AF163" i="14" s="1"/>
  <c r="AF165" i="14" s="1"/>
  <c r="AF167" i="14" s="1"/>
  <c r="CF113" i="14"/>
  <c r="CK113" i="14" s="1"/>
  <c r="U113" i="15"/>
  <c r="U114" i="15" s="1"/>
  <c r="U115" i="15" s="1"/>
  <c r="U116" i="15" s="1"/>
  <c r="U117" i="15" s="1"/>
  <c r="U118" i="15" s="1"/>
  <c r="U119" i="15" s="1"/>
  <c r="U120" i="15" s="1"/>
  <c r="U121" i="15" s="1"/>
  <c r="U122" i="15" s="1"/>
  <c r="U123" i="15" s="1"/>
  <c r="U124" i="15" s="1"/>
  <c r="U125" i="15" s="1"/>
  <c r="U126" i="15" s="1"/>
  <c r="U127" i="15" s="1"/>
  <c r="U128" i="15" s="1"/>
  <c r="AC162" i="15" s="1"/>
  <c r="AC163" i="15" s="1"/>
  <c r="AC165" i="15" s="1"/>
  <c r="AC167" i="15" s="1"/>
  <c r="L113" i="15"/>
  <c r="Q113" i="15" s="1"/>
  <c r="AS114" i="13"/>
  <c r="AS115" i="13" s="1"/>
  <c r="AS116" i="13" s="1"/>
  <c r="AS117" i="13" s="1"/>
  <c r="AS118" i="13" s="1"/>
  <c r="AS119" i="13" s="1"/>
  <c r="AS120" i="13" s="1"/>
  <c r="AS121" i="13" s="1"/>
  <c r="AS122" i="13" s="1"/>
  <c r="AS123" i="13" s="1"/>
  <c r="AS124" i="13" s="1"/>
  <c r="AS125" i="13" s="1"/>
  <c r="AS126" i="13" s="1"/>
  <c r="AS127" i="13" s="1"/>
  <c r="AS128" i="13" s="1"/>
  <c r="AD162" i="13" s="1"/>
  <c r="AD163" i="13" s="1"/>
  <c r="AD165" i="13" s="1"/>
  <c r="AD167" i="13" s="1"/>
  <c r="BQ113" i="16"/>
  <c r="BQ114" i="16" s="1"/>
  <c r="BQ115" i="16" s="1"/>
  <c r="BQ116" i="16" s="1"/>
  <c r="BQ117" i="16" s="1"/>
  <c r="BQ118" i="16" s="1"/>
  <c r="BQ119" i="16" s="1"/>
  <c r="BQ120" i="16" s="1"/>
  <c r="BQ121" i="16" s="1"/>
  <c r="BQ122" i="16" s="1"/>
  <c r="BQ123" i="16" s="1"/>
  <c r="BQ124" i="16" s="1"/>
  <c r="BQ125" i="16" s="1"/>
  <c r="BQ126" i="16" s="1"/>
  <c r="BQ127" i="16" s="1"/>
  <c r="BQ128" i="16" s="1"/>
  <c r="AD162" i="16" s="1"/>
  <c r="AD163" i="16" s="1"/>
  <c r="BH113" i="16"/>
  <c r="BM113" i="16" s="1"/>
  <c r="U113" i="16"/>
  <c r="U114" i="16" s="1"/>
  <c r="U115" i="16" s="1"/>
  <c r="U116" i="16" s="1"/>
  <c r="U117" i="16" s="1"/>
  <c r="U118" i="16" s="1"/>
  <c r="U119" i="16" s="1"/>
  <c r="U120" i="16" s="1"/>
  <c r="U121" i="16" s="1"/>
  <c r="U122" i="16" s="1"/>
  <c r="U123" i="16" s="1"/>
  <c r="U124" i="16" s="1"/>
  <c r="U125" i="16" s="1"/>
  <c r="U126" i="16" s="1"/>
  <c r="U127" i="16" s="1"/>
  <c r="U128" i="16" s="1"/>
  <c r="AB162" i="16" s="1"/>
  <c r="AB163" i="16" s="1"/>
  <c r="L113" i="16"/>
  <c r="Q113" i="16" s="1"/>
  <c r="AI88" i="15"/>
  <c r="AN88" i="15" s="1"/>
  <c r="BQ88" i="16"/>
  <c r="BQ89" i="16" s="1"/>
  <c r="BQ90" i="16" s="1"/>
  <c r="BQ91" i="16" s="1"/>
  <c r="BQ92" i="16" s="1"/>
  <c r="BQ93" i="16" s="1"/>
  <c r="BQ94" i="16" s="1"/>
  <c r="BQ95" i="16" s="1"/>
  <c r="BQ96" i="16" s="1"/>
  <c r="BQ97" i="16" s="1"/>
  <c r="BQ98" i="16" s="1"/>
  <c r="BQ99" i="16" s="1"/>
  <c r="BQ100" i="16" s="1"/>
  <c r="BQ101" i="16" s="1"/>
  <c r="BQ102" i="16" s="1"/>
  <c r="BQ103" i="16" s="1"/>
  <c r="Y162" i="16" s="1"/>
  <c r="Y163" i="16" s="1"/>
  <c r="BH88" i="16"/>
  <c r="BM88" i="16" s="1"/>
  <c r="DM88" i="15"/>
  <c r="DM89" i="15" s="1"/>
  <c r="DM90" i="15" s="1"/>
  <c r="DM91" i="15" s="1"/>
  <c r="DM92" i="15" s="1"/>
  <c r="DM93" i="15" s="1"/>
  <c r="DM94" i="15" s="1"/>
  <c r="DM95" i="15" s="1"/>
  <c r="DM96" i="15" s="1"/>
  <c r="DM97" i="15" s="1"/>
  <c r="DM98" i="15" s="1"/>
  <c r="DM99" i="15" s="1"/>
  <c r="DM100" i="15" s="1"/>
  <c r="DM101" i="15" s="1"/>
  <c r="DM102" i="15" s="1"/>
  <c r="DM103" i="15" s="1"/>
  <c r="AB162" i="15" s="1"/>
  <c r="AB163" i="15" s="1"/>
  <c r="AB165" i="15" s="1"/>
  <c r="AB167" i="15" s="1"/>
  <c r="DD88" i="15"/>
  <c r="DI88" i="15" s="1"/>
  <c r="DM88" i="14"/>
  <c r="DM89" i="14" s="1"/>
  <c r="DM90" i="14" s="1"/>
  <c r="DM91" i="14" s="1"/>
  <c r="DM92" i="14" s="1"/>
  <c r="DM93" i="14" s="1"/>
  <c r="DM94" i="14" s="1"/>
  <c r="DM95" i="14" s="1"/>
  <c r="DM96" i="14" s="1"/>
  <c r="DM97" i="14" s="1"/>
  <c r="DM98" i="14" s="1"/>
  <c r="DM99" i="14" s="1"/>
  <c r="DM100" i="14" s="1"/>
  <c r="DM101" i="14" s="1"/>
  <c r="DM102" i="14" s="1"/>
  <c r="DM103" i="14" s="1"/>
  <c r="AB162" i="14" s="1"/>
  <c r="AB163" i="14" s="1"/>
  <c r="AB165" i="14" s="1"/>
  <c r="AB167" i="14" s="1"/>
  <c r="DD88" i="14"/>
  <c r="DI88" i="14" s="1"/>
  <c r="BH88" i="14"/>
  <c r="BM88" i="14" s="1"/>
  <c r="AV63" i="15"/>
  <c r="AY63" i="15"/>
  <c r="CY63" i="16"/>
  <c r="CV63" i="16"/>
  <c r="V63" i="14"/>
  <c r="Y63" i="14"/>
  <c r="DE88" i="14"/>
  <c r="DJ88" i="14" s="1"/>
  <c r="DD113" i="13"/>
  <c r="DI113" i="13" s="1"/>
  <c r="CO113" i="16"/>
  <c r="CO114" i="16" s="1"/>
  <c r="CO115" i="16" s="1"/>
  <c r="CO116" i="16" s="1"/>
  <c r="CO117" i="16" s="1"/>
  <c r="CO118" i="16" s="1"/>
  <c r="CO119" i="16" s="1"/>
  <c r="CO120" i="16" s="1"/>
  <c r="CO121" i="16" s="1"/>
  <c r="CO122" i="16" s="1"/>
  <c r="CO123" i="16" s="1"/>
  <c r="CO124" i="16" s="1"/>
  <c r="CO125" i="16" s="1"/>
  <c r="CO126" i="16" s="1"/>
  <c r="CO127" i="16" s="1"/>
  <c r="CO128" i="16" s="1"/>
  <c r="AE162" i="16" s="1"/>
  <c r="AE163" i="16" s="1"/>
  <c r="CF113" i="16"/>
  <c r="CK113" i="16" s="1"/>
  <c r="L113" i="14"/>
  <c r="Q113" i="14" s="1"/>
  <c r="CF113" i="13"/>
  <c r="CK113" i="13" s="1"/>
  <c r="DM113" i="16"/>
  <c r="DM114" i="16" s="1"/>
  <c r="DM115" i="16" s="1"/>
  <c r="DM116" i="16" s="1"/>
  <c r="DM117" i="16" s="1"/>
  <c r="DM118" i="16" s="1"/>
  <c r="DM119" i="16" s="1"/>
  <c r="DM120" i="16" s="1"/>
  <c r="DM121" i="16" s="1"/>
  <c r="DM122" i="16" s="1"/>
  <c r="DM123" i="16" s="1"/>
  <c r="DM124" i="16" s="1"/>
  <c r="DM125" i="16" s="1"/>
  <c r="DM126" i="16" s="1"/>
  <c r="DM127" i="16" s="1"/>
  <c r="DM128" i="16" s="1"/>
  <c r="AF162" i="16" s="1"/>
  <c r="AF163" i="16" s="1"/>
  <c r="DD113" i="16"/>
  <c r="DI113" i="16" s="1"/>
  <c r="M113" i="16"/>
  <c r="R113" i="16" s="1"/>
  <c r="CG113" i="14"/>
  <c r="CL113" i="14" s="1"/>
  <c r="AJ88" i="14"/>
  <c r="AO88" i="14" s="1"/>
  <c r="DD88" i="16"/>
  <c r="DI88" i="16" s="1"/>
  <c r="BH88" i="15"/>
  <c r="BM88" i="15" s="1"/>
  <c r="L88" i="15"/>
  <c r="Q88" i="15" s="1"/>
  <c r="F32" i="22"/>
  <c r="I65" i="10"/>
  <c r="W65" i="10" s="1"/>
  <c r="AB65" i="10" s="1"/>
  <c r="V63" i="16"/>
  <c r="Y63" i="16"/>
  <c r="BV63" i="15"/>
  <c r="BY63" i="15"/>
  <c r="BV63" i="14"/>
  <c r="BY63" i="14"/>
  <c r="BI113" i="16"/>
  <c r="BN113" i="16" s="1"/>
  <c r="L113" i="13"/>
  <c r="Q113" i="13" s="1"/>
  <c r="AJ113" i="14"/>
  <c r="AO113" i="14" s="1"/>
  <c r="DD113" i="14"/>
  <c r="DI113" i="14" s="1"/>
  <c r="BH113" i="14"/>
  <c r="BM113" i="14" s="1"/>
  <c r="DE88" i="15"/>
  <c r="DJ88" i="15" s="1"/>
  <c r="CF88" i="14"/>
  <c r="CK88" i="14" s="1"/>
  <c r="U88" i="16"/>
  <c r="U89" i="16" s="1"/>
  <c r="U90" i="16" s="1"/>
  <c r="U91" i="16" s="1"/>
  <c r="U92" i="16" s="1"/>
  <c r="U93" i="16" s="1"/>
  <c r="U94" i="16" s="1"/>
  <c r="U95" i="16" s="1"/>
  <c r="U96" i="16" s="1"/>
  <c r="U97" i="16" s="1"/>
  <c r="U98" i="16" s="1"/>
  <c r="U99" i="16" s="1"/>
  <c r="U100" i="16" s="1"/>
  <c r="U101" i="16" s="1"/>
  <c r="U102" i="16" s="1"/>
  <c r="U103" i="16" s="1"/>
  <c r="W162" i="16" s="1"/>
  <c r="W163" i="16" s="1"/>
  <c r="L88" i="16"/>
  <c r="Q88" i="16" s="1"/>
  <c r="AJ88" i="13"/>
  <c r="AO88" i="13" s="1"/>
  <c r="CO88" i="16"/>
  <c r="CO89" i="16" s="1"/>
  <c r="CO90" i="16" s="1"/>
  <c r="CO91" i="16" s="1"/>
  <c r="CO92" i="16" s="1"/>
  <c r="CO93" i="16" s="1"/>
  <c r="CO94" i="16" s="1"/>
  <c r="CO95" i="16" s="1"/>
  <c r="CO96" i="16" s="1"/>
  <c r="CO97" i="16" s="1"/>
  <c r="CO98" i="16" s="1"/>
  <c r="CO99" i="16" s="1"/>
  <c r="CO100" i="16" s="1"/>
  <c r="CO101" i="16" s="1"/>
  <c r="CO102" i="16" s="1"/>
  <c r="CO103" i="16" s="1"/>
  <c r="Z162" i="16" s="1"/>
  <c r="CF88" i="16"/>
  <c r="CK88" i="16" s="1"/>
  <c r="AJ88" i="16"/>
  <c r="AO88" i="16" s="1"/>
  <c r="G32" i="22"/>
  <c r="G7" i="23" s="1"/>
  <c r="J7" i="23" s="1"/>
  <c r="CE88" i="15"/>
  <c r="CJ88" i="15" s="1"/>
  <c r="CV63" i="15"/>
  <c r="BV63" i="16"/>
  <c r="BY63" i="16"/>
  <c r="AV63" i="14"/>
  <c r="AY63" i="14"/>
  <c r="BI88" i="16"/>
  <c r="BN88" i="16" s="1"/>
  <c r="AJ113" i="16"/>
  <c r="AO113" i="16" s="1"/>
  <c r="BH113" i="13"/>
  <c r="BM113" i="13" s="1"/>
  <c r="DD113" i="15"/>
  <c r="DI113" i="15" s="1"/>
  <c r="M113" i="15"/>
  <c r="R113" i="15" s="1"/>
  <c r="L88" i="13"/>
  <c r="Q88" i="13" s="1"/>
  <c r="BH88" i="13"/>
  <c r="BM88" i="13" s="1"/>
  <c r="L88" i="14"/>
  <c r="Q88" i="14" s="1"/>
  <c r="CF88" i="13"/>
  <c r="CK88" i="13" s="1"/>
  <c r="Y17" i="2"/>
  <c r="U16" i="8" s="1"/>
  <c r="DV63" i="13"/>
  <c r="DY63" i="13"/>
  <c r="AV63" i="13"/>
  <c r="AY63" i="13"/>
  <c r="V63" i="13"/>
  <c r="Y63" i="13"/>
  <c r="CV63" i="13"/>
  <c r="CY63" i="13"/>
  <c r="BV63" i="13"/>
  <c r="BY63" i="13"/>
  <c r="AI39" i="10"/>
  <c r="K61" i="22"/>
  <c r="BP39" i="13"/>
  <c r="BP40" i="13" s="1"/>
  <c r="BP41" i="13" s="1"/>
  <c r="BP42" i="13" s="1"/>
  <c r="BP43" i="13" s="1"/>
  <c r="BP44" i="13" s="1"/>
  <c r="BP45" i="13" s="1"/>
  <c r="BP46" i="13" s="1"/>
  <c r="BP47" i="13" s="1"/>
  <c r="BP48" i="13" s="1"/>
  <c r="BP49" i="13" s="1"/>
  <c r="BP50" i="13" s="1"/>
  <c r="BP51" i="13" s="1"/>
  <c r="BP52" i="13" s="1"/>
  <c r="BP53" i="13" s="1"/>
  <c r="P161" i="13" s="1"/>
  <c r="DL39" i="16"/>
  <c r="DL40" i="16" s="1"/>
  <c r="DL41" i="16" s="1"/>
  <c r="DL42" i="16" s="1"/>
  <c r="DL43" i="16" s="1"/>
  <c r="DL44" i="16" s="1"/>
  <c r="DL45" i="16" s="1"/>
  <c r="DL46" i="16" s="1"/>
  <c r="DL47" i="16" s="1"/>
  <c r="DL48" i="16" s="1"/>
  <c r="DL49" i="16" s="1"/>
  <c r="DL50" i="16" s="1"/>
  <c r="DL51" i="16" s="1"/>
  <c r="DL52" i="16" s="1"/>
  <c r="DL53" i="16" s="1"/>
  <c r="Q161" i="16" s="1"/>
  <c r="BP39" i="14"/>
  <c r="BP40" i="14" s="1"/>
  <c r="BP41" i="14" s="1"/>
  <c r="BP42" i="14" s="1"/>
  <c r="BP43" i="14" s="1"/>
  <c r="BP44" i="14" s="1"/>
  <c r="BP45" i="14" s="1"/>
  <c r="BP46" i="14" s="1"/>
  <c r="BP47" i="14" s="1"/>
  <c r="BP48" i="14" s="1"/>
  <c r="BP49" i="14" s="1"/>
  <c r="BP50" i="14" s="1"/>
  <c r="BP51" i="14" s="1"/>
  <c r="BP52" i="14" s="1"/>
  <c r="BP53" i="14" s="1"/>
  <c r="P161" i="14" s="1"/>
  <c r="DL39" i="13"/>
  <c r="DL40" i="13" s="1"/>
  <c r="DL41" i="13" s="1"/>
  <c r="DL42" i="13" s="1"/>
  <c r="DL43" i="13" s="1"/>
  <c r="DL44" i="13" s="1"/>
  <c r="DL45" i="13" s="1"/>
  <c r="DL46" i="13" s="1"/>
  <c r="DL47" i="13" s="1"/>
  <c r="DL48" i="13" s="1"/>
  <c r="DL49" i="13" s="1"/>
  <c r="DL50" i="13" s="1"/>
  <c r="DL51" i="13" s="1"/>
  <c r="DL52" i="13" s="1"/>
  <c r="DL53" i="13" s="1"/>
  <c r="R161" i="13" s="1"/>
  <c r="CN39" i="16"/>
  <c r="CN40" i="16" s="1"/>
  <c r="CN41" i="16" s="1"/>
  <c r="CN42" i="16" s="1"/>
  <c r="CN43" i="16" s="1"/>
  <c r="CN44" i="16" s="1"/>
  <c r="CN45" i="16" s="1"/>
  <c r="CN46" i="16" s="1"/>
  <c r="CN47" i="16" s="1"/>
  <c r="CN48" i="16" s="1"/>
  <c r="CN49" i="16" s="1"/>
  <c r="CN50" i="16" s="1"/>
  <c r="CN51" i="16" s="1"/>
  <c r="CN52" i="16" s="1"/>
  <c r="CN53" i="16" s="1"/>
  <c r="P161" i="16" s="1"/>
  <c r="DL39" i="14"/>
  <c r="DL40" i="14" s="1"/>
  <c r="DL41" i="14" s="1"/>
  <c r="DL42" i="14" s="1"/>
  <c r="DL43" i="14" s="1"/>
  <c r="DL44" i="14" s="1"/>
  <c r="DL45" i="14" s="1"/>
  <c r="DL46" i="14" s="1"/>
  <c r="DL47" i="14" s="1"/>
  <c r="DL48" i="14" s="1"/>
  <c r="DL49" i="14" s="1"/>
  <c r="DL50" i="14" s="1"/>
  <c r="DL51" i="14" s="1"/>
  <c r="DL52" i="14" s="1"/>
  <c r="DL53" i="14" s="1"/>
  <c r="R161" i="14" s="1"/>
  <c r="BP39" i="15"/>
  <c r="BP40" i="15" s="1"/>
  <c r="BP41" i="15" s="1"/>
  <c r="BP42" i="15" s="1"/>
  <c r="BP43" i="15" s="1"/>
  <c r="BP44" i="15" s="1"/>
  <c r="BP45" i="15" s="1"/>
  <c r="BP46" i="15" s="1"/>
  <c r="BP47" i="15" s="1"/>
  <c r="BP48" i="15" s="1"/>
  <c r="BP49" i="15" s="1"/>
  <c r="BP50" i="15" s="1"/>
  <c r="BP51" i="15" s="1"/>
  <c r="BP52" i="15" s="1"/>
  <c r="BP53" i="15" s="1"/>
  <c r="P161" i="15" s="1"/>
  <c r="AR39" i="13"/>
  <c r="AR40" i="13" s="1"/>
  <c r="AR41" i="13" s="1"/>
  <c r="AR42" i="13" s="1"/>
  <c r="AR43" i="13" s="1"/>
  <c r="AR44" i="13" s="1"/>
  <c r="AR45" i="13" s="1"/>
  <c r="AR46" i="13" s="1"/>
  <c r="AR47" i="13" s="1"/>
  <c r="AR48" i="13" s="1"/>
  <c r="AR49" i="13" s="1"/>
  <c r="AR50" i="13" s="1"/>
  <c r="AR51" i="13" s="1"/>
  <c r="AR52" i="13" s="1"/>
  <c r="AR53" i="13" s="1"/>
  <c r="O161" i="13" s="1"/>
  <c r="AF17" i="2"/>
  <c r="W16" i="8" s="1"/>
  <c r="CB12" i="15"/>
  <c r="CE12" i="15" s="1"/>
  <c r="CJ12" i="15" s="1"/>
  <c r="CZ12" i="15"/>
  <c r="DC12" i="15" s="1"/>
  <c r="DH12" i="15" s="1"/>
  <c r="BD12" i="14"/>
  <c r="BG12" i="14" s="1"/>
  <c r="BL12" i="14" s="1"/>
  <c r="H12" i="14"/>
  <c r="K12" i="14" s="1"/>
  <c r="P12" i="14" s="1"/>
  <c r="CB12" i="13"/>
  <c r="CZ12" i="14"/>
  <c r="DC12" i="14" s="1"/>
  <c r="DH12" i="14" s="1"/>
  <c r="CB12" i="14"/>
  <c r="CE12" i="14" s="1"/>
  <c r="CJ12" i="14" s="1"/>
  <c r="CZ12" i="13"/>
  <c r="DC12" i="13" s="1"/>
  <c r="DH12" i="13" s="1"/>
  <c r="AF12" i="15"/>
  <c r="BD12" i="13"/>
  <c r="CZ12" i="16"/>
  <c r="DC12" i="16" s="1"/>
  <c r="DH12" i="16" s="1"/>
  <c r="BD12" i="16"/>
  <c r="BG12" i="16" s="1"/>
  <c r="BL12" i="16" s="1"/>
  <c r="H12" i="16"/>
  <c r="K12" i="16" s="1"/>
  <c r="P12" i="16" s="1"/>
  <c r="AF12" i="14"/>
  <c r="AI12" i="14" s="1"/>
  <c r="AN12" i="14" s="1"/>
  <c r="AF12" i="16"/>
  <c r="AI12" i="16" s="1"/>
  <c r="AN12" i="16" s="1"/>
  <c r="CB12" i="16"/>
  <c r="CE12" i="16" s="1"/>
  <c r="CJ12" i="16" s="1"/>
  <c r="BD12" i="15"/>
  <c r="BG12" i="15" s="1"/>
  <c r="BL12" i="15" s="1"/>
  <c r="H12" i="15"/>
  <c r="AF12" i="13"/>
  <c r="H12" i="13"/>
  <c r="K12" i="13" s="1"/>
  <c r="P12" i="13" s="1"/>
  <c r="CN39" i="15"/>
  <c r="CN40" i="15" s="1"/>
  <c r="CN41" i="15" s="1"/>
  <c r="CN42" i="15" s="1"/>
  <c r="CN43" i="15" s="1"/>
  <c r="CN44" i="15" s="1"/>
  <c r="CN45" i="15" s="1"/>
  <c r="CN46" i="15" s="1"/>
  <c r="CN47" i="15" s="1"/>
  <c r="CN48" i="15" s="1"/>
  <c r="CN49" i="15" s="1"/>
  <c r="CN50" i="15" s="1"/>
  <c r="CN51" i="15" s="1"/>
  <c r="CN52" i="15" s="1"/>
  <c r="CN53" i="15" s="1"/>
  <c r="Q161" i="15" s="1"/>
  <c r="CN39" i="13"/>
  <c r="CN40" i="13" s="1"/>
  <c r="CN41" i="13" s="1"/>
  <c r="CN42" i="13" s="1"/>
  <c r="CN43" i="13" s="1"/>
  <c r="CN44" i="13" s="1"/>
  <c r="CN45" i="13" s="1"/>
  <c r="CN46" i="13" s="1"/>
  <c r="CN47" i="13" s="1"/>
  <c r="CN48" i="13" s="1"/>
  <c r="CN49" i="13" s="1"/>
  <c r="CN50" i="13" s="1"/>
  <c r="CN51" i="13" s="1"/>
  <c r="CN52" i="13" s="1"/>
  <c r="CN53" i="13" s="1"/>
  <c r="Q161" i="13" s="1"/>
  <c r="T39" i="16"/>
  <c r="T40" i="16" s="1"/>
  <c r="T41" i="16" s="1"/>
  <c r="T42" i="16" s="1"/>
  <c r="T43" i="16" s="1"/>
  <c r="T44" i="16" s="1"/>
  <c r="T45" i="16" s="1"/>
  <c r="T46" i="16" s="1"/>
  <c r="T47" i="16" s="1"/>
  <c r="T48" i="16" s="1"/>
  <c r="T49" i="16" s="1"/>
  <c r="T50" i="16" s="1"/>
  <c r="T51" i="16" s="1"/>
  <c r="T52" i="16" s="1"/>
  <c r="T53" i="16" s="1"/>
  <c r="M161" i="16" s="1"/>
  <c r="T39" i="15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N161" i="15" s="1"/>
  <c r="AF92" i="10"/>
  <c r="AF93" i="10" s="1"/>
  <c r="AF94" i="10" s="1"/>
  <c r="AF95" i="10" s="1"/>
  <c r="AF96" i="10" s="1"/>
  <c r="AF97" i="10" s="1"/>
  <c r="AF98" i="10" s="1"/>
  <c r="AF99" i="10" s="1"/>
  <c r="AF100" i="10" s="1"/>
  <c r="AF101" i="10" s="1"/>
  <c r="AF102" i="10" s="1"/>
  <c r="AF103" i="10" s="1"/>
  <c r="AF104" i="10" s="1"/>
  <c r="AF105" i="10" s="1"/>
  <c r="AF106" i="10" s="1"/>
  <c r="AR39" i="16"/>
  <c r="AR40" i="16" s="1"/>
  <c r="AR41" i="16" s="1"/>
  <c r="AR42" i="16" s="1"/>
  <c r="AR43" i="16" s="1"/>
  <c r="AR44" i="16" s="1"/>
  <c r="AR45" i="16" s="1"/>
  <c r="AR46" i="16" s="1"/>
  <c r="AR47" i="16" s="1"/>
  <c r="AR48" i="16" s="1"/>
  <c r="AR49" i="16" s="1"/>
  <c r="AR50" i="16" s="1"/>
  <c r="AR51" i="16" s="1"/>
  <c r="AR52" i="16" s="1"/>
  <c r="AR53" i="16" s="1"/>
  <c r="N161" i="16" s="1"/>
  <c r="T39" i="14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N161" i="14" s="1"/>
  <c r="AR39" i="15"/>
  <c r="AR40" i="15" s="1"/>
  <c r="AR41" i="15" s="1"/>
  <c r="AR42" i="15" s="1"/>
  <c r="AR43" i="15" s="1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O161" i="15" s="1"/>
  <c r="BP39" i="16"/>
  <c r="BP40" i="16" s="1"/>
  <c r="BP41" i="16" s="1"/>
  <c r="BP42" i="16" s="1"/>
  <c r="BP43" i="16" s="1"/>
  <c r="BP44" i="16" s="1"/>
  <c r="BP45" i="16" s="1"/>
  <c r="BP46" i="16" s="1"/>
  <c r="BP47" i="16" s="1"/>
  <c r="BP48" i="16" s="1"/>
  <c r="BP49" i="16" s="1"/>
  <c r="BP50" i="16" s="1"/>
  <c r="BP51" i="16" s="1"/>
  <c r="BP52" i="16" s="1"/>
  <c r="BP53" i="16" s="1"/>
  <c r="O161" i="16" s="1"/>
  <c r="DL39" i="15"/>
  <c r="DL40" i="15" s="1"/>
  <c r="DL41" i="15" s="1"/>
  <c r="DL42" i="15" s="1"/>
  <c r="DL43" i="15" s="1"/>
  <c r="DL44" i="15" s="1"/>
  <c r="DL45" i="15" s="1"/>
  <c r="DL46" i="15" s="1"/>
  <c r="DL47" i="15" s="1"/>
  <c r="DL48" i="15" s="1"/>
  <c r="DL49" i="15" s="1"/>
  <c r="DL50" i="15" s="1"/>
  <c r="DL51" i="15" s="1"/>
  <c r="DL52" i="15" s="1"/>
  <c r="DM53" i="15" s="1"/>
  <c r="R161" i="15" s="1"/>
  <c r="T39" i="13"/>
  <c r="T40" i="13" s="1"/>
  <c r="T41" i="13" s="1"/>
  <c r="T42" i="13" s="1"/>
  <c r="T43" i="13" s="1"/>
  <c r="T44" i="13" s="1"/>
  <c r="T45" i="13" s="1"/>
  <c r="T46" i="13" s="1"/>
  <c r="T47" i="13" s="1"/>
  <c r="T48" i="13" s="1"/>
  <c r="T49" i="13" s="1"/>
  <c r="T50" i="13" s="1"/>
  <c r="T51" i="13" s="1"/>
  <c r="T52" i="13" s="1"/>
  <c r="T53" i="13" s="1"/>
  <c r="N161" i="13" s="1"/>
  <c r="AE27" i="16"/>
  <c r="AK27" i="16" s="1"/>
  <c r="AP27" i="16" s="1"/>
  <c r="T12" i="15"/>
  <c r="G12" i="15"/>
  <c r="G14" i="16"/>
  <c r="M14" i="16" s="1"/>
  <c r="R14" i="16" s="1"/>
  <c r="G18" i="15"/>
  <c r="M18" i="15" s="1"/>
  <c r="R18" i="15" s="1"/>
  <c r="CA16" i="15"/>
  <c r="CG16" i="15" s="1"/>
  <c r="CL16" i="15" s="1"/>
  <c r="H78" i="10"/>
  <c r="Y78" i="10" s="1"/>
  <c r="BC23" i="16"/>
  <c r="BI23" i="16" s="1"/>
  <c r="BN23" i="16" s="1"/>
  <c r="BC25" i="16"/>
  <c r="BI25" i="16" s="1"/>
  <c r="BN25" i="16" s="1"/>
  <c r="BC21" i="15"/>
  <c r="BI21" i="15" s="1"/>
  <c r="BN21" i="15" s="1"/>
  <c r="CY17" i="13"/>
  <c r="DE17" i="13" s="1"/>
  <c r="DJ17" i="13" s="1"/>
  <c r="AE21" i="16"/>
  <c r="AK21" i="16" s="1"/>
  <c r="AP21" i="16" s="1"/>
  <c r="CA22" i="13"/>
  <c r="CG22" i="13" s="1"/>
  <c r="CL22" i="13" s="1"/>
  <c r="BC16" i="14"/>
  <c r="BI16" i="14" s="1"/>
  <c r="BN16" i="14" s="1"/>
  <c r="CA27" i="16"/>
  <c r="CG27" i="16" s="1"/>
  <c r="CL27" i="16" s="1"/>
  <c r="AE24" i="16"/>
  <c r="AK24" i="16" s="1"/>
  <c r="AP24" i="16" s="1"/>
  <c r="AE16" i="14"/>
  <c r="AK16" i="14" s="1"/>
  <c r="AP16" i="14" s="1"/>
  <c r="CA13" i="15"/>
  <c r="CG13" i="15" s="1"/>
  <c r="CL13" i="15" s="1"/>
  <c r="H70" i="10"/>
  <c r="Y70" i="10" s="1"/>
  <c r="CY23" i="13"/>
  <c r="DE23" i="13" s="1"/>
  <c r="DJ23" i="13" s="1"/>
  <c r="CA13" i="14"/>
  <c r="CG13" i="14" s="1"/>
  <c r="CL13" i="14" s="1"/>
  <c r="CY27" i="13"/>
  <c r="DE27" i="13" s="1"/>
  <c r="DJ27" i="13" s="1"/>
  <c r="AE15" i="16"/>
  <c r="AK15" i="16" s="1"/>
  <c r="AP15" i="16" s="1"/>
  <c r="G22" i="14"/>
  <c r="M22" i="14" s="1"/>
  <c r="R22" i="14" s="1"/>
  <c r="G25" i="15"/>
  <c r="M25" i="15" s="1"/>
  <c r="R25" i="15" s="1"/>
  <c r="AE16" i="16"/>
  <c r="AK16" i="16" s="1"/>
  <c r="AP16" i="16" s="1"/>
  <c r="CY24" i="13"/>
  <c r="DE24" i="13" s="1"/>
  <c r="DJ24" i="13" s="1"/>
  <c r="DL12" i="16"/>
  <c r="CY12" i="16"/>
  <c r="CY27" i="16"/>
  <c r="DE27" i="16" s="1"/>
  <c r="DJ27" i="16" s="1"/>
  <c r="BC27" i="13"/>
  <c r="BI27" i="13" s="1"/>
  <c r="BN27" i="13" s="1"/>
  <c r="G23" i="16"/>
  <c r="M23" i="16" s="1"/>
  <c r="R23" i="16" s="1"/>
  <c r="DL12" i="14"/>
  <c r="CY12" i="14"/>
  <c r="G21" i="14"/>
  <c r="M21" i="14" s="1"/>
  <c r="R21" i="14" s="1"/>
  <c r="CY18" i="13"/>
  <c r="DE18" i="13" s="1"/>
  <c r="DJ18" i="13" s="1"/>
  <c r="BC20" i="13"/>
  <c r="BI20" i="13" s="1"/>
  <c r="BN20" i="13" s="1"/>
  <c r="G20" i="15"/>
  <c r="M20" i="15" s="1"/>
  <c r="R20" i="15" s="1"/>
  <c r="AE19" i="16"/>
  <c r="AK19" i="16" s="1"/>
  <c r="AP19" i="16" s="1"/>
  <c r="BC26" i="14"/>
  <c r="BI26" i="14" s="1"/>
  <c r="BN26" i="14" s="1"/>
  <c r="AE20" i="13"/>
  <c r="AK20" i="13" s="1"/>
  <c r="AP20" i="13" s="1"/>
  <c r="CA18" i="13"/>
  <c r="CG18" i="13" s="1"/>
  <c r="CL18" i="13" s="1"/>
  <c r="T12" i="13"/>
  <c r="T13" i="13" s="1"/>
  <c r="G12" i="13"/>
  <c r="AE24" i="14"/>
  <c r="AK24" i="14" s="1"/>
  <c r="AP24" i="14" s="1"/>
  <c r="BC13" i="16"/>
  <c r="BI13" i="16" s="1"/>
  <c r="BN13" i="16" s="1"/>
  <c r="AE25" i="16"/>
  <c r="AK25" i="16" s="1"/>
  <c r="AP25" i="16" s="1"/>
  <c r="CY26" i="13"/>
  <c r="DE26" i="13" s="1"/>
  <c r="DJ26" i="13" s="1"/>
  <c r="CY16" i="16"/>
  <c r="DE16" i="16" s="1"/>
  <c r="DJ16" i="16" s="1"/>
  <c r="AE25" i="13"/>
  <c r="AK25" i="13" s="1"/>
  <c r="AP25" i="13" s="1"/>
  <c r="AE18" i="14"/>
  <c r="AK18" i="14" s="1"/>
  <c r="AP18" i="14" s="1"/>
  <c r="AE22" i="15"/>
  <c r="AK22" i="15" s="1"/>
  <c r="AP22" i="15" s="1"/>
  <c r="CA25" i="14"/>
  <c r="CG25" i="14" s="1"/>
  <c r="CL25" i="14" s="1"/>
  <c r="CA24" i="15"/>
  <c r="CG24" i="15" s="1"/>
  <c r="CL24" i="15" s="1"/>
  <c r="CY25" i="15"/>
  <c r="DE25" i="15" s="1"/>
  <c r="DJ25" i="15" s="1"/>
  <c r="CA25" i="15"/>
  <c r="CG25" i="15" s="1"/>
  <c r="CL25" i="15" s="1"/>
  <c r="CY26" i="15"/>
  <c r="DE26" i="15" s="1"/>
  <c r="DJ26" i="15" s="1"/>
  <c r="H77" i="10"/>
  <c r="Y77" i="10" s="1"/>
  <c r="H75" i="10"/>
  <c r="Y75" i="10" s="1"/>
  <c r="BP12" i="14"/>
  <c r="BC12" i="14"/>
  <c r="CA13" i="16"/>
  <c r="CG13" i="16" s="1"/>
  <c r="CL13" i="16" s="1"/>
  <c r="CA20" i="14"/>
  <c r="CG20" i="14" s="1"/>
  <c r="CL20" i="14" s="1"/>
  <c r="AE19" i="15"/>
  <c r="AK19" i="15" s="1"/>
  <c r="AP19" i="15" s="1"/>
  <c r="G25" i="14"/>
  <c r="M25" i="14" s="1"/>
  <c r="R25" i="14" s="1"/>
  <c r="CA27" i="14"/>
  <c r="CG27" i="14" s="1"/>
  <c r="CL27" i="14" s="1"/>
  <c r="CY25" i="14"/>
  <c r="DE25" i="14" s="1"/>
  <c r="DJ25" i="14" s="1"/>
  <c r="CA26" i="16"/>
  <c r="CG26" i="16" s="1"/>
  <c r="CL26" i="16" s="1"/>
  <c r="G19" i="16"/>
  <c r="M19" i="16" s="1"/>
  <c r="R19" i="16" s="1"/>
  <c r="G27" i="14"/>
  <c r="M27" i="14" s="1"/>
  <c r="R27" i="14" s="1"/>
  <c r="G26" i="15"/>
  <c r="M26" i="15" s="1"/>
  <c r="R26" i="15" s="1"/>
  <c r="G20" i="16"/>
  <c r="M20" i="16" s="1"/>
  <c r="R20" i="16" s="1"/>
  <c r="CA14" i="14"/>
  <c r="CG14" i="14" s="1"/>
  <c r="CL14" i="14" s="1"/>
  <c r="CY13" i="16"/>
  <c r="DE13" i="16" s="1"/>
  <c r="DJ13" i="16" s="1"/>
  <c r="G16" i="13"/>
  <c r="M16" i="13" s="1"/>
  <c r="R16" i="13" s="1"/>
  <c r="AE15" i="14"/>
  <c r="AK15" i="14" s="1"/>
  <c r="AP15" i="14" s="1"/>
  <c r="G25" i="16"/>
  <c r="M25" i="16" s="1"/>
  <c r="R25" i="16" s="1"/>
  <c r="CY16" i="14"/>
  <c r="DE16" i="14" s="1"/>
  <c r="DJ16" i="14" s="1"/>
  <c r="G24" i="14"/>
  <c r="M24" i="14" s="1"/>
  <c r="R24" i="14" s="1"/>
  <c r="BC19" i="14"/>
  <c r="BI19" i="14" s="1"/>
  <c r="BN19" i="14" s="1"/>
  <c r="BC24" i="13"/>
  <c r="BI24" i="13" s="1"/>
  <c r="BN24" i="13" s="1"/>
  <c r="G21" i="15"/>
  <c r="M21" i="15" s="1"/>
  <c r="R21" i="15" s="1"/>
  <c r="AE22" i="16"/>
  <c r="AK22" i="16" s="1"/>
  <c r="AP22" i="16" s="1"/>
  <c r="CY14" i="14"/>
  <c r="DE14" i="14" s="1"/>
  <c r="DJ14" i="14" s="1"/>
  <c r="AE22" i="14"/>
  <c r="AK22" i="14" s="1"/>
  <c r="AP22" i="14" s="1"/>
  <c r="CA26" i="13"/>
  <c r="CG26" i="13" s="1"/>
  <c r="CL26" i="13" s="1"/>
  <c r="G17" i="13"/>
  <c r="M17" i="13" s="1"/>
  <c r="R17" i="13" s="1"/>
  <c r="G14" i="15"/>
  <c r="M14" i="15" s="1"/>
  <c r="R14" i="15" s="1"/>
  <c r="AE14" i="16"/>
  <c r="AK14" i="16" s="1"/>
  <c r="AP14" i="16" s="1"/>
  <c r="CA15" i="13"/>
  <c r="CG15" i="13" s="1"/>
  <c r="CL15" i="13" s="1"/>
  <c r="CA17" i="14"/>
  <c r="CG17" i="14" s="1"/>
  <c r="CL17" i="14" s="1"/>
  <c r="CY18" i="16"/>
  <c r="DE18" i="16" s="1"/>
  <c r="DJ18" i="16" s="1"/>
  <c r="AE17" i="13"/>
  <c r="AK17" i="13" s="1"/>
  <c r="AP17" i="13" s="1"/>
  <c r="AE21" i="14"/>
  <c r="AK21" i="14" s="1"/>
  <c r="AP21" i="14" s="1"/>
  <c r="BC24" i="15"/>
  <c r="BI24" i="15" s="1"/>
  <c r="BN24" i="15" s="1"/>
  <c r="BC27" i="14"/>
  <c r="BI27" i="14" s="1"/>
  <c r="BN27" i="14" s="1"/>
  <c r="CA21" i="15"/>
  <c r="CG21" i="15" s="1"/>
  <c r="CL21" i="15" s="1"/>
  <c r="CY27" i="15"/>
  <c r="DE27" i="15" s="1"/>
  <c r="DJ27" i="15" s="1"/>
  <c r="CA20" i="15"/>
  <c r="CG20" i="15" s="1"/>
  <c r="CL20" i="15" s="1"/>
  <c r="CA23" i="15"/>
  <c r="CG23" i="15" s="1"/>
  <c r="CL23" i="15" s="1"/>
  <c r="H74" i="10"/>
  <c r="Y74" i="10" s="1"/>
  <c r="BC18" i="13"/>
  <c r="BI18" i="13" s="1"/>
  <c r="BN18" i="13" s="1"/>
  <c r="AE14" i="15"/>
  <c r="AK14" i="15" s="1"/>
  <c r="AP14" i="15" s="1"/>
  <c r="BC20" i="15"/>
  <c r="BI20" i="15" s="1"/>
  <c r="BN20" i="15" s="1"/>
  <c r="CA16" i="16"/>
  <c r="CG16" i="16" s="1"/>
  <c r="CL16" i="16" s="1"/>
  <c r="BC19" i="13"/>
  <c r="BI19" i="13" s="1"/>
  <c r="BN19" i="13" s="1"/>
  <c r="G27" i="13"/>
  <c r="M27" i="13" s="1"/>
  <c r="R27" i="13" s="1"/>
  <c r="BC16" i="16"/>
  <c r="BI16" i="16" s="1"/>
  <c r="BN16" i="16" s="1"/>
  <c r="BC27" i="16"/>
  <c r="AE27" i="15"/>
  <c r="AK27" i="15" s="1"/>
  <c r="AP27" i="15" s="1"/>
  <c r="CA25" i="16"/>
  <c r="CG25" i="16" s="1"/>
  <c r="CL25" i="16" s="1"/>
  <c r="T12" i="14"/>
  <c r="G12" i="14"/>
  <c r="CY21" i="15"/>
  <c r="DE21" i="15" s="1"/>
  <c r="DJ21" i="15" s="1"/>
  <c r="G20" i="14"/>
  <c r="M20" i="14" s="1"/>
  <c r="R20" i="14" s="1"/>
  <c r="G17" i="14"/>
  <c r="M17" i="14" s="1"/>
  <c r="R17" i="14" s="1"/>
  <c r="AE17" i="15"/>
  <c r="AK17" i="15" s="1"/>
  <c r="AP17" i="15" s="1"/>
  <c r="CA21" i="16"/>
  <c r="CG21" i="16" s="1"/>
  <c r="CL21" i="16" s="1"/>
  <c r="BC25" i="14"/>
  <c r="BI25" i="14" s="1"/>
  <c r="BN25" i="14" s="1"/>
  <c r="G19" i="15"/>
  <c r="M19" i="15" s="1"/>
  <c r="R19" i="15" s="1"/>
  <c r="CA14" i="13"/>
  <c r="CG14" i="13" s="1"/>
  <c r="CL14" i="13" s="1"/>
  <c r="CY22" i="13"/>
  <c r="DE22" i="13" s="1"/>
  <c r="DJ22" i="13" s="1"/>
  <c r="AE20" i="15"/>
  <c r="AK20" i="15" s="1"/>
  <c r="AP20" i="15" s="1"/>
  <c r="CA22" i="15"/>
  <c r="CG22" i="15" s="1"/>
  <c r="CL22" i="15" s="1"/>
  <c r="H76" i="10"/>
  <c r="Y76" i="10" s="1"/>
  <c r="AE16" i="15"/>
  <c r="AK16" i="15" s="1"/>
  <c r="AP16" i="15" s="1"/>
  <c r="H69" i="10"/>
  <c r="Y69" i="10" s="1"/>
  <c r="G21" i="13"/>
  <c r="M21" i="13" s="1"/>
  <c r="R21" i="13" s="1"/>
  <c r="CY20" i="13"/>
  <c r="DE20" i="13" s="1"/>
  <c r="DJ20" i="13" s="1"/>
  <c r="AE23" i="13"/>
  <c r="AK23" i="13" s="1"/>
  <c r="AP23" i="13" s="1"/>
  <c r="BC26" i="16"/>
  <c r="BI26" i="16" s="1"/>
  <c r="BN26" i="16" s="1"/>
  <c r="CY15" i="16"/>
  <c r="DE15" i="16" s="1"/>
  <c r="DJ15" i="16" s="1"/>
  <c r="CY14" i="13"/>
  <c r="DE14" i="13" s="1"/>
  <c r="DJ14" i="13" s="1"/>
  <c r="CA14" i="16"/>
  <c r="CG14" i="16" s="1"/>
  <c r="CL14" i="16" s="1"/>
  <c r="CY17" i="14"/>
  <c r="DE17" i="14" s="1"/>
  <c r="DJ17" i="14" s="1"/>
  <c r="G25" i="13"/>
  <c r="M25" i="13" s="1"/>
  <c r="R25" i="13" s="1"/>
  <c r="CA24" i="14"/>
  <c r="CG24" i="14" s="1"/>
  <c r="CL24" i="14" s="1"/>
  <c r="BC25" i="15"/>
  <c r="BI25" i="15" s="1"/>
  <c r="BN25" i="15" s="1"/>
  <c r="CA17" i="15"/>
  <c r="CG17" i="15" s="1"/>
  <c r="CL17" i="15" s="1"/>
  <c r="H79" i="10"/>
  <c r="Y79" i="10" s="1"/>
  <c r="H73" i="10"/>
  <c r="Y73" i="10" s="1"/>
  <c r="AE22" i="13"/>
  <c r="AK22" i="13" s="1"/>
  <c r="AP22" i="13" s="1"/>
  <c r="AE16" i="13"/>
  <c r="AK16" i="13" s="1"/>
  <c r="AP16" i="13" s="1"/>
  <c r="CY19" i="14"/>
  <c r="DE19" i="14" s="1"/>
  <c r="DJ19" i="14" s="1"/>
  <c r="G17" i="16"/>
  <c r="M17" i="16" s="1"/>
  <c r="R17" i="16" s="1"/>
  <c r="CA26" i="14"/>
  <c r="CG26" i="14" s="1"/>
  <c r="CL26" i="14" s="1"/>
  <c r="CA18" i="16"/>
  <c r="CG18" i="16" s="1"/>
  <c r="CL18" i="16" s="1"/>
  <c r="G23" i="13"/>
  <c r="M23" i="13" s="1"/>
  <c r="R23" i="13" s="1"/>
  <c r="BP12" i="13"/>
  <c r="BC12" i="13"/>
  <c r="BC24" i="16"/>
  <c r="BI24" i="16" s="1"/>
  <c r="BN24" i="16" s="1"/>
  <c r="BC15" i="15"/>
  <c r="BI15" i="15" s="1"/>
  <c r="BN15" i="15" s="1"/>
  <c r="BC27" i="15"/>
  <c r="BI27" i="15" s="1"/>
  <c r="BN27" i="15" s="1"/>
  <c r="CA13" i="13"/>
  <c r="CG13" i="13" s="1"/>
  <c r="CL13" i="13" s="1"/>
  <c r="BC18" i="14"/>
  <c r="BI18" i="14" s="1"/>
  <c r="BN18" i="14" s="1"/>
  <c r="CY17" i="16"/>
  <c r="DE17" i="16" s="1"/>
  <c r="DJ17" i="16" s="1"/>
  <c r="AE21" i="13"/>
  <c r="AK21" i="13" s="1"/>
  <c r="AP21" i="13" s="1"/>
  <c r="BC14" i="15"/>
  <c r="BI14" i="15" s="1"/>
  <c r="BN14" i="15" s="1"/>
  <c r="CY21" i="13"/>
  <c r="DE21" i="13" s="1"/>
  <c r="DJ21" i="13" s="1"/>
  <c r="CY26" i="14"/>
  <c r="DE26" i="14" s="1"/>
  <c r="DJ26" i="14" s="1"/>
  <c r="G23" i="15"/>
  <c r="M23" i="15" s="1"/>
  <c r="R23" i="15" s="1"/>
  <c r="G14" i="13"/>
  <c r="M14" i="13" s="1"/>
  <c r="R14" i="13" s="1"/>
  <c r="AE19" i="14"/>
  <c r="AK19" i="14" s="1"/>
  <c r="AP19" i="14" s="1"/>
  <c r="AE24" i="15"/>
  <c r="AK24" i="15" s="1"/>
  <c r="AP24" i="15" s="1"/>
  <c r="G27" i="16"/>
  <c r="M27" i="16" s="1"/>
  <c r="R27" i="16" s="1"/>
  <c r="CY27" i="14"/>
  <c r="DE27" i="14" s="1"/>
  <c r="DJ27" i="14" s="1"/>
  <c r="AE18" i="16"/>
  <c r="AK18" i="16" s="1"/>
  <c r="AP18" i="16" s="1"/>
  <c r="CN12" i="14"/>
  <c r="CA12" i="14"/>
  <c r="AE26" i="13"/>
  <c r="AK26" i="13" s="1"/>
  <c r="AP26" i="13" s="1"/>
  <c r="G16" i="15"/>
  <c r="M16" i="15" s="1"/>
  <c r="R16" i="15" s="1"/>
  <c r="BC18" i="16"/>
  <c r="BI18" i="16" s="1"/>
  <c r="BN18" i="16" s="1"/>
  <c r="CA23" i="13"/>
  <c r="CG23" i="13" s="1"/>
  <c r="CL23" i="13" s="1"/>
  <c r="BC20" i="14"/>
  <c r="BI20" i="14" s="1"/>
  <c r="BN20" i="14" s="1"/>
  <c r="CY22" i="16"/>
  <c r="DE22" i="16" s="1"/>
  <c r="DJ22" i="16" s="1"/>
  <c r="BC17" i="13"/>
  <c r="BI17" i="13" s="1"/>
  <c r="BN17" i="13" s="1"/>
  <c r="AE26" i="14"/>
  <c r="AK26" i="14" s="1"/>
  <c r="AP26" i="14" s="1"/>
  <c r="BC26" i="15"/>
  <c r="BI26" i="15" s="1"/>
  <c r="BN26" i="15" s="1"/>
  <c r="CY24" i="14"/>
  <c r="DE24" i="14" s="1"/>
  <c r="DJ24" i="14" s="1"/>
  <c r="CY13" i="15"/>
  <c r="DE13" i="15" s="1"/>
  <c r="DJ13" i="15" s="1"/>
  <c r="CA27" i="15"/>
  <c r="CG27" i="15" s="1"/>
  <c r="CL27" i="15" s="1"/>
  <c r="CY16" i="15"/>
  <c r="DE16" i="15" s="1"/>
  <c r="DJ16" i="15" s="1"/>
  <c r="CA15" i="15"/>
  <c r="CG15" i="15" s="1"/>
  <c r="CL15" i="15" s="1"/>
  <c r="AE14" i="13"/>
  <c r="AK14" i="13" s="1"/>
  <c r="AP14" i="13" s="1"/>
  <c r="BC24" i="14"/>
  <c r="BI24" i="14" s="1"/>
  <c r="BN24" i="14" s="1"/>
  <c r="G19" i="14"/>
  <c r="M19" i="14" s="1"/>
  <c r="R19" i="14" s="1"/>
  <c r="CA25" i="13"/>
  <c r="CG25" i="13" s="1"/>
  <c r="CL25" i="13" s="1"/>
  <c r="AE17" i="16"/>
  <c r="AK17" i="16" s="1"/>
  <c r="AP17" i="16" s="1"/>
  <c r="CN12" i="13"/>
  <c r="CA12" i="13"/>
  <c r="BC13" i="14"/>
  <c r="BI13" i="14" s="1"/>
  <c r="BN13" i="14" s="1"/>
  <c r="CA19" i="16"/>
  <c r="CG19" i="16" s="1"/>
  <c r="CL19" i="16" s="1"/>
  <c r="AE23" i="16"/>
  <c r="AK23" i="16" s="1"/>
  <c r="AP23" i="16" s="1"/>
  <c r="AR12" i="13"/>
  <c r="AE12" i="13"/>
  <c r="AE26" i="16"/>
  <c r="AK26" i="16" s="1"/>
  <c r="AP26" i="16" s="1"/>
  <c r="CA14" i="15"/>
  <c r="CG14" i="15" s="1"/>
  <c r="CL14" i="15" s="1"/>
  <c r="H66" i="10"/>
  <c r="Y66" i="10" s="1"/>
  <c r="G15" i="14"/>
  <c r="M15" i="14" s="1"/>
  <c r="R15" i="14" s="1"/>
  <c r="CA23" i="16"/>
  <c r="CG23" i="16" s="1"/>
  <c r="CL23" i="16" s="1"/>
  <c r="CY25" i="16"/>
  <c r="DE25" i="16" s="1"/>
  <c r="DJ25" i="16" s="1"/>
  <c r="AR12" i="14"/>
  <c r="AE12" i="14"/>
  <c r="BC17" i="16"/>
  <c r="BI17" i="16" s="1"/>
  <c r="BN17" i="16" s="1"/>
  <c r="G18" i="14"/>
  <c r="M18" i="14" s="1"/>
  <c r="R18" i="14" s="1"/>
  <c r="CY14" i="16"/>
  <c r="DE14" i="16" s="1"/>
  <c r="DJ14" i="16" s="1"/>
  <c r="CA18" i="14"/>
  <c r="CG18" i="14" s="1"/>
  <c r="CL18" i="14" s="1"/>
  <c r="CY23" i="15"/>
  <c r="DE23" i="15" s="1"/>
  <c r="DJ23" i="15" s="1"/>
  <c r="BC22" i="15"/>
  <c r="BI22" i="15" s="1"/>
  <c r="BN22" i="15" s="1"/>
  <c r="CA24" i="13"/>
  <c r="CG24" i="13" s="1"/>
  <c r="CL24" i="13" s="1"/>
  <c r="BC14" i="14"/>
  <c r="BI14" i="14" s="1"/>
  <c r="BN14" i="14" s="1"/>
  <c r="BC21" i="14"/>
  <c r="BI21" i="14" s="1"/>
  <c r="BN21" i="14" s="1"/>
  <c r="G22" i="16"/>
  <c r="M22" i="16" s="1"/>
  <c r="R22" i="16" s="1"/>
  <c r="G27" i="15"/>
  <c r="M27" i="15" s="1"/>
  <c r="R27" i="15" s="1"/>
  <c r="CA21" i="14"/>
  <c r="CG21" i="14" s="1"/>
  <c r="CL21" i="14" s="1"/>
  <c r="AE17" i="14"/>
  <c r="AK17" i="14" s="1"/>
  <c r="AP17" i="14" s="1"/>
  <c r="CY20" i="14"/>
  <c r="DE20" i="14" s="1"/>
  <c r="DJ20" i="14" s="1"/>
  <c r="AE14" i="14"/>
  <c r="AK14" i="14" s="1"/>
  <c r="AP14" i="14" s="1"/>
  <c r="G26" i="16"/>
  <c r="M26" i="16" s="1"/>
  <c r="R26" i="16" s="1"/>
  <c r="CY25" i="13"/>
  <c r="DE25" i="13" s="1"/>
  <c r="DJ25" i="13" s="1"/>
  <c r="G16" i="16"/>
  <c r="M16" i="16" s="1"/>
  <c r="R16" i="16" s="1"/>
  <c r="CY20" i="16"/>
  <c r="DE20" i="16" s="1"/>
  <c r="DJ20" i="16" s="1"/>
  <c r="G23" i="14"/>
  <c r="M23" i="14" s="1"/>
  <c r="R23" i="14" s="1"/>
  <c r="CY15" i="15"/>
  <c r="DE15" i="15" s="1"/>
  <c r="DJ15" i="15" s="1"/>
  <c r="CA19" i="15"/>
  <c r="CG19" i="15" s="1"/>
  <c r="CL19" i="15" s="1"/>
  <c r="H68" i="10"/>
  <c r="Y68" i="10" s="1"/>
  <c r="H80" i="10"/>
  <c r="Y80" i="10" s="1"/>
  <c r="BC23" i="15"/>
  <c r="BI23" i="15" s="1"/>
  <c r="BN23" i="15" s="1"/>
  <c r="G13" i="14"/>
  <c r="M13" i="14" s="1"/>
  <c r="R13" i="14" s="1"/>
  <c r="G18" i="13"/>
  <c r="M18" i="13" s="1"/>
  <c r="R18" i="13" s="1"/>
  <c r="CA16" i="13"/>
  <c r="CG16" i="13" s="1"/>
  <c r="CL16" i="13" s="1"/>
  <c r="CY15" i="14"/>
  <c r="DE15" i="14" s="1"/>
  <c r="DJ15" i="14" s="1"/>
  <c r="G26" i="13"/>
  <c r="M26" i="13" s="1"/>
  <c r="R26" i="13" s="1"/>
  <c r="AE24" i="13"/>
  <c r="AK24" i="13" s="1"/>
  <c r="AP24" i="13" s="1"/>
  <c r="BC22" i="13"/>
  <c r="BI22" i="13" s="1"/>
  <c r="BN22" i="13" s="1"/>
  <c r="CA20" i="13"/>
  <c r="CG20" i="13" s="1"/>
  <c r="CL20" i="13" s="1"/>
  <c r="BC18" i="15"/>
  <c r="BI18" i="15" s="1"/>
  <c r="BN18" i="15" s="1"/>
  <c r="AR12" i="16"/>
  <c r="AE12" i="16"/>
  <c r="CA17" i="13"/>
  <c r="CG17" i="13" s="1"/>
  <c r="CL17" i="13" s="1"/>
  <c r="CY13" i="14"/>
  <c r="DE13" i="14" s="1"/>
  <c r="DJ13" i="14" s="1"/>
  <c r="CY19" i="16"/>
  <c r="DE19" i="16" s="1"/>
  <c r="DJ19" i="16" s="1"/>
  <c r="AE13" i="13"/>
  <c r="AK13" i="13" s="1"/>
  <c r="AP13" i="13" s="1"/>
  <c r="BC16" i="15"/>
  <c r="BI16" i="15" s="1"/>
  <c r="BN16" i="15" s="1"/>
  <c r="CA15" i="14"/>
  <c r="CG15" i="14" s="1"/>
  <c r="CL15" i="14" s="1"/>
  <c r="CA24" i="16"/>
  <c r="CG24" i="16" s="1"/>
  <c r="CL24" i="16" s="1"/>
  <c r="AE26" i="15"/>
  <c r="AK26" i="15" s="1"/>
  <c r="AP26" i="15" s="1"/>
  <c r="G22" i="13"/>
  <c r="M22" i="13" s="1"/>
  <c r="R22" i="13" s="1"/>
  <c r="G26" i="14"/>
  <c r="M26" i="14" s="1"/>
  <c r="R26" i="14" s="1"/>
  <c r="AE25" i="15"/>
  <c r="AK25" i="15" s="1"/>
  <c r="AP25" i="15" s="1"/>
  <c r="CA16" i="14"/>
  <c r="CG16" i="14" s="1"/>
  <c r="CL16" i="14" s="1"/>
  <c r="CA17" i="16"/>
  <c r="CG17" i="16" s="1"/>
  <c r="CL17" i="16" s="1"/>
  <c r="AE20" i="16"/>
  <c r="AK20" i="16" s="1"/>
  <c r="AP20" i="16" s="1"/>
  <c r="CA22" i="14"/>
  <c r="CG22" i="14" s="1"/>
  <c r="CL22" i="14" s="1"/>
  <c r="AE18" i="13"/>
  <c r="AK18" i="13" s="1"/>
  <c r="AP18" i="13" s="1"/>
  <c r="G17" i="15"/>
  <c r="M17" i="15" s="1"/>
  <c r="R17" i="15" s="1"/>
  <c r="BC20" i="16"/>
  <c r="BI20" i="16" s="1"/>
  <c r="BN20" i="16" s="1"/>
  <c r="CA27" i="13"/>
  <c r="CG27" i="13" s="1"/>
  <c r="CL27" i="13" s="1"/>
  <c r="BC23" i="14"/>
  <c r="BI23" i="14" s="1"/>
  <c r="BN23" i="14" s="1"/>
  <c r="CY24" i="16"/>
  <c r="DE24" i="16" s="1"/>
  <c r="DJ24" i="16" s="1"/>
  <c r="BC21" i="13"/>
  <c r="BI21" i="13" s="1"/>
  <c r="BN21" i="13" s="1"/>
  <c r="BP12" i="15"/>
  <c r="BC12" i="15"/>
  <c r="BC19" i="16"/>
  <c r="BI19" i="16" s="1"/>
  <c r="BN19" i="16" s="1"/>
  <c r="CA15" i="16"/>
  <c r="CG15" i="16" s="1"/>
  <c r="CL15" i="16" s="1"/>
  <c r="CY17" i="15"/>
  <c r="DE17" i="15" s="1"/>
  <c r="DJ17" i="15" s="1"/>
  <c r="DL12" i="15"/>
  <c r="CY12" i="15"/>
  <c r="CY18" i="15"/>
  <c r="DE18" i="15" s="1"/>
  <c r="DJ18" i="15" s="1"/>
  <c r="CA18" i="15"/>
  <c r="CG18" i="15" s="1"/>
  <c r="CL18" i="15" s="1"/>
  <c r="H71" i="10"/>
  <c r="Y71" i="10" s="1"/>
  <c r="G21" i="16"/>
  <c r="M21" i="16" s="1"/>
  <c r="R21" i="16" s="1"/>
  <c r="AE21" i="15"/>
  <c r="AK21" i="15" s="1"/>
  <c r="AP21" i="15" s="1"/>
  <c r="CY22" i="14"/>
  <c r="DE22" i="14" s="1"/>
  <c r="DJ22" i="14" s="1"/>
  <c r="CY23" i="16"/>
  <c r="DE23" i="16" s="1"/>
  <c r="DJ23" i="16" s="1"/>
  <c r="BC22" i="14"/>
  <c r="BI22" i="14" s="1"/>
  <c r="BN22" i="14" s="1"/>
  <c r="AE19" i="13"/>
  <c r="AK19" i="13" s="1"/>
  <c r="AP19" i="13" s="1"/>
  <c r="BC17" i="15"/>
  <c r="BI17" i="15" s="1"/>
  <c r="BN17" i="15" s="1"/>
  <c r="G16" i="14"/>
  <c r="M16" i="14" s="1"/>
  <c r="R16" i="14" s="1"/>
  <c r="CY19" i="13"/>
  <c r="DE19" i="13" s="1"/>
  <c r="DJ19" i="13" s="1"/>
  <c r="AE18" i="15"/>
  <c r="AK18" i="15" s="1"/>
  <c r="AP18" i="15" s="1"/>
  <c r="CY22" i="15"/>
  <c r="DE22" i="15" s="1"/>
  <c r="DJ22" i="15" s="1"/>
  <c r="CY13" i="13"/>
  <c r="DE13" i="13" s="1"/>
  <c r="DJ13" i="13" s="1"/>
  <c r="AE15" i="15"/>
  <c r="AK15" i="15" s="1"/>
  <c r="AP15" i="15" s="1"/>
  <c r="CY16" i="13"/>
  <c r="DE16" i="13" s="1"/>
  <c r="DJ16" i="13" s="1"/>
  <c r="BC15" i="16"/>
  <c r="BI15" i="16" s="1"/>
  <c r="BN15" i="16" s="1"/>
  <c r="BC23" i="13"/>
  <c r="BI23" i="13" s="1"/>
  <c r="BN23" i="13" s="1"/>
  <c r="BC16" i="13"/>
  <c r="BI16" i="13" s="1"/>
  <c r="BN16" i="13" s="1"/>
  <c r="G19" i="13"/>
  <c r="M19" i="13" s="1"/>
  <c r="R19" i="13" s="1"/>
  <c r="G13" i="16"/>
  <c r="M13" i="16" s="1"/>
  <c r="R13" i="16" s="1"/>
  <c r="G20" i="13"/>
  <c r="M20" i="13" s="1"/>
  <c r="R20" i="13" s="1"/>
  <c r="CY24" i="15"/>
  <c r="DE24" i="15" s="1"/>
  <c r="DJ24" i="15" s="1"/>
  <c r="CA19" i="14"/>
  <c r="CG19" i="14" s="1"/>
  <c r="CL19" i="14" s="1"/>
  <c r="G15" i="13"/>
  <c r="M15" i="13" s="1"/>
  <c r="R15" i="13" s="1"/>
  <c r="BC26" i="13"/>
  <c r="BI26" i="13" s="1"/>
  <c r="BN26" i="13" s="1"/>
  <c r="BC14" i="16"/>
  <c r="BI14" i="16" s="1"/>
  <c r="BN14" i="16" s="1"/>
  <c r="G13" i="13"/>
  <c r="M13" i="13" s="1"/>
  <c r="R13" i="13" s="1"/>
  <c r="BC13" i="15"/>
  <c r="BI13" i="15" s="1"/>
  <c r="BN13" i="15" s="1"/>
  <c r="G24" i="13"/>
  <c r="M24" i="13" s="1"/>
  <c r="R24" i="13" s="1"/>
  <c r="G13" i="15"/>
  <c r="M13" i="15" s="1"/>
  <c r="R13" i="15" s="1"/>
  <c r="G22" i="15"/>
  <c r="M22" i="15" s="1"/>
  <c r="R22" i="15" s="1"/>
  <c r="AR12" i="15"/>
  <c r="AE12" i="15"/>
  <c r="G15" i="15"/>
  <c r="M15" i="15" s="1"/>
  <c r="R15" i="15" s="1"/>
  <c r="CA19" i="13"/>
  <c r="CG19" i="13" s="1"/>
  <c r="CL19" i="13" s="1"/>
  <c r="BC13" i="13"/>
  <c r="BI13" i="13" s="1"/>
  <c r="BN13" i="13" s="1"/>
  <c r="CY18" i="14"/>
  <c r="DE18" i="14" s="1"/>
  <c r="DJ18" i="14" s="1"/>
  <c r="CY14" i="15"/>
  <c r="DE14" i="15" s="1"/>
  <c r="DJ14" i="15" s="1"/>
  <c r="H67" i="10"/>
  <c r="Y67" i="10" s="1"/>
  <c r="H72" i="10"/>
  <c r="Y72" i="10" s="1"/>
  <c r="G18" i="16"/>
  <c r="M18" i="16" s="1"/>
  <c r="R18" i="16" s="1"/>
  <c r="BP12" i="16"/>
  <c r="BC12" i="16"/>
  <c r="AE15" i="13"/>
  <c r="AK15" i="13" s="1"/>
  <c r="AP15" i="13" s="1"/>
  <c r="DL12" i="13"/>
  <c r="CY12" i="13"/>
  <c r="AE20" i="14"/>
  <c r="AK20" i="14" s="1"/>
  <c r="AP20" i="14" s="1"/>
  <c r="BC14" i="13"/>
  <c r="BI14" i="13" s="1"/>
  <c r="BN14" i="13" s="1"/>
  <c r="AE23" i="14"/>
  <c r="AK23" i="14" s="1"/>
  <c r="AP23" i="14" s="1"/>
  <c r="G14" i="14"/>
  <c r="M14" i="14" s="1"/>
  <c r="R14" i="14" s="1"/>
  <c r="BC17" i="14"/>
  <c r="BI17" i="14" s="1"/>
  <c r="BN17" i="14" s="1"/>
  <c r="BC19" i="15"/>
  <c r="BI19" i="15" s="1"/>
  <c r="BN19" i="15" s="1"/>
  <c r="AE13" i="16"/>
  <c r="AK13" i="16" s="1"/>
  <c r="AP13" i="16" s="1"/>
  <c r="CA21" i="13"/>
  <c r="CG21" i="13" s="1"/>
  <c r="CL21" i="13" s="1"/>
  <c r="CN12" i="16"/>
  <c r="CA12" i="16"/>
  <c r="CY21" i="16"/>
  <c r="DE21" i="16" s="1"/>
  <c r="DJ21" i="16" s="1"/>
  <c r="BC15" i="13"/>
  <c r="BI15" i="13" s="1"/>
  <c r="BN15" i="13" s="1"/>
  <c r="G24" i="15"/>
  <c r="M24" i="15" s="1"/>
  <c r="R24" i="15" s="1"/>
  <c r="BC15" i="14"/>
  <c r="BI15" i="14" s="1"/>
  <c r="BN15" i="14" s="1"/>
  <c r="AE25" i="14"/>
  <c r="AK25" i="14" s="1"/>
  <c r="AP25" i="14" s="1"/>
  <c r="T12" i="16"/>
  <c r="G12" i="16"/>
  <c r="AE27" i="13"/>
  <c r="AK27" i="13" s="1"/>
  <c r="AP27" i="13" s="1"/>
  <c r="AE27" i="14"/>
  <c r="AK27" i="14" s="1"/>
  <c r="AP27" i="14" s="1"/>
  <c r="G15" i="16"/>
  <c r="M15" i="16" s="1"/>
  <c r="R15" i="16" s="1"/>
  <c r="CA23" i="14"/>
  <c r="CG23" i="14" s="1"/>
  <c r="CL23" i="14" s="1"/>
  <c r="CA22" i="16"/>
  <c r="CG22" i="16" s="1"/>
  <c r="CL22" i="16" s="1"/>
  <c r="G24" i="16"/>
  <c r="M24" i="16" s="1"/>
  <c r="R24" i="16" s="1"/>
  <c r="CY23" i="14"/>
  <c r="DE23" i="14" s="1"/>
  <c r="DJ23" i="14" s="1"/>
  <c r="AE13" i="14"/>
  <c r="AK13" i="14" s="1"/>
  <c r="AP13" i="14" s="1"/>
  <c r="AE23" i="15"/>
  <c r="AK23" i="15" s="1"/>
  <c r="AP23" i="15" s="1"/>
  <c r="BC21" i="16"/>
  <c r="BI21" i="16" s="1"/>
  <c r="BN21" i="16" s="1"/>
  <c r="CY15" i="13"/>
  <c r="DE15" i="13" s="1"/>
  <c r="DJ15" i="13" s="1"/>
  <c r="CY21" i="14"/>
  <c r="DE21" i="14" s="1"/>
  <c r="DJ21" i="14" s="1"/>
  <c r="CY26" i="16"/>
  <c r="DE26" i="16" s="1"/>
  <c r="DJ26" i="16" s="1"/>
  <c r="BC25" i="13"/>
  <c r="BI25" i="13" s="1"/>
  <c r="BN25" i="13" s="1"/>
  <c r="AE13" i="15"/>
  <c r="AK13" i="15" s="1"/>
  <c r="AP13" i="15" s="1"/>
  <c r="BC22" i="16"/>
  <c r="BI22" i="16" s="1"/>
  <c r="BN22" i="16" s="1"/>
  <c r="CA20" i="16"/>
  <c r="CG20" i="16" s="1"/>
  <c r="CL20" i="16" s="1"/>
  <c r="CY19" i="15"/>
  <c r="DE19" i="15" s="1"/>
  <c r="DJ19" i="15" s="1"/>
  <c r="CN12" i="15"/>
  <c r="CA12" i="15"/>
  <c r="CY20" i="15"/>
  <c r="DE20" i="15" s="1"/>
  <c r="DJ20" i="15" s="1"/>
  <c r="CA26" i="15"/>
  <c r="CG26" i="15" s="1"/>
  <c r="CL26" i="15" s="1"/>
  <c r="AF14" i="10"/>
  <c r="AF15" i="10" s="1"/>
  <c r="AF16" i="10" s="1"/>
  <c r="AF17" i="10" s="1"/>
  <c r="AF18" i="10" s="1"/>
  <c r="AF19" i="10" s="1"/>
  <c r="AF20" i="10" s="1"/>
  <c r="AF21" i="10" s="1"/>
  <c r="AF22" i="10" s="1"/>
  <c r="AF23" i="10" s="1"/>
  <c r="AF24" i="10" s="1"/>
  <c r="AF25" i="10" s="1"/>
  <c r="AF26" i="10" s="1"/>
  <c r="AF27" i="10" s="1"/>
  <c r="AF28" i="10" s="1"/>
  <c r="J7" i="11" s="1"/>
  <c r="AE69" i="2"/>
  <c r="V24" i="8" s="1"/>
  <c r="X39" i="10"/>
  <c r="AG39" i="10"/>
  <c r="AG40" i="10" s="1"/>
  <c r="AG41" i="10" s="1"/>
  <c r="AG42" i="10" s="1"/>
  <c r="AG43" i="10" s="1"/>
  <c r="AG44" i="10" s="1"/>
  <c r="AG45" i="10" s="1"/>
  <c r="AG46" i="10" s="1"/>
  <c r="AG47" i="10" s="1"/>
  <c r="AG48" i="10" s="1"/>
  <c r="AG49" i="10" s="1"/>
  <c r="AG50" i="10" s="1"/>
  <c r="AG51" i="10" s="1"/>
  <c r="AG52" i="10" s="1"/>
  <c r="AG53" i="10" s="1"/>
  <c r="AG54" i="10" s="1"/>
  <c r="K8" i="11" s="1"/>
  <c r="K9" i="11" s="1"/>
  <c r="K11" i="11" s="1"/>
  <c r="K13" i="11" s="1"/>
  <c r="AG13" i="10"/>
  <c r="AG14" i="10" s="1"/>
  <c r="AG15" i="10" s="1"/>
  <c r="Y13" i="10"/>
  <c r="Q71" i="2"/>
  <c r="K71" i="2"/>
  <c r="S19" i="8"/>
  <c r="R69" i="2"/>
  <c r="S24" i="8" s="1"/>
  <c r="K68" i="2"/>
  <c r="Q23" i="8" s="1"/>
  <c r="AF21" i="2"/>
  <c r="W20" i="8"/>
  <c r="Y21" i="2"/>
  <c r="U20" i="8"/>
  <c r="K21" i="2"/>
  <c r="AD73" i="10" l="1"/>
  <c r="L69" i="22" s="1"/>
  <c r="R15" i="23" s="1"/>
  <c r="AD76" i="10"/>
  <c r="L72" i="22" s="1"/>
  <c r="R18" i="23" s="1"/>
  <c r="AD74" i="10"/>
  <c r="L70" i="22" s="1"/>
  <c r="CF113" i="15"/>
  <c r="CK113" i="15" s="1"/>
  <c r="CJ113" i="15"/>
  <c r="AD67" i="10"/>
  <c r="L63" i="22" s="1"/>
  <c r="R9" i="23" s="1"/>
  <c r="L75" i="22"/>
  <c r="R21" i="23" s="1"/>
  <c r="AD79" i="10"/>
  <c r="AP88" i="16"/>
  <c r="AU88" i="16" s="1"/>
  <c r="AU89" i="16" s="1"/>
  <c r="AU90" i="16" s="1"/>
  <c r="AU91" i="16" s="1"/>
  <c r="AU92" i="16" s="1"/>
  <c r="AU93" i="16" s="1"/>
  <c r="AU94" i="16" s="1"/>
  <c r="AU95" i="16" s="1"/>
  <c r="AU96" i="16" s="1"/>
  <c r="AU97" i="16" s="1"/>
  <c r="AU98" i="16" s="1"/>
  <c r="AU99" i="16" s="1"/>
  <c r="AU100" i="16" s="1"/>
  <c r="AU101" i="16" s="1"/>
  <c r="AU102" i="16" s="1"/>
  <c r="AU103" i="16" s="1"/>
  <c r="L76" i="22"/>
  <c r="AD80" i="10"/>
  <c r="AD69" i="10"/>
  <c r="L65" i="22" s="1"/>
  <c r="R11" i="23" s="1"/>
  <c r="L71" i="22"/>
  <c r="R17" i="23" s="1"/>
  <c r="AD75" i="10"/>
  <c r="AD70" i="10"/>
  <c r="L66" i="22" s="1"/>
  <c r="R12" i="23" s="1"/>
  <c r="L74" i="22"/>
  <c r="R20" i="23" s="1"/>
  <c r="AD78" i="10"/>
  <c r="BH113" i="15"/>
  <c r="BM113" i="15" s="1"/>
  <c r="BL113" i="15"/>
  <c r="CQ88" i="16"/>
  <c r="CQ89" i="16" s="1"/>
  <c r="CQ90" i="16" s="1"/>
  <c r="CQ91" i="16" s="1"/>
  <c r="CQ92" i="16" s="1"/>
  <c r="CQ93" i="16" s="1"/>
  <c r="CQ94" i="16" s="1"/>
  <c r="CQ95" i="16" s="1"/>
  <c r="CQ96" i="16" s="1"/>
  <c r="CQ97" i="16" s="1"/>
  <c r="CQ98" i="16" s="1"/>
  <c r="CQ99" i="16" s="1"/>
  <c r="CQ100" i="16" s="1"/>
  <c r="CQ101" i="16" s="1"/>
  <c r="CQ102" i="16" s="1"/>
  <c r="CQ103" i="16" s="1"/>
  <c r="CL88" i="16"/>
  <c r="AD71" i="10"/>
  <c r="L67" i="22" s="1"/>
  <c r="L68" i="22"/>
  <c r="R14" i="23" s="1"/>
  <c r="AD72" i="10"/>
  <c r="AD68" i="10"/>
  <c r="L64" i="22" s="1"/>
  <c r="L62" i="22"/>
  <c r="R8" i="23" s="1"/>
  <c r="AD66" i="10"/>
  <c r="AD77" i="10"/>
  <c r="L73" i="22" s="1"/>
  <c r="DO88" i="16"/>
  <c r="DO89" i="16" s="1"/>
  <c r="DO90" i="16" s="1"/>
  <c r="DO91" i="16" s="1"/>
  <c r="DO92" i="16" s="1"/>
  <c r="DO93" i="16" s="1"/>
  <c r="DO94" i="16" s="1"/>
  <c r="DO95" i="16" s="1"/>
  <c r="DO96" i="16" s="1"/>
  <c r="DO97" i="16" s="1"/>
  <c r="DO98" i="16" s="1"/>
  <c r="DO99" i="16" s="1"/>
  <c r="DO100" i="16" s="1"/>
  <c r="DO101" i="16" s="1"/>
  <c r="DO102" i="16" s="1"/>
  <c r="DO103" i="16" s="1"/>
  <c r="DJ88" i="16"/>
  <c r="BG12" i="13"/>
  <c r="CY65" i="15"/>
  <c r="CY66" i="15" s="1"/>
  <c r="CY67" i="15" s="1"/>
  <c r="CY68" i="15" s="1"/>
  <c r="CY69" i="15" s="1"/>
  <c r="CY70" i="15" s="1"/>
  <c r="CY71" i="15" s="1"/>
  <c r="CY72" i="15" s="1"/>
  <c r="CY73" i="15" s="1"/>
  <c r="CY74" i="15" s="1"/>
  <c r="CY75" i="15" s="1"/>
  <c r="CY76" i="15" s="1"/>
  <c r="CY77" i="15" s="1"/>
  <c r="CY78" i="15" s="1"/>
  <c r="K12" i="15"/>
  <c r="AI12" i="15"/>
  <c r="AN12" i="15" s="1"/>
  <c r="CE12" i="13"/>
  <c r="AI12" i="13"/>
  <c r="M12" i="13"/>
  <c r="R12" i="13" s="1"/>
  <c r="U12" i="13"/>
  <c r="L12" i="13"/>
  <c r="Q12" i="13" s="1"/>
  <c r="BY64" i="14"/>
  <c r="BY65" i="14" s="1"/>
  <c r="BY66" i="14" s="1"/>
  <c r="BY67" i="14" s="1"/>
  <c r="BY68" i="14" s="1"/>
  <c r="BY69" i="14" s="1"/>
  <c r="BY70" i="14" s="1"/>
  <c r="BY71" i="14" s="1"/>
  <c r="BY72" i="14" s="1"/>
  <c r="BY73" i="14" s="1"/>
  <c r="BY74" i="14" s="1"/>
  <c r="BY75" i="14" s="1"/>
  <c r="BY76" i="14" s="1"/>
  <c r="BY77" i="14" s="1"/>
  <c r="BY78" i="14" s="1"/>
  <c r="V113" i="15"/>
  <c r="V114" i="15" s="1"/>
  <c r="V115" i="15" s="1"/>
  <c r="V116" i="15" s="1"/>
  <c r="V117" i="15" s="1"/>
  <c r="V118" i="15" s="1"/>
  <c r="V119" i="15" s="1"/>
  <c r="V120" i="15" s="1"/>
  <c r="V121" i="15" s="1"/>
  <c r="V122" i="15" s="1"/>
  <c r="V123" i="15" s="1"/>
  <c r="V124" i="15" s="1"/>
  <c r="V125" i="15" s="1"/>
  <c r="V126" i="15" s="1"/>
  <c r="V127" i="15" s="1"/>
  <c r="V128" i="15" s="1"/>
  <c r="DO113" i="16"/>
  <c r="DO114" i="16" s="1"/>
  <c r="DO115" i="16" s="1"/>
  <c r="DO116" i="16" s="1"/>
  <c r="DO117" i="16" s="1"/>
  <c r="DO118" i="16" s="1"/>
  <c r="DO119" i="16" s="1"/>
  <c r="DO120" i="16" s="1"/>
  <c r="DO121" i="16" s="1"/>
  <c r="DO122" i="16" s="1"/>
  <c r="DO123" i="16" s="1"/>
  <c r="DO124" i="16" s="1"/>
  <c r="DO125" i="16" s="1"/>
  <c r="DO126" i="16" s="1"/>
  <c r="DO127" i="16" s="1"/>
  <c r="DO128" i="16" s="1"/>
  <c r="AK113" i="15"/>
  <c r="AP113" i="15" s="1"/>
  <c r="AS113" i="15"/>
  <c r="AS114" i="15" s="1"/>
  <c r="AS115" i="15" s="1"/>
  <c r="AS116" i="15" s="1"/>
  <c r="AS117" i="15" s="1"/>
  <c r="AS118" i="15" s="1"/>
  <c r="AS119" i="15" s="1"/>
  <c r="AS120" i="15" s="1"/>
  <c r="AS121" i="15" s="1"/>
  <c r="AS122" i="15" s="1"/>
  <c r="AS123" i="15" s="1"/>
  <c r="AS124" i="15" s="1"/>
  <c r="AS125" i="15" s="1"/>
  <c r="AS126" i="15" s="1"/>
  <c r="AS127" i="15" s="1"/>
  <c r="AS128" i="15" s="1"/>
  <c r="AD162" i="15" s="1"/>
  <c r="AD163" i="15" s="1"/>
  <c r="AD165" i="15" s="1"/>
  <c r="AD167" i="15" s="1"/>
  <c r="BS88" i="14"/>
  <c r="BS89" i="14" s="1"/>
  <c r="BS90" i="14" s="1"/>
  <c r="BS91" i="14" s="1"/>
  <c r="BS92" i="14" s="1"/>
  <c r="BS93" i="14" s="1"/>
  <c r="BS94" i="14" s="1"/>
  <c r="BS95" i="14" s="1"/>
  <c r="BS96" i="14" s="1"/>
  <c r="BS97" i="14" s="1"/>
  <c r="BS98" i="14" s="1"/>
  <c r="BS99" i="14" s="1"/>
  <c r="BS100" i="14" s="1"/>
  <c r="BS101" i="14" s="1"/>
  <c r="BS102" i="14" s="1"/>
  <c r="BS103" i="14" s="1"/>
  <c r="DO113" i="14"/>
  <c r="DO114" i="14" s="1"/>
  <c r="DO115" i="14" s="1"/>
  <c r="DO116" i="14" s="1"/>
  <c r="DO117" i="14" s="1"/>
  <c r="DO118" i="14" s="1"/>
  <c r="DO119" i="14" s="1"/>
  <c r="DO120" i="14" s="1"/>
  <c r="DO121" i="14" s="1"/>
  <c r="DO122" i="14" s="1"/>
  <c r="DO123" i="14" s="1"/>
  <c r="DO124" i="14" s="1"/>
  <c r="DO125" i="14" s="1"/>
  <c r="DO126" i="14" s="1"/>
  <c r="DO127" i="14" s="1"/>
  <c r="DO128" i="14" s="1"/>
  <c r="W113" i="13"/>
  <c r="W114" i="13" s="1"/>
  <c r="W115" i="13" s="1"/>
  <c r="W116" i="13" s="1"/>
  <c r="W117" i="13" s="1"/>
  <c r="W118" i="13" s="1"/>
  <c r="W119" i="13" s="1"/>
  <c r="W120" i="13" s="1"/>
  <c r="W121" i="13" s="1"/>
  <c r="W122" i="13" s="1"/>
  <c r="W123" i="13" s="1"/>
  <c r="W124" i="13" s="1"/>
  <c r="W125" i="13" s="1"/>
  <c r="W126" i="13" s="1"/>
  <c r="W127" i="13" s="1"/>
  <c r="W128" i="13" s="1"/>
  <c r="DO88" i="13"/>
  <c r="DO89" i="13" s="1"/>
  <c r="DO90" i="13" s="1"/>
  <c r="DO91" i="13" s="1"/>
  <c r="DO92" i="13" s="1"/>
  <c r="DO93" i="13" s="1"/>
  <c r="DO94" i="13" s="1"/>
  <c r="DO95" i="13" s="1"/>
  <c r="DO96" i="13" s="1"/>
  <c r="DO97" i="13" s="1"/>
  <c r="DO98" i="13" s="1"/>
  <c r="DO99" i="13" s="1"/>
  <c r="DO100" i="13" s="1"/>
  <c r="DO101" i="13" s="1"/>
  <c r="DO102" i="13" s="1"/>
  <c r="DO103" i="13" s="1"/>
  <c r="W88" i="14"/>
  <c r="W89" i="14" s="1"/>
  <c r="W90" i="14" s="1"/>
  <c r="W91" i="14" s="1"/>
  <c r="W92" i="14" s="1"/>
  <c r="W93" i="14" s="1"/>
  <c r="W94" i="14" s="1"/>
  <c r="W95" i="14" s="1"/>
  <c r="W96" i="14" s="1"/>
  <c r="W97" i="14" s="1"/>
  <c r="W98" i="14" s="1"/>
  <c r="W99" i="14" s="1"/>
  <c r="W100" i="14" s="1"/>
  <c r="W101" i="14" s="1"/>
  <c r="W102" i="14" s="1"/>
  <c r="W103" i="14" s="1"/>
  <c r="W88" i="13"/>
  <c r="W89" i="13" s="1"/>
  <c r="W90" i="13" s="1"/>
  <c r="W91" i="13" s="1"/>
  <c r="W92" i="13" s="1"/>
  <c r="W93" i="13" s="1"/>
  <c r="W94" i="13" s="1"/>
  <c r="W95" i="13" s="1"/>
  <c r="W96" i="13" s="1"/>
  <c r="W97" i="13" s="1"/>
  <c r="W98" i="13" s="1"/>
  <c r="W99" i="13" s="1"/>
  <c r="W100" i="13" s="1"/>
  <c r="W101" i="13" s="1"/>
  <c r="W102" i="13" s="1"/>
  <c r="W103" i="13" s="1"/>
  <c r="W113" i="14"/>
  <c r="W114" i="14" s="1"/>
  <c r="W115" i="14" s="1"/>
  <c r="W116" i="14" s="1"/>
  <c r="W117" i="14" s="1"/>
  <c r="W118" i="14" s="1"/>
  <c r="W119" i="14" s="1"/>
  <c r="W120" i="14" s="1"/>
  <c r="W121" i="14" s="1"/>
  <c r="W122" i="14" s="1"/>
  <c r="W123" i="14" s="1"/>
  <c r="W124" i="14" s="1"/>
  <c r="W125" i="14" s="1"/>
  <c r="W126" i="14" s="1"/>
  <c r="W127" i="14" s="1"/>
  <c r="W128" i="14" s="1"/>
  <c r="AU88" i="13"/>
  <c r="AU89" i="13" s="1"/>
  <c r="AU90" i="13" s="1"/>
  <c r="AU91" i="13" s="1"/>
  <c r="AU92" i="13" s="1"/>
  <c r="AU93" i="13" s="1"/>
  <c r="AU94" i="13" s="1"/>
  <c r="AU95" i="13" s="1"/>
  <c r="AU96" i="13" s="1"/>
  <c r="AU97" i="13" s="1"/>
  <c r="AU98" i="13" s="1"/>
  <c r="AU99" i="13" s="1"/>
  <c r="AU100" i="13" s="1"/>
  <c r="AU101" i="13" s="1"/>
  <c r="AU102" i="13" s="1"/>
  <c r="AU103" i="13" s="1"/>
  <c r="CQ88" i="14"/>
  <c r="CQ89" i="14" s="1"/>
  <c r="CQ90" i="14" s="1"/>
  <c r="CQ91" i="14" s="1"/>
  <c r="CQ92" i="14" s="1"/>
  <c r="CQ93" i="14" s="1"/>
  <c r="CQ94" i="14" s="1"/>
  <c r="CQ95" i="14" s="1"/>
  <c r="CQ96" i="14" s="1"/>
  <c r="CQ97" i="14" s="1"/>
  <c r="CQ98" i="14" s="1"/>
  <c r="CQ99" i="14" s="1"/>
  <c r="CQ100" i="14" s="1"/>
  <c r="CQ101" i="14" s="1"/>
  <c r="CQ102" i="14" s="1"/>
  <c r="CQ103" i="14" s="1"/>
  <c r="CP88" i="13"/>
  <c r="CP89" i="13" s="1"/>
  <c r="CP90" i="13" s="1"/>
  <c r="CP91" i="13" s="1"/>
  <c r="CP92" i="13" s="1"/>
  <c r="CP93" i="13" s="1"/>
  <c r="CP94" i="13" s="1"/>
  <c r="CP95" i="13" s="1"/>
  <c r="CP96" i="13" s="1"/>
  <c r="CP97" i="13" s="1"/>
  <c r="CP98" i="13" s="1"/>
  <c r="CP99" i="13" s="1"/>
  <c r="CP100" i="13" s="1"/>
  <c r="CP101" i="13" s="1"/>
  <c r="CP102" i="13" s="1"/>
  <c r="CP103" i="13" s="1"/>
  <c r="BR88" i="13"/>
  <c r="BR89" i="13" s="1"/>
  <c r="BR90" i="13" s="1"/>
  <c r="BR91" i="13" s="1"/>
  <c r="BR92" i="13" s="1"/>
  <c r="BR93" i="13" s="1"/>
  <c r="BR94" i="13" s="1"/>
  <c r="BR95" i="13" s="1"/>
  <c r="BR96" i="13" s="1"/>
  <c r="BR97" i="13" s="1"/>
  <c r="BR98" i="13" s="1"/>
  <c r="BR99" i="13" s="1"/>
  <c r="BR100" i="13" s="1"/>
  <c r="BR101" i="13" s="1"/>
  <c r="BR102" i="13" s="1"/>
  <c r="BR103" i="13" s="1"/>
  <c r="W113" i="15"/>
  <c r="W114" i="15" s="1"/>
  <c r="W115" i="15" s="1"/>
  <c r="W116" i="15" s="1"/>
  <c r="W117" i="15" s="1"/>
  <c r="W118" i="15" s="1"/>
  <c r="W119" i="15" s="1"/>
  <c r="W120" i="15" s="1"/>
  <c r="W121" i="15" s="1"/>
  <c r="W122" i="15" s="1"/>
  <c r="W123" i="15" s="1"/>
  <c r="W124" i="15" s="1"/>
  <c r="W125" i="15" s="1"/>
  <c r="W126" i="15" s="1"/>
  <c r="W127" i="15" s="1"/>
  <c r="W128" i="15" s="1"/>
  <c r="V88" i="16"/>
  <c r="V89" i="16" s="1"/>
  <c r="V90" i="16" s="1"/>
  <c r="V91" i="16" s="1"/>
  <c r="V92" i="16" s="1"/>
  <c r="V93" i="16" s="1"/>
  <c r="V94" i="16" s="1"/>
  <c r="V95" i="16" s="1"/>
  <c r="V96" i="16" s="1"/>
  <c r="V97" i="16" s="1"/>
  <c r="V98" i="16" s="1"/>
  <c r="V99" i="16" s="1"/>
  <c r="V100" i="16" s="1"/>
  <c r="V101" i="16" s="1"/>
  <c r="V102" i="16" s="1"/>
  <c r="V103" i="16" s="1"/>
  <c r="DO88" i="15"/>
  <c r="DO89" i="15" s="1"/>
  <c r="DO90" i="15" s="1"/>
  <c r="DO91" i="15" s="1"/>
  <c r="DO92" i="15" s="1"/>
  <c r="DO93" i="15" s="1"/>
  <c r="DO94" i="15" s="1"/>
  <c r="DO95" i="15" s="1"/>
  <c r="DO96" i="15" s="1"/>
  <c r="DO97" i="15" s="1"/>
  <c r="DO98" i="15" s="1"/>
  <c r="DO99" i="15" s="1"/>
  <c r="DO100" i="15" s="1"/>
  <c r="DO101" i="15" s="1"/>
  <c r="DO102" i="15" s="1"/>
  <c r="DO103" i="15" s="1"/>
  <c r="DN113" i="14"/>
  <c r="DN114" i="14" s="1"/>
  <c r="DN115" i="14" s="1"/>
  <c r="DN116" i="14" s="1"/>
  <c r="DN117" i="14" s="1"/>
  <c r="DN118" i="14" s="1"/>
  <c r="DN119" i="14" s="1"/>
  <c r="DN120" i="14" s="1"/>
  <c r="DN121" i="14" s="1"/>
  <c r="DN122" i="14" s="1"/>
  <c r="DN123" i="14" s="1"/>
  <c r="DN124" i="14" s="1"/>
  <c r="DN125" i="14" s="1"/>
  <c r="DN126" i="14" s="1"/>
  <c r="DN127" i="14" s="1"/>
  <c r="DN128" i="14" s="1"/>
  <c r="BR113" i="15"/>
  <c r="BR114" i="15" s="1"/>
  <c r="BR115" i="15" s="1"/>
  <c r="BR116" i="15" s="1"/>
  <c r="BR117" i="15" s="1"/>
  <c r="BR118" i="15" s="1"/>
  <c r="BR119" i="15" s="1"/>
  <c r="BR120" i="15" s="1"/>
  <c r="BR121" i="15" s="1"/>
  <c r="BR122" i="15" s="1"/>
  <c r="BR123" i="15" s="1"/>
  <c r="BR124" i="15" s="1"/>
  <c r="BR125" i="15" s="1"/>
  <c r="BR126" i="15" s="1"/>
  <c r="BR127" i="15" s="1"/>
  <c r="BR128" i="15" s="1"/>
  <c r="V113" i="14"/>
  <c r="V114" i="14" s="1"/>
  <c r="V115" i="14" s="1"/>
  <c r="V116" i="14" s="1"/>
  <c r="V117" i="14" s="1"/>
  <c r="V118" i="14" s="1"/>
  <c r="V119" i="14" s="1"/>
  <c r="V120" i="14" s="1"/>
  <c r="V121" i="14" s="1"/>
  <c r="V122" i="14" s="1"/>
  <c r="V123" i="14" s="1"/>
  <c r="V124" i="14" s="1"/>
  <c r="V125" i="14" s="1"/>
  <c r="V126" i="14" s="1"/>
  <c r="V127" i="14" s="1"/>
  <c r="V128" i="14" s="1"/>
  <c r="DN113" i="13"/>
  <c r="DN114" i="13" s="1"/>
  <c r="DN115" i="13" s="1"/>
  <c r="DN116" i="13" s="1"/>
  <c r="DN117" i="13" s="1"/>
  <c r="DN118" i="13" s="1"/>
  <c r="DN119" i="13" s="1"/>
  <c r="DN120" i="13" s="1"/>
  <c r="DN121" i="13" s="1"/>
  <c r="DN122" i="13" s="1"/>
  <c r="DN123" i="13" s="1"/>
  <c r="DN124" i="13" s="1"/>
  <c r="DN125" i="13" s="1"/>
  <c r="DN126" i="13" s="1"/>
  <c r="DN127" i="13" s="1"/>
  <c r="DN128" i="13" s="1"/>
  <c r="BR88" i="14"/>
  <c r="BR89" i="14" s="1"/>
  <c r="BR90" i="14" s="1"/>
  <c r="BR91" i="14" s="1"/>
  <c r="BR92" i="14" s="1"/>
  <c r="BR93" i="14" s="1"/>
  <c r="BR94" i="14" s="1"/>
  <c r="BR95" i="14" s="1"/>
  <c r="BR96" i="14" s="1"/>
  <c r="BR97" i="14" s="1"/>
  <c r="BR98" i="14" s="1"/>
  <c r="BR99" i="14" s="1"/>
  <c r="BR100" i="14" s="1"/>
  <c r="BR101" i="14" s="1"/>
  <c r="BR102" i="14" s="1"/>
  <c r="BR103" i="14" s="1"/>
  <c r="DN88" i="15"/>
  <c r="DN89" i="15" s="1"/>
  <c r="DN90" i="15" s="1"/>
  <c r="DN91" i="15" s="1"/>
  <c r="DN92" i="15" s="1"/>
  <c r="DN93" i="15" s="1"/>
  <c r="DN94" i="15" s="1"/>
  <c r="DN95" i="15" s="1"/>
  <c r="DN96" i="15" s="1"/>
  <c r="DN97" i="15" s="1"/>
  <c r="DN98" i="15" s="1"/>
  <c r="DN99" i="15" s="1"/>
  <c r="DN100" i="15" s="1"/>
  <c r="DN101" i="15" s="1"/>
  <c r="DN102" i="15" s="1"/>
  <c r="DN103" i="15" s="1"/>
  <c r="CQ113" i="16"/>
  <c r="CQ114" i="16" s="1"/>
  <c r="CQ115" i="16" s="1"/>
  <c r="CQ116" i="16" s="1"/>
  <c r="CQ117" i="16" s="1"/>
  <c r="CQ118" i="16" s="1"/>
  <c r="CQ119" i="16" s="1"/>
  <c r="CQ120" i="16" s="1"/>
  <c r="CQ121" i="16" s="1"/>
  <c r="CQ122" i="16" s="1"/>
  <c r="CQ123" i="16" s="1"/>
  <c r="CQ124" i="16" s="1"/>
  <c r="CQ125" i="16" s="1"/>
  <c r="CQ126" i="16" s="1"/>
  <c r="CQ127" i="16" s="1"/>
  <c r="CQ128" i="16" s="1"/>
  <c r="CG113" i="15"/>
  <c r="CL113" i="15" s="1"/>
  <c r="CO113" i="15"/>
  <c r="CO114" i="15" s="1"/>
  <c r="CO115" i="15" s="1"/>
  <c r="CO116" i="15" s="1"/>
  <c r="CO117" i="15" s="1"/>
  <c r="CO118" i="15" s="1"/>
  <c r="CO119" i="15" s="1"/>
  <c r="CO120" i="15" s="1"/>
  <c r="CO121" i="15" s="1"/>
  <c r="CO122" i="15" s="1"/>
  <c r="CO123" i="15" s="1"/>
  <c r="CO124" i="15" s="1"/>
  <c r="CO125" i="15" s="1"/>
  <c r="CO126" i="15" s="1"/>
  <c r="CO127" i="15" s="1"/>
  <c r="CO128" i="15" s="1"/>
  <c r="AF162" i="15" s="1"/>
  <c r="AF163" i="15" s="1"/>
  <c r="AF165" i="15" s="1"/>
  <c r="AF167" i="15" s="1"/>
  <c r="BS113" i="13"/>
  <c r="BS114" i="13" s="1"/>
  <c r="BS115" i="13" s="1"/>
  <c r="BS116" i="13" s="1"/>
  <c r="BS117" i="13" s="1"/>
  <c r="BS118" i="13" s="1"/>
  <c r="BS119" i="13" s="1"/>
  <c r="BS120" i="13" s="1"/>
  <c r="BS121" i="13" s="1"/>
  <c r="BS122" i="13" s="1"/>
  <c r="BS123" i="13" s="1"/>
  <c r="BS124" i="13" s="1"/>
  <c r="BS125" i="13" s="1"/>
  <c r="BS126" i="13" s="1"/>
  <c r="BS127" i="13" s="1"/>
  <c r="BS128" i="13" s="1"/>
  <c r="BR113" i="13"/>
  <c r="BR114" i="13" s="1"/>
  <c r="BR115" i="13" s="1"/>
  <c r="BR116" i="13" s="1"/>
  <c r="BR117" i="13" s="1"/>
  <c r="BR118" i="13" s="1"/>
  <c r="BR119" i="13" s="1"/>
  <c r="BR120" i="13" s="1"/>
  <c r="BR121" i="13" s="1"/>
  <c r="BR122" i="13" s="1"/>
  <c r="BR123" i="13" s="1"/>
  <c r="BR124" i="13" s="1"/>
  <c r="BR125" i="13" s="1"/>
  <c r="BR126" i="13" s="1"/>
  <c r="BR127" i="13" s="1"/>
  <c r="BR128" i="13" s="1"/>
  <c r="V88" i="15"/>
  <c r="V89" i="15" s="1"/>
  <c r="V90" i="15" s="1"/>
  <c r="V91" i="15" s="1"/>
  <c r="V92" i="15" s="1"/>
  <c r="V93" i="15" s="1"/>
  <c r="V94" i="15" s="1"/>
  <c r="V95" i="15" s="1"/>
  <c r="V96" i="15" s="1"/>
  <c r="V97" i="15" s="1"/>
  <c r="V98" i="15" s="1"/>
  <c r="V99" i="15" s="1"/>
  <c r="V100" i="15" s="1"/>
  <c r="V101" i="15" s="1"/>
  <c r="V102" i="15" s="1"/>
  <c r="V103" i="15" s="1"/>
  <c r="DN88" i="13"/>
  <c r="DN89" i="13" s="1"/>
  <c r="DN90" i="13" s="1"/>
  <c r="DN91" i="13" s="1"/>
  <c r="DN92" i="13" s="1"/>
  <c r="DN93" i="13" s="1"/>
  <c r="DN94" i="13" s="1"/>
  <c r="DN95" i="13" s="1"/>
  <c r="DN96" i="13" s="1"/>
  <c r="DN97" i="13" s="1"/>
  <c r="DN98" i="13" s="1"/>
  <c r="DN99" i="13" s="1"/>
  <c r="DN100" i="13" s="1"/>
  <c r="DN101" i="13" s="1"/>
  <c r="DN102" i="13" s="1"/>
  <c r="DN103" i="13" s="1"/>
  <c r="AU113" i="13"/>
  <c r="AU114" i="13" s="1"/>
  <c r="AU115" i="13" s="1"/>
  <c r="AU116" i="13" s="1"/>
  <c r="AU117" i="13" s="1"/>
  <c r="AU118" i="13" s="1"/>
  <c r="AU119" i="13" s="1"/>
  <c r="AU120" i="13" s="1"/>
  <c r="AU121" i="13" s="1"/>
  <c r="AU122" i="13" s="1"/>
  <c r="AU123" i="13" s="1"/>
  <c r="AU124" i="13" s="1"/>
  <c r="AU125" i="13" s="1"/>
  <c r="AU126" i="13" s="1"/>
  <c r="AU127" i="13" s="1"/>
  <c r="AU128" i="13" s="1"/>
  <c r="AJ113" i="15"/>
  <c r="AO113" i="15" s="1"/>
  <c r="DN113" i="15"/>
  <c r="DN114" i="15" s="1"/>
  <c r="DN115" i="15" s="1"/>
  <c r="DN116" i="15" s="1"/>
  <c r="DN117" i="15" s="1"/>
  <c r="DN118" i="15" s="1"/>
  <c r="DN119" i="15" s="1"/>
  <c r="DN120" i="15" s="1"/>
  <c r="DN121" i="15" s="1"/>
  <c r="DN122" i="15" s="1"/>
  <c r="DN123" i="15" s="1"/>
  <c r="DN124" i="15" s="1"/>
  <c r="DN125" i="15" s="1"/>
  <c r="DN126" i="15" s="1"/>
  <c r="DN127" i="15" s="1"/>
  <c r="DN128" i="15" s="1"/>
  <c r="BR88" i="15"/>
  <c r="BR89" i="15" s="1"/>
  <c r="BR90" i="15" s="1"/>
  <c r="BR91" i="15" s="1"/>
  <c r="BR92" i="15" s="1"/>
  <c r="BR93" i="15" s="1"/>
  <c r="BR94" i="15" s="1"/>
  <c r="BR95" i="15" s="1"/>
  <c r="BR96" i="15" s="1"/>
  <c r="BR97" i="15" s="1"/>
  <c r="BR98" i="15" s="1"/>
  <c r="BR99" i="15" s="1"/>
  <c r="BR100" i="15" s="1"/>
  <c r="BR101" i="15" s="1"/>
  <c r="BR102" i="15" s="1"/>
  <c r="BR103" i="15" s="1"/>
  <c r="AT88" i="14"/>
  <c r="AT89" i="14" s="1"/>
  <c r="AT90" i="14" s="1"/>
  <c r="AT91" i="14" s="1"/>
  <c r="AT92" i="14" s="1"/>
  <c r="AT93" i="14" s="1"/>
  <c r="AT94" i="14" s="1"/>
  <c r="AT95" i="14" s="1"/>
  <c r="AT96" i="14" s="1"/>
  <c r="AT97" i="14" s="1"/>
  <c r="AT98" i="14" s="1"/>
  <c r="AT99" i="14" s="1"/>
  <c r="AT100" i="14" s="1"/>
  <c r="AT101" i="14" s="1"/>
  <c r="AT102" i="14" s="1"/>
  <c r="AT103" i="14" s="1"/>
  <c r="CQ113" i="14"/>
  <c r="CQ114" i="14" s="1"/>
  <c r="CQ115" i="14" s="1"/>
  <c r="CQ116" i="14" s="1"/>
  <c r="CQ117" i="14" s="1"/>
  <c r="CQ118" i="14" s="1"/>
  <c r="CQ119" i="14" s="1"/>
  <c r="CQ120" i="14" s="1"/>
  <c r="CQ121" i="14" s="1"/>
  <c r="CQ122" i="14" s="1"/>
  <c r="CQ123" i="14" s="1"/>
  <c r="CQ124" i="14" s="1"/>
  <c r="CQ125" i="14" s="1"/>
  <c r="CQ126" i="14" s="1"/>
  <c r="CQ127" i="14" s="1"/>
  <c r="CQ128" i="14" s="1"/>
  <c r="V113" i="16"/>
  <c r="V114" i="16" s="1"/>
  <c r="V115" i="16" s="1"/>
  <c r="V116" i="16" s="1"/>
  <c r="V117" i="16" s="1"/>
  <c r="V118" i="16" s="1"/>
  <c r="V119" i="16" s="1"/>
  <c r="V120" i="16" s="1"/>
  <c r="V121" i="16" s="1"/>
  <c r="V122" i="16" s="1"/>
  <c r="V123" i="16" s="1"/>
  <c r="V124" i="16" s="1"/>
  <c r="V125" i="16" s="1"/>
  <c r="V126" i="16" s="1"/>
  <c r="V127" i="16" s="1"/>
  <c r="V128" i="16" s="1"/>
  <c r="AT113" i="13"/>
  <c r="AT114" i="13" s="1"/>
  <c r="AT115" i="13" s="1"/>
  <c r="AT116" i="13" s="1"/>
  <c r="AT117" i="13" s="1"/>
  <c r="AT118" i="13" s="1"/>
  <c r="AT119" i="13" s="1"/>
  <c r="AT120" i="13" s="1"/>
  <c r="AT121" i="13" s="1"/>
  <c r="AT122" i="13" s="1"/>
  <c r="AT123" i="13" s="1"/>
  <c r="AT124" i="13" s="1"/>
  <c r="AT125" i="13" s="1"/>
  <c r="AT126" i="13" s="1"/>
  <c r="AT127" i="13" s="1"/>
  <c r="AT128" i="13" s="1"/>
  <c r="CP113" i="14"/>
  <c r="CP114" i="14" s="1"/>
  <c r="CP115" i="14" s="1"/>
  <c r="CP116" i="14" s="1"/>
  <c r="CP117" i="14" s="1"/>
  <c r="CP118" i="14" s="1"/>
  <c r="CP119" i="14" s="1"/>
  <c r="CP120" i="14" s="1"/>
  <c r="CP121" i="14" s="1"/>
  <c r="CP122" i="14" s="1"/>
  <c r="CP123" i="14" s="1"/>
  <c r="CP124" i="14" s="1"/>
  <c r="CP125" i="14" s="1"/>
  <c r="CP126" i="14" s="1"/>
  <c r="CP127" i="14" s="1"/>
  <c r="CP128" i="14" s="1"/>
  <c r="DE113" i="15"/>
  <c r="DJ113" i="15" s="1"/>
  <c r="DM113" i="15"/>
  <c r="DM114" i="15" s="1"/>
  <c r="DM115" i="15" s="1"/>
  <c r="DM116" i="15" s="1"/>
  <c r="DM117" i="15" s="1"/>
  <c r="DM118" i="15" s="1"/>
  <c r="DM119" i="15" s="1"/>
  <c r="DM120" i="15" s="1"/>
  <c r="DM121" i="15" s="1"/>
  <c r="DM122" i="15" s="1"/>
  <c r="DM123" i="15" s="1"/>
  <c r="DM124" i="15" s="1"/>
  <c r="DM125" i="15" s="1"/>
  <c r="DM126" i="15" s="1"/>
  <c r="DM127" i="15" s="1"/>
  <c r="DM128" i="15" s="1"/>
  <c r="AG162" i="15" s="1"/>
  <c r="AG163" i="15" s="1"/>
  <c r="AG165" i="15" s="1"/>
  <c r="AG167" i="15" s="1"/>
  <c r="BS113" i="14"/>
  <c r="BS114" i="14" s="1"/>
  <c r="BS115" i="14" s="1"/>
  <c r="BS116" i="14" s="1"/>
  <c r="BS117" i="14" s="1"/>
  <c r="BS118" i="14" s="1"/>
  <c r="BS119" i="14" s="1"/>
  <c r="BS120" i="14" s="1"/>
  <c r="BS121" i="14" s="1"/>
  <c r="BS122" i="14" s="1"/>
  <c r="BS123" i="14" s="1"/>
  <c r="BS124" i="14" s="1"/>
  <c r="BS125" i="14" s="1"/>
  <c r="BS126" i="14" s="1"/>
  <c r="BS127" i="14" s="1"/>
  <c r="BS128" i="14" s="1"/>
  <c r="AU113" i="14"/>
  <c r="AU114" i="14" s="1"/>
  <c r="AU115" i="14" s="1"/>
  <c r="AU116" i="14" s="1"/>
  <c r="AU117" i="14" s="1"/>
  <c r="AU118" i="14" s="1"/>
  <c r="AU119" i="14" s="1"/>
  <c r="AU120" i="14" s="1"/>
  <c r="AU121" i="14" s="1"/>
  <c r="AU122" i="14" s="1"/>
  <c r="AU123" i="14" s="1"/>
  <c r="AU124" i="14" s="1"/>
  <c r="AU125" i="14" s="1"/>
  <c r="AU126" i="14" s="1"/>
  <c r="AU127" i="14" s="1"/>
  <c r="AU128" i="14" s="1"/>
  <c r="BS88" i="15"/>
  <c r="BS89" i="15" s="1"/>
  <c r="BS90" i="15" s="1"/>
  <c r="BS91" i="15" s="1"/>
  <c r="BS92" i="15" s="1"/>
  <c r="BS93" i="15" s="1"/>
  <c r="BS94" i="15" s="1"/>
  <c r="BS95" i="15" s="1"/>
  <c r="BS96" i="15" s="1"/>
  <c r="BS97" i="15" s="1"/>
  <c r="BS98" i="15" s="1"/>
  <c r="BS99" i="15" s="1"/>
  <c r="BS100" i="15" s="1"/>
  <c r="BS101" i="15" s="1"/>
  <c r="BS102" i="15" s="1"/>
  <c r="BS103" i="15" s="1"/>
  <c r="CQ88" i="13"/>
  <c r="CQ89" i="13" s="1"/>
  <c r="CQ90" i="13" s="1"/>
  <c r="CQ91" i="13" s="1"/>
  <c r="CQ92" i="13" s="1"/>
  <c r="CQ93" i="13" s="1"/>
  <c r="CQ94" i="13" s="1"/>
  <c r="CQ95" i="13" s="1"/>
  <c r="CQ96" i="13" s="1"/>
  <c r="CQ97" i="13" s="1"/>
  <c r="CQ98" i="13" s="1"/>
  <c r="CQ99" i="13" s="1"/>
  <c r="CQ100" i="13" s="1"/>
  <c r="CQ101" i="13" s="1"/>
  <c r="CQ102" i="13" s="1"/>
  <c r="CQ103" i="13" s="1"/>
  <c r="BS88" i="13"/>
  <c r="BS89" i="13" s="1"/>
  <c r="BS90" i="13" s="1"/>
  <c r="BS91" i="13" s="1"/>
  <c r="BS92" i="13" s="1"/>
  <c r="BS93" i="13" s="1"/>
  <c r="BS94" i="13" s="1"/>
  <c r="BS95" i="13" s="1"/>
  <c r="BS96" i="13" s="1"/>
  <c r="BS97" i="13" s="1"/>
  <c r="BS98" i="13" s="1"/>
  <c r="BS99" i="13" s="1"/>
  <c r="BS100" i="13" s="1"/>
  <c r="BS101" i="13" s="1"/>
  <c r="BS102" i="13" s="1"/>
  <c r="BS103" i="13" s="1"/>
  <c r="CQ113" i="13"/>
  <c r="CQ114" i="13" s="1"/>
  <c r="CQ115" i="13" s="1"/>
  <c r="CQ116" i="13" s="1"/>
  <c r="CQ117" i="13" s="1"/>
  <c r="CQ118" i="13" s="1"/>
  <c r="CQ119" i="13" s="1"/>
  <c r="CQ120" i="13" s="1"/>
  <c r="CQ121" i="13" s="1"/>
  <c r="CQ122" i="13" s="1"/>
  <c r="CQ123" i="13" s="1"/>
  <c r="CQ124" i="13" s="1"/>
  <c r="CQ125" i="13" s="1"/>
  <c r="CQ126" i="13" s="1"/>
  <c r="CQ127" i="13" s="1"/>
  <c r="CQ128" i="13" s="1"/>
  <c r="DO113" i="13"/>
  <c r="DO114" i="13" s="1"/>
  <c r="DO115" i="13" s="1"/>
  <c r="DO116" i="13" s="1"/>
  <c r="DO117" i="13" s="1"/>
  <c r="DO118" i="13" s="1"/>
  <c r="DO119" i="13" s="1"/>
  <c r="DO120" i="13" s="1"/>
  <c r="DO121" i="13" s="1"/>
  <c r="DO122" i="13" s="1"/>
  <c r="DO123" i="13" s="1"/>
  <c r="DO124" i="13" s="1"/>
  <c r="DO125" i="13" s="1"/>
  <c r="DO126" i="13" s="1"/>
  <c r="DO127" i="13" s="1"/>
  <c r="DO128" i="13" s="1"/>
  <c r="W88" i="16"/>
  <c r="W89" i="16" s="1"/>
  <c r="W90" i="16" s="1"/>
  <c r="W91" i="16" s="1"/>
  <c r="W92" i="16" s="1"/>
  <c r="W93" i="16" s="1"/>
  <c r="W94" i="16" s="1"/>
  <c r="W95" i="16" s="1"/>
  <c r="W96" i="16" s="1"/>
  <c r="W97" i="16" s="1"/>
  <c r="W98" i="16" s="1"/>
  <c r="W99" i="16" s="1"/>
  <c r="W100" i="16" s="1"/>
  <c r="W101" i="16" s="1"/>
  <c r="W102" i="16" s="1"/>
  <c r="W103" i="16" s="1"/>
  <c r="CP113" i="15"/>
  <c r="CP114" i="15" s="1"/>
  <c r="CP115" i="15" s="1"/>
  <c r="CP116" i="15" s="1"/>
  <c r="CP117" i="15" s="1"/>
  <c r="CP118" i="15" s="1"/>
  <c r="CP119" i="15" s="1"/>
  <c r="CP120" i="15" s="1"/>
  <c r="CP121" i="15" s="1"/>
  <c r="CP122" i="15" s="1"/>
  <c r="CP123" i="15" s="1"/>
  <c r="CP124" i="15" s="1"/>
  <c r="CP125" i="15" s="1"/>
  <c r="CP126" i="15" s="1"/>
  <c r="CP127" i="15" s="1"/>
  <c r="CP128" i="15" s="1"/>
  <c r="V88" i="14"/>
  <c r="V89" i="14" s="1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V103" i="14" s="1"/>
  <c r="V88" i="13"/>
  <c r="V89" i="13" s="1"/>
  <c r="V90" i="13" s="1"/>
  <c r="V91" i="13" s="1"/>
  <c r="V92" i="13" s="1"/>
  <c r="V93" i="13" s="1"/>
  <c r="V94" i="13" s="1"/>
  <c r="V95" i="13" s="1"/>
  <c r="V96" i="13" s="1"/>
  <c r="V97" i="13" s="1"/>
  <c r="V98" i="13" s="1"/>
  <c r="V99" i="13" s="1"/>
  <c r="V100" i="13" s="1"/>
  <c r="V101" i="13" s="1"/>
  <c r="V102" i="13" s="1"/>
  <c r="V103" i="13" s="1"/>
  <c r="AT88" i="13"/>
  <c r="AT89" i="13" s="1"/>
  <c r="AT90" i="13" s="1"/>
  <c r="AT91" i="13" s="1"/>
  <c r="AT92" i="13" s="1"/>
  <c r="AT93" i="13" s="1"/>
  <c r="AT94" i="13" s="1"/>
  <c r="AT95" i="13" s="1"/>
  <c r="AT96" i="13" s="1"/>
  <c r="AT97" i="13" s="1"/>
  <c r="AT98" i="13" s="1"/>
  <c r="AT99" i="13" s="1"/>
  <c r="AT100" i="13" s="1"/>
  <c r="AT101" i="13" s="1"/>
  <c r="AT102" i="13" s="1"/>
  <c r="AT103" i="13" s="1"/>
  <c r="CP88" i="14"/>
  <c r="CP89" i="14" s="1"/>
  <c r="CP90" i="14" s="1"/>
  <c r="CP91" i="14" s="1"/>
  <c r="CP92" i="14" s="1"/>
  <c r="CP93" i="14" s="1"/>
  <c r="CP94" i="14" s="1"/>
  <c r="CP95" i="14" s="1"/>
  <c r="CP96" i="14" s="1"/>
  <c r="CP97" i="14" s="1"/>
  <c r="CP98" i="14" s="1"/>
  <c r="CP99" i="14" s="1"/>
  <c r="CP100" i="14" s="1"/>
  <c r="CP101" i="14" s="1"/>
  <c r="CP102" i="14" s="1"/>
  <c r="CP103" i="14" s="1"/>
  <c r="BR113" i="14"/>
  <c r="BR114" i="14" s="1"/>
  <c r="BR115" i="14" s="1"/>
  <c r="BR116" i="14" s="1"/>
  <c r="BR117" i="14" s="1"/>
  <c r="BR118" i="14" s="1"/>
  <c r="BR119" i="14" s="1"/>
  <c r="BR120" i="14" s="1"/>
  <c r="BR121" i="14" s="1"/>
  <c r="BR122" i="14" s="1"/>
  <c r="BR123" i="14" s="1"/>
  <c r="BR124" i="14" s="1"/>
  <c r="BR125" i="14" s="1"/>
  <c r="BR126" i="14" s="1"/>
  <c r="BR127" i="14" s="1"/>
  <c r="BR128" i="14" s="1"/>
  <c r="AT113" i="14"/>
  <c r="AT114" i="14" s="1"/>
  <c r="AT115" i="14" s="1"/>
  <c r="AT116" i="14" s="1"/>
  <c r="AT117" i="14" s="1"/>
  <c r="AT118" i="14" s="1"/>
  <c r="AT119" i="14" s="1"/>
  <c r="AT120" i="14" s="1"/>
  <c r="AT121" i="14" s="1"/>
  <c r="AT122" i="14" s="1"/>
  <c r="AT123" i="14" s="1"/>
  <c r="AT124" i="14" s="1"/>
  <c r="AT125" i="14" s="1"/>
  <c r="AT126" i="14" s="1"/>
  <c r="AT127" i="14" s="1"/>
  <c r="AT128" i="14" s="1"/>
  <c r="V113" i="13"/>
  <c r="V114" i="13" s="1"/>
  <c r="V115" i="13" s="1"/>
  <c r="V116" i="13" s="1"/>
  <c r="V117" i="13" s="1"/>
  <c r="V118" i="13" s="1"/>
  <c r="V119" i="13" s="1"/>
  <c r="V120" i="13" s="1"/>
  <c r="V121" i="13" s="1"/>
  <c r="V122" i="13" s="1"/>
  <c r="V123" i="13" s="1"/>
  <c r="V124" i="13" s="1"/>
  <c r="V125" i="13" s="1"/>
  <c r="V126" i="13" s="1"/>
  <c r="V127" i="13" s="1"/>
  <c r="V128" i="13" s="1"/>
  <c r="W113" i="16"/>
  <c r="W114" i="16" s="1"/>
  <c r="W115" i="16" s="1"/>
  <c r="W116" i="16" s="1"/>
  <c r="W117" i="16" s="1"/>
  <c r="W118" i="16" s="1"/>
  <c r="W119" i="16" s="1"/>
  <c r="W120" i="16" s="1"/>
  <c r="W121" i="16" s="1"/>
  <c r="W122" i="16" s="1"/>
  <c r="W123" i="16" s="1"/>
  <c r="W124" i="16" s="1"/>
  <c r="W125" i="16" s="1"/>
  <c r="W126" i="16" s="1"/>
  <c r="W127" i="16" s="1"/>
  <c r="W128" i="16" s="1"/>
  <c r="CP113" i="13"/>
  <c r="CP114" i="13" s="1"/>
  <c r="CP115" i="13" s="1"/>
  <c r="CP116" i="13" s="1"/>
  <c r="CP117" i="13" s="1"/>
  <c r="CP118" i="13" s="1"/>
  <c r="CP119" i="13" s="1"/>
  <c r="CP120" i="13" s="1"/>
  <c r="CP121" i="13" s="1"/>
  <c r="CP122" i="13" s="1"/>
  <c r="CP123" i="13" s="1"/>
  <c r="CP124" i="13" s="1"/>
  <c r="CP125" i="13" s="1"/>
  <c r="CP126" i="13" s="1"/>
  <c r="CP127" i="13" s="1"/>
  <c r="CP128" i="13" s="1"/>
  <c r="DO88" i="14"/>
  <c r="DO89" i="14" s="1"/>
  <c r="DO90" i="14" s="1"/>
  <c r="DO91" i="14" s="1"/>
  <c r="DO92" i="14" s="1"/>
  <c r="DO93" i="14" s="1"/>
  <c r="DO94" i="14" s="1"/>
  <c r="DO95" i="14" s="1"/>
  <c r="DO96" i="14" s="1"/>
  <c r="DO97" i="14" s="1"/>
  <c r="DO98" i="14" s="1"/>
  <c r="DO99" i="14" s="1"/>
  <c r="DO100" i="14" s="1"/>
  <c r="DO101" i="14" s="1"/>
  <c r="DO102" i="14" s="1"/>
  <c r="DO103" i="14" s="1"/>
  <c r="DN88" i="14"/>
  <c r="DN89" i="14" s="1"/>
  <c r="DN90" i="14" s="1"/>
  <c r="DN91" i="14" s="1"/>
  <c r="DN92" i="14" s="1"/>
  <c r="DN93" i="14" s="1"/>
  <c r="DN94" i="14" s="1"/>
  <c r="DN95" i="14" s="1"/>
  <c r="DN96" i="14" s="1"/>
  <c r="DN97" i="14" s="1"/>
  <c r="DN98" i="14" s="1"/>
  <c r="DN99" i="14" s="1"/>
  <c r="DN100" i="14" s="1"/>
  <c r="DN101" i="14" s="1"/>
  <c r="DN102" i="14" s="1"/>
  <c r="DN103" i="14" s="1"/>
  <c r="AU113" i="16"/>
  <c r="AU114" i="16" s="1"/>
  <c r="AU115" i="16" s="1"/>
  <c r="AU116" i="16" s="1"/>
  <c r="AU117" i="16" s="1"/>
  <c r="AU118" i="16" s="1"/>
  <c r="AU119" i="16" s="1"/>
  <c r="AU120" i="16" s="1"/>
  <c r="AU121" i="16" s="1"/>
  <c r="AU122" i="16" s="1"/>
  <c r="AU123" i="16" s="1"/>
  <c r="AU124" i="16" s="1"/>
  <c r="AU125" i="16" s="1"/>
  <c r="AU126" i="16" s="1"/>
  <c r="AU127" i="16" s="1"/>
  <c r="AU128" i="16" s="1"/>
  <c r="BI113" i="15"/>
  <c r="BN113" i="15" s="1"/>
  <c r="BQ113" i="15"/>
  <c r="BQ114" i="15" s="1"/>
  <c r="BQ115" i="15" s="1"/>
  <c r="BQ116" i="15" s="1"/>
  <c r="BQ117" i="15" s="1"/>
  <c r="BQ118" i="15" s="1"/>
  <c r="BQ119" i="15" s="1"/>
  <c r="BQ120" i="15" s="1"/>
  <c r="BQ121" i="15" s="1"/>
  <c r="BQ122" i="15" s="1"/>
  <c r="BQ123" i="15" s="1"/>
  <c r="BQ124" i="15" s="1"/>
  <c r="BQ125" i="15" s="1"/>
  <c r="BQ126" i="15" s="1"/>
  <c r="BQ127" i="15" s="1"/>
  <c r="BQ128" i="15" s="1"/>
  <c r="AE162" i="15" s="1"/>
  <c r="AE163" i="15" s="1"/>
  <c r="AE165" i="15" s="1"/>
  <c r="AE167" i="15" s="1"/>
  <c r="W88" i="15"/>
  <c r="W89" i="15" s="1"/>
  <c r="W90" i="15" s="1"/>
  <c r="W91" i="15" s="1"/>
  <c r="W92" i="15" s="1"/>
  <c r="W93" i="15" s="1"/>
  <c r="W94" i="15" s="1"/>
  <c r="W95" i="15" s="1"/>
  <c r="W96" i="15" s="1"/>
  <c r="W97" i="15" s="1"/>
  <c r="W98" i="15" s="1"/>
  <c r="W99" i="15" s="1"/>
  <c r="W100" i="15" s="1"/>
  <c r="W101" i="15" s="1"/>
  <c r="W102" i="15" s="1"/>
  <c r="W103" i="15" s="1"/>
  <c r="AU88" i="14"/>
  <c r="AU89" i="14" s="1"/>
  <c r="AU90" i="14" s="1"/>
  <c r="AU91" i="14" s="1"/>
  <c r="AU92" i="14" s="1"/>
  <c r="AU93" i="14" s="1"/>
  <c r="AU94" i="14" s="1"/>
  <c r="AU95" i="14" s="1"/>
  <c r="AU96" i="14" s="1"/>
  <c r="AU97" i="14" s="1"/>
  <c r="AU98" i="14" s="1"/>
  <c r="AU99" i="14" s="1"/>
  <c r="AU100" i="14" s="1"/>
  <c r="AU101" i="14" s="1"/>
  <c r="AU102" i="14" s="1"/>
  <c r="AU103" i="14" s="1"/>
  <c r="BQ128" i="14"/>
  <c r="AE162" i="14" s="1"/>
  <c r="AF66" i="10"/>
  <c r="AF67" i="10" s="1"/>
  <c r="AF68" i="10" s="1"/>
  <c r="AF69" i="10" s="1"/>
  <c r="AF70" i="10" s="1"/>
  <c r="AF71" i="10" s="1"/>
  <c r="AF72" i="10" s="1"/>
  <c r="AF73" i="10" s="1"/>
  <c r="AF74" i="10" s="1"/>
  <c r="AF75" i="10" s="1"/>
  <c r="AF76" i="10" s="1"/>
  <c r="AF77" i="10" s="1"/>
  <c r="AF78" i="10" s="1"/>
  <c r="AF79" i="10" s="1"/>
  <c r="AF80" i="10" s="1"/>
  <c r="X71" i="2"/>
  <c r="T29" i="8" s="1"/>
  <c r="T27" i="8" s="1"/>
  <c r="BY64" i="15"/>
  <c r="BY65" i="15" s="1"/>
  <c r="BY66" i="15" s="1"/>
  <c r="BY67" i="15" s="1"/>
  <c r="BY68" i="15" s="1"/>
  <c r="BY69" i="15" s="1"/>
  <c r="BY70" i="15" s="1"/>
  <c r="BY71" i="15" s="1"/>
  <c r="BY72" i="15" s="1"/>
  <c r="BY73" i="15" s="1"/>
  <c r="BY74" i="15" s="1"/>
  <c r="BY75" i="15" s="1"/>
  <c r="BY76" i="15" s="1"/>
  <c r="BY77" i="15" s="1"/>
  <c r="BY78" i="15" s="1"/>
  <c r="BY64" i="13"/>
  <c r="BY65" i="13" s="1"/>
  <c r="BY66" i="13" s="1"/>
  <c r="BY67" i="13" s="1"/>
  <c r="BY68" i="13" s="1"/>
  <c r="BY69" i="13" s="1"/>
  <c r="BY70" i="13" s="1"/>
  <c r="BY71" i="13" s="1"/>
  <c r="BY72" i="13" s="1"/>
  <c r="BY73" i="13" s="1"/>
  <c r="BY74" i="13" s="1"/>
  <c r="BY75" i="13" s="1"/>
  <c r="BY76" i="13" s="1"/>
  <c r="BY77" i="13" s="1"/>
  <c r="BY78" i="13" s="1"/>
  <c r="AC164" i="14"/>
  <c r="AC166" i="14" s="1"/>
  <c r="AC168" i="14" s="1"/>
  <c r="Y164" i="13"/>
  <c r="Y166" i="13" s="1"/>
  <c r="Y168" i="13" s="1"/>
  <c r="CP113" i="16"/>
  <c r="CP114" i="16" s="1"/>
  <c r="CP115" i="16" s="1"/>
  <c r="CP116" i="16" s="1"/>
  <c r="CP117" i="16" s="1"/>
  <c r="CP118" i="16" s="1"/>
  <c r="CP119" i="16" s="1"/>
  <c r="CP120" i="16" s="1"/>
  <c r="CP121" i="16" s="1"/>
  <c r="CP122" i="16" s="1"/>
  <c r="CP123" i="16" s="1"/>
  <c r="CP124" i="16" s="1"/>
  <c r="CP125" i="16" s="1"/>
  <c r="CP126" i="16" s="1"/>
  <c r="CP127" i="16" s="1"/>
  <c r="CP128" i="16" s="1"/>
  <c r="BR113" i="16"/>
  <c r="BR114" i="16" s="1"/>
  <c r="BR115" i="16" s="1"/>
  <c r="BR116" i="16" s="1"/>
  <c r="BR117" i="16" s="1"/>
  <c r="BR118" i="16" s="1"/>
  <c r="BR119" i="16" s="1"/>
  <c r="BR120" i="16" s="1"/>
  <c r="BR121" i="16" s="1"/>
  <c r="BR122" i="16" s="1"/>
  <c r="BR123" i="16" s="1"/>
  <c r="BR124" i="16" s="1"/>
  <c r="BR125" i="16" s="1"/>
  <c r="BR126" i="16" s="1"/>
  <c r="BR127" i="16" s="1"/>
  <c r="BR128" i="16" s="1"/>
  <c r="AE164" i="13"/>
  <c r="E18" i="12" s="1"/>
  <c r="AA164" i="14"/>
  <c r="H24" i="12" s="1"/>
  <c r="M7" i="23"/>
  <c r="O7" i="23" s="1"/>
  <c r="O8" i="23" s="1"/>
  <c r="O9" i="23" s="1"/>
  <c r="O10" i="23" s="1"/>
  <c r="O11" i="23" s="1"/>
  <c r="O12" i="23" s="1"/>
  <c r="O13" i="23" s="1"/>
  <c r="O14" i="23" s="1"/>
  <c r="O15" i="23" s="1"/>
  <c r="O16" i="23" s="1"/>
  <c r="O17" i="23" s="1"/>
  <c r="O18" i="23" s="1"/>
  <c r="O19" i="23" s="1"/>
  <c r="O20" i="23" s="1"/>
  <c r="O21" i="23" s="1"/>
  <c r="O22" i="23" s="1"/>
  <c r="C29" i="23" s="1"/>
  <c r="N7" i="23"/>
  <c r="P7" i="23" s="1"/>
  <c r="P8" i="23" s="1"/>
  <c r="P9" i="23" s="1"/>
  <c r="P10" i="23" s="1"/>
  <c r="P11" i="23" s="1"/>
  <c r="P12" i="23" s="1"/>
  <c r="P13" i="23" s="1"/>
  <c r="P14" i="23" s="1"/>
  <c r="P15" i="23" s="1"/>
  <c r="P16" i="23" s="1"/>
  <c r="P17" i="23" s="1"/>
  <c r="P18" i="23" s="1"/>
  <c r="P19" i="23" s="1"/>
  <c r="P20" i="23" s="1"/>
  <c r="P21" i="23" s="1"/>
  <c r="P22" i="23" s="1"/>
  <c r="C30" i="23" s="1"/>
  <c r="AT113" i="16"/>
  <c r="AT114" i="16" s="1"/>
  <c r="AT115" i="16" s="1"/>
  <c r="AT116" i="16" s="1"/>
  <c r="AT117" i="16" s="1"/>
  <c r="AT118" i="16" s="1"/>
  <c r="AT119" i="16" s="1"/>
  <c r="AT120" i="16" s="1"/>
  <c r="AT121" i="16" s="1"/>
  <c r="AT122" i="16" s="1"/>
  <c r="AT123" i="16" s="1"/>
  <c r="AT124" i="16" s="1"/>
  <c r="AT125" i="16" s="1"/>
  <c r="AT126" i="16" s="1"/>
  <c r="AT127" i="16" s="1"/>
  <c r="AT128" i="16" s="1"/>
  <c r="DN113" i="16"/>
  <c r="DN114" i="16" s="1"/>
  <c r="DN115" i="16" s="1"/>
  <c r="DN116" i="16" s="1"/>
  <c r="DN117" i="16" s="1"/>
  <c r="DN118" i="16" s="1"/>
  <c r="DN119" i="16" s="1"/>
  <c r="DN120" i="16" s="1"/>
  <c r="DN121" i="16" s="1"/>
  <c r="DN122" i="16" s="1"/>
  <c r="DN123" i="16" s="1"/>
  <c r="DN124" i="16" s="1"/>
  <c r="DN125" i="16" s="1"/>
  <c r="DN126" i="16" s="1"/>
  <c r="DN127" i="16" s="1"/>
  <c r="DN128" i="16" s="1"/>
  <c r="Y65" i="10"/>
  <c r="AD65" i="10" s="1"/>
  <c r="AG164" i="14"/>
  <c r="D25" i="12" s="1"/>
  <c r="Z164" i="15"/>
  <c r="Z166" i="15" s="1"/>
  <c r="Z168" i="15" s="1"/>
  <c r="BS113" i="16"/>
  <c r="BS114" i="16" s="1"/>
  <c r="BS115" i="16" s="1"/>
  <c r="BS116" i="16" s="1"/>
  <c r="BS117" i="16" s="1"/>
  <c r="BS118" i="16" s="1"/>
  <c r="BS119" i="16" s="1"/>
  <c r="BS120" i="16" s="1"/>
  <c r="BS121" i="16" s="1"/>
  <c r="BS122" i="16" s="1"/>
  <c r="BS123" i="16" s="1"/>
  <c r="BS124" i="16" s="1"/>
  <c r="BS125" i="16" s="1"/>
  <c r="BS126" i="16" s="1"/>
  <c r="BS127" i="16" s="1"/>
  <c r="BS128" i="16" s="1"/>
  <c r="V64" i="15"/>
  <c r="V65" i="15" s="1"/>
  <c r="V66" i="15" s="1"/>
  <c r="V67" i="15" s="1"/>
  <c r="V68" i="15" s="1"/>
  <c r="V69" i="15" s="1"/>
  <c r="V70" i="15" s="1"/>
  <c r="V71" i="15" s="1"/>
  <c r="V72" i="15" s="1"/>
  <c r="V73" i="15" s="1"/>
  <c r="V74" i="15" s="1"/>
  <c r="V75" i="15" s="1"/>
  <c r="V76" i="15" s="1"/>
  <c r="V77" i="15" s="1"/>
  <c r="V78" i="15" s="1"/>
  <c r="S161" i="15" s="1"/>
  <c r="S164" i="15" s="1"/>
  <c r="V64" i="14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S161" i="14" s="1"/>
  <c r="S164" i="14" s="1"/>
  <c r="AV64" i="15"/>
  <c r="AV65" i="15" s="1"/>
  <c r="AV66" i="15" s="1"/>
  <c r="AV67" i="15" s="1"/>
  <c r="AV68" i="15" s="1"/>
  <c r="AV69" i="15" s="1"/>
  <c r="AV70" i="15" s="1"/>
  <c r="AV71" i="15" s="1"/>
  <c r="AV72" i="15" s="1"/>
  <c r="AV73" i="15" s="1"/>
  <c r="AV74" i="15" s="1"/>
  <c r="AV75" i="15" s="1"/>
  <c r="AV76" i="15" s="1"/>
  <c r="AV77" i="15" s="1"/>
  <c r="AV78" i="15" s="1"/>
  <c r="T161" i="15" s="1"/>
  <c r="T164" i="15" s="1"/>
  <c r="Z163" i="16"/>
  <c r="Z164" i="16"/>
  <c r="H38" i="12" s="1"/>
  <c r="X164" i="15"/>
  <c r="W164" i="16"/>
  <c r="F38" i="12" s="1"/>
  <c r="AB164" i="14"/>
  <c r="AB164" i="13"/>
  <c r="AG164" i="13"/>
  <c r="Y64" i="15"/>
  <c r="Y65" i="15" s="1"/>
  <c r="Y66" i="15" s="1"/>
  <c r="Y67" i="15" s="1"/>
  <c r="Y68" i="15" s="1"/>
  <c r="Y69" i="15" s="1"/>
  <c r="Y70" i="15" s="1"/>
  <c r="Y71" i="15" s="1"/>
  <c r="Y72" i="15" s="1"/>
  <c r="Y73" i="15" s="1"/>
  <c r="Y74" i="15" s="1"/>
  <c r="Y75" i="15" s="1"/>
  <c r="Y76" i="15" s="1"/>
  <c r="Y77" i="15" s="1"/>
  <c r="Y78" i="15" s="1"/>
  <c r="CY64" i="14"/>
  <c r="CY65" i="14" s="1"/>
  <c r="CY66" i="14" s="1"/>
  <c r="CY67" i="14" s="1"/>
  <c r="CY68" i="14" s="1"/>
  <c r="CY69" i="14" s="1"/>
  <c r="CY70" i="14" s="1"/>
  <c r="CY71" i="14" s="1"/>
  <c r="CY72" i="14" s="1"/>
  <c r="CY73" i="14" s="1"/>
  <c r="CY74" i="14" s="1"/>
  <c r="CY75" i="14" s="1"/>
  <c r="CY76" i="14" s="1"/>
  <c r="CY77" i="14" s="1"/>
  <c r="CY78" i="14" s="1"/>
  <c r="Y164" i="14"/>
  <c r="X164" i="14"/>
  <c r="AE164" i="16"/>
  <c r="H39" i="12" s="1"/>
  <c r="AD164" i="16"/>
  <c r="E39" i="12" s="1"/>
  <c r="AC164" i="15"/>
  <c r="AA164" i="13"/>
  <c r="X164" i="13"/>
  <c r="AD164" i="14"/>
  <c r="AB164" i="15"/>
  <c r="AD164" i="13"/>
  <c r="AA164" i="16"/>
  <c r="D38" i="12" s="1"/>
  <c r="AF164" i="16"/>
  <c r="D39" i="12" s="1"/>
  <c r="Z164" i="13"/>
  <c r="Z163" i="13"/>
  <c r="Z165" i="13" s="1"/>
  <c r="Z167" i="13" s="1"/>
  <c r="CV64" i="15"/>
  <c r="CV65" i="15" s="1"/>
  <c r="CV66" i="15" s="1"/>
  <c r="CV67" i="15" s="1"/>
  <c r="CV68" i="15" s="1"/>
  <c r="CV69" i="15" s="1"/>
  <c r="CV70" i="15" s="1"/>
  <c r="CV71" i="15" s="1"/>
  <c r="CV72" i="15" s="1"/>
  <c r="CV73" i="15" s="1"/>
  <c r="CV74" i="15" s="1"/>
  <c r="CV75" i="15" s="1"/>
  <c r="CV76" i="15" s="1"/>
  <c r="CV77" i="15" s="1"/>
  <c r="CV78" i="15" s="1"/>
  <c r="V161" i="15" s="1"/>
  <c r="V164" i="15" s="1"/>
  <c r="AY64" i="15"/>
  <c r="AY65" i="15" s="1"/>
  <c r="AY66" i="15" s="1"/>
  <c r="AY67" i="15" s="1"/>
  <c r="AY68" i="15" s="1"/>
  <c r="AY69" i="15" s="1"/>
  <c r="AY70" i="15" s="1"/>
  <c r="AY71" i="15" s="1"/>
  <c r="AY72" i="15" s="1"/>
  <c r="AY73" i="15" s="1"/>
  <c r="AY74" i="15" s="1"/>
  <c r="AY75" i="15" s="1"/>
  <c r="AY76" i="15" s="1"/>
  <c r="AY77" i="15" s="1"/>
  <c r="AY78" i="15" s="1"/>
  <c r="Z164" i="14"/>
  <c r="AC164" i="16"/>
  <c r="G39" i="12" s="1"/>
  <c r="AB164" i="16"/>
  <c r="F39" i="12" s="1"/>
  <c r="X164" i="16"/>
  <c r="G38" i="12" s="1"/>
  <c r="Y164" i="16"/>
  <c r="E38" i="12" s="1"/>
  <c r="AF164" i="13"/>
  <c r="AF164" i="14"/>
  <c r="AC164" i="13"/>
  <c r="DV64" i="16"/>
  <c r="DV65" i="16" s="1"/>
  <c r="DV66" i="16" s="1"/>
  <c r="DV67" i="16" s="1"/>
  <c r="DV68" i="16" s="1"/>
  <c r="DV69" i="16" s="1"/>
  <c r="DV70" i="16" s="1"/>
  <c r="DV71" i="16" s="1"/>
  <c r="DV72" i="16" s="1"/>
  <c r="DV73" i="16" s="1"/>
  <c r="DV74" i="16" s="1"/>
  <c r="DV75" i="16" s="1"/>
  <c r="DV76" i="16" s="1"/>
  <c r="DV77" i="16" s="1"/>
  <c r="DV78" i="16" s="1"/>
  <c r="V161" i="16" s="1"/>
  <c r="V164" i="16" s="1"/>
  <c r="D43" i="12" s="1"/>
  <c r="AV64" i="14"/>
  <c r="AV65" i="14" s="1"/>
  <c r="AV66" i="14" s="1"/>
  <c r="AV67" i="14" s="1"/>
  <c r="AV68" i="14" s="1"/>
  <c r="AV69" i="14" s="1"/>
  <c r="AV70" i="14" s="1"/>
  <c r="AV71" i="14" s="1"/>
  <c r="AV72" i="14" s="1"/>
  <c r="AV73" i="14" s="1"/>
  <c r="AV74" i="14" s="1"/>
  <c r="AV75" i="14" s="1"/>
  <c r="AV76" i="14" s="1"/>
  <c r="AV77" i="14" s="1"/>
  <c r="AV78" i="14" s="1"/>
  <c r="T161" i="14" s="1"/>
  <c r="T164" i="14" s="1"/>
  <c r="AG65" i="10"/>
  <c r="AG66" i="10" s="1"/>
  <c r="AG67" i="10" s="1"/>
  <c r="AG68" i="10" s="1"/>
  <c r="AG69" i="10" s="1"/>
  <c r="AG70" i="10" s="1"/>
  <c r="AG71" i="10" s="1"/>
  <c r="AG72" i="10" s="1"/>
  <c r="AG73" i="10" s="1"/>
  <c r="AG74" i="10" s="1"/>
  <c r="AG75" i="10" s="1"/>
  <c r="AG76" i="10" s="1"/>
  <c r="AG77" i="10" s="1"/>
  <c r="AG78" i="10" s="1"/>
  <c r="AG79" i="10" s="1"/>
  <c r="AG80" i="10" s="1"/>
  <c r="X65" i="10"/>
  <c r="AC65" i="10" s="1"/>
  <c r="CV64" i="16"/>
  <c r="CV65" i="16" s="1"/>
  <c r="CV66" i="16" s="1"/>
  <c r="CV67" i="16" s="1"/>
  <c r="CV68" i="16" s="1"/>
  <c r="CV69" i="16" s="1"/>
  <c r="CV70" i="16" s="1"/>
  <c r="CV71" i="16" s="1"/>
  <c r="CV72" i="16" s="1"/>
  <c r="CV73" i="16" s="1"/>
  <c r="CV74" i="16" s="1"/>
  <c r="CV75" i="16" s="1"/>
  <c r="CV76" i="16" s="1"/>
  <c r="CV77" i="16" s="1"/>
  <c r="CV78" i="16" s="1"/>
  <c r="U161" i="16" s="1"/>
  <c r="U164" i="16" s="1"/>
  <c r="H43" i="12" s="1"/>
  <c r="CV64" i="14"/>
  <c r="CV65" i="14" s="1"/>
  <c r="CV66" i="14" s="1"/>
  <c r="CV67" i="14" s="1"/>
  <c r="CV68" i="14" s="1"/>
  <c r="CV69" i="14" s="1"/>
  <c r="CV70" i="14" s="1"/>
  <c r="CV71" i="14" s="1"/>
  <c r="CV72" i="14" s="1"/>
  <c r="CV73" i="14" s="1"/>
  <c r="CV74" i="14" s="1"/>
  <c r="CV75" i="14" s="1"/>
  <c r="CV76" i="14" s="1"/>
  <c r="CV77" i="14" s="1"/>
  <c r="CV78" i="14" s="1"/>
  <c r="V161" i="14" s="1"/>
  <c r="V164" i="14" s="1"/>
  <c r="DY64" i="16"/>
  <c r="DY65" i="16" s="1"/>
  <c r="DY66" i="16" s="1"/>
  <c r="DY67" i="16" s="1"/>
  <c r="DY68" i="16" s="1"/>
  <c r="DY69" i="16" s="1"/>
  <c r="DY70" i="16" s="1"/>
  <c r="DY71" i="16" s="1"/>
  <c r="DY72" i="16" s="1"/>
  <c r="DY73" i="16" s="1"/>
  <c r="DY74" i="16" s="1"/>
  <c r="DY75" i="16" s="1"/>
  <c r="DY76" i="16" s="1"/>
  <c r="DY77" i="16" s="1"/>
  <c r="DY78" i="16" s="1"/>
  <c r="AT88" i="16"/>
  <c r="AT89" i="16" s="1"/>
  <c r="AT90" i="16" s="1"/>
  <c r="AT91" i="16" s="1"/>
  <c r="AT92" i="16" s="1"/>
  <c r="AT93" i="16" s="1"/>
  <c r="AT94" i="16" s="1"/>
  <c r="AT95" i="16" s="1"/>
  <c r="AT96" i="16" s="1"/>
  <c r="AT97" i="16" s="1"/>
  <c r="AT98" i="16" s="1"/>
  <c r="AT99" i="16" s="1"/>
  <c r="AT100" i="16" s="1"/>
  <c r="AT101" i="16" s="1"/>
  <c r="AT102" i="16" s="1"/>
  <c r="AT103" i="16" s="1"/>
  <c r="BV64" i="13"/>
  <c r="BV65" i="13" s="1"/>
  <c r="BV66" i="13" s="1"/>
  <c r="BV67" i="13" s="1"/>
  <c r="BV68" i="13" s="1"/>
  <c r="BV69" i="13" s="1"/>
  <c r="BV70" i="13" s="1"/>
  <c r="BV71" i="13" s="1"/>
  <c r="BV72" i="13" s="1"/>
  <c r="BV73" i="13" s="1"/>
  <c r="BV74" i="13" s="1"/>
  <c r="BV75" i="13" s="1"/>
  <c r="BV76" i="13" s="1"/>
  <c r="BV77" i="13" s="1"/>
  <c r="BV78" i="13" s="1"/>
  <c r="U161" i="13" s="1"/>
  <c r="U164" i="13" s="1"/>
  <c r="BY64" i="16"/>
  <c r="BY65" i="16" s="1"/>
  <c r="BY66" i="16" s="1"/>
  <c r="BY67" i="16" s="1"/>
  <c r="BY68" i="16" s="1"/>
  <c r="BY69" i="16" s="1"/>
  <c r="BY70" i="16" s="1"/>
  <c r="BY71" i="16" s="1"/>
  <c r="BY72" i="16" s="1"/>
  <c r="BY73" i="16" s="1"/>
  <c r="BY74" i="16" s="1"/>
  <c r="BY75" i="16" s="1"/>
  <c r="BY76" i="16" s="1"/>
  <c r="BY77" i="16" s="1"/>
  <c r="BY78" i="16" s="1"/>
  <c r="CO88" i="15"/>
  <c r="CO89" i="15" s="1"/>
  <c r="CO90" i="15" s="1"/>
  <c r="CO91" i="15" s="1"/>
  <c r="CO92" i="15" s="1"/>
  <c r="CO93" i="15" s="1"/>
  <c r="CO94" i="15" s="1"/>
  <c r="CO95" i="15" s="1"/>
  <c r="CO96" i="15" s="1"/>
  <c r="CO97" i="15" s="1"/>
  <c r="CO98" i="15" s="1"/>
  <c r="CO99" i="15" s="1"/>
  <c r="CO100" i="15" s="1"/>
  <c r="CO101" i="15" s="1"/>
  <c r="CO102" i="15" s="1"/>
  <c r="CO103" i="15" s="1"/>
  <c r="AA162" i="15" s="1"/>
  <c r="CF88" i="15"/>
  <c r="CK88" i="15" s="1"/>
  <c r="CG88" i="15"/>
  <c r="CL88" i="15" s="1"/>
  <c r="CP88" i="16"/>
  <c r="CP89" i="16" s="1"/>
  <c r="CP90" i="16" s="1"/>
  <c r="CP91" i="16" s="1"/>
  <c r="CP92" i="16" s="1"/>
  <c r="CP93" i="16" s="1"/>
  <c r="CP94" i="16" s="1"/>
  <c r="CP95" i="16" s="1"/>
  <c r="CP96" i="16" s="1"/>
  <c r="CP97" i="16" s="1"/>
  <c r="CP98" i="16" s="1"/>
  <c r="CP99" i="16" s="1"/>
  <c r="CP100" i="16" s="1"/>
  <c r="CP101" i="16" s="1"/>
  <c r="CP102" i="16" s="1"/>
  <c r="CP103" i="16" s="1"/>
  <c r="BV64" i="15"/>
  <c r="BV65" i="15" s="1"/>
  <c r="BV66" i="15" s="1"/>
  <c r="BV67" i="15" s="1"/>
  <c r="BV68" i="15" s="1"/>
  <c r="BV69" i="15" s="1"/>
  <c r="BV70" i="15" s="1"/>
  <c r="BV71" i="15" s="1"/>
  <c r="BV72" i="15" s="1"/>
  <c r="BV73" i="15" s="1"/>
  <c r="BV74" i="15" s="1"/>
  <c r="BV75" i="15" s="1"/>
  <c r="BV76" i="15" s="1"/>
  <c r="BV77" i="15" s="1"/>
  <c r="BV78" i="15" s="1"/>
  <c r="U161" i="15" s="1"/>
  <c r="U164" i="15" s="1"/>
  <c r="CY64" i="16"/>
  <c r="CY65" i="16" s="1"/>
  <c r="CY66" i="16" s="1"/>
  <c r="CY67" i="16" s="1"/>
  <c r="CY68" i="16" s="1"/>
  <c r="CY69" i="16" s="1"/>
  <c r="CY70" i="16" s="1"/>
  <c r="CY71" i="16" s="1"/>
  <c r="CY72" i="16" s="1"/>
  <c r="CY73" i="16" s="1"/>
  <c r="CY74" i="16" s="1"/>
  <c r="CY75" i="16" s="1"/>
  <c r="CY76" i="16" s="1"/>
  <c r="CY77" i="16" s="1"/>
  <c r="CY78" i="16" s="1"/>
  <c r="BV64" i="14"/>
  <c r="BV65" i="14" s="1"/>
  <c r="BV66" i="14" s="1"/>
  <c r="BV67" i="14" s="1"/>
  <c r="BV68" i="14" s="1"/>
  <c r="BV69" i="14" s="1"/>
  <c r="BV70" i="14" s="1"/>
  <c r="BV71" i="14" s="1"/>
  <c r="BV72" i="14" s="1"/>
  <c r="BV73" i="14" s="1"/>
  <c r="BV74" i="14" s="1"/>
  <c r="BV75" i="14" s="1"/>
  <c r="BV76" i="14" s="1"/>
  <c r="BV77" i="14" s="1"/>
  <c r="BV78" i="14" s="1"/>
  <c r="U161" i="14" s="1"/>
  <c r="U164" i="14" s="1"/>
  <c r="AJ88" i="15"/>
  <c r="AO88" i="15" s="1"/>
  <c r="AK88" i="15"/>
  <c r="AP88" i="15" s="1"/>
  <c r="AY64" i="16"/>
  <c r="AY65" i="16" s="1"/>
  <c r="AY66" i="16" s="1"/>
  <c r="AY67" i="16" s="1"/>
  <c r="AY68" i="16" s="1"/>
  <c r="AY69" i="16" s="1"/>
  <c r="AY70" i="16" s="1"/>
  <c r="AY71" i="16" s="1"/>
  <c r="AY72" i="16" s="1"/>
  <c r="AY73" i="16" s="1"/>
  <c r="AY74" i="16" s="1"/>
  <c r="AY75" i="16" s="1"/>
  <c r="AY76" i="16" s="1"/>
  <c r="AY77" i="16" s="1"/>
  <c r="AY78" i="16" s="1"/>
  <c r="DY64" i="14"/>
  <c r="DY65" i="14" s="1"/>
  <c r="DY66" i="14" s="1"/>
  <c r="DY67" i="14" s="1"/>
  <c r="DY68" i="14" s="1"/>
  <c r="DY69" i="14" s="1"/>
  <c r="DY70" i="14" s="1"/>
  <c r="DY71" i="14" s="1"/>
  <c r="DY72" i="14" s="1"/>
  <c r="DY73" i="14" s="1"/>
  <c r="DY74" i="14" s="1"/>
  <c r="DY75" i="14" s="1"/>
  <c r="DY76" i="14" s="1"/>
  <c r="DY77" i="14" s="1"/>
  <c r="DY78" i="14" s="1"/>
  <c r="DY64" i="15"/>
  <c r="DY65" i="15" s="1"/>
  <c r="DY66" i="15" s="1"/>
  <c r="DY67" i="15" s="1"/>
  <c r="DY68" i="15" s="1"/>
  <c r="DY69" i="15" s="1"/>
  <c r="DY70" i="15" s="1"/>
  <c r="DY71" i="15" s="1"/>
  <c r="DY72" i="15" s="1"/>
  <c r="DY73" i="15" s="1"/>
  <c r="DY74" i="15" s="1"/>
  <c r="DY75" i="15" s="1"/>
  <c r="DY76" i="15" s="1"/>
  <c r="DY77" i="15" s="1"/>
  <c r="DY78" i="15" s="1"/>
  <c r="AY64" i="14"/>
  <c r="AY65" i="14" s="1"/>
  <c r="AY66" i="14" s="1"/>
  <c r="AY67" i="14" s="1"/>
  <c r="AY68" i="14" s="1"/>
  <c r="AY69" i="14" s="1"/>
  <c r="AY70" i="14" s="1"/>
  <c r="AY71" i="14" s="1"/>
  <c r="AY72" i="14" s="1"/>
  <c r="AY73" i="14" s="1"/>
  <c r="AY74" i="14" s="1"/>
  <c r="AY75" i="14" s="1"/>
  <c r="AY76" i="14" s="1"/>
  <c r="AY77" i="14" s="1"/>
  <c r="AY78" i="14" s="1"/>
  <c r="V64" i="16"/>
  <c r="V65" i="16" s="1"/>
  <c r="V66" i="16" s="1"/>
  <c r="V67" i="16" s="1"/>
  <c r="V68" i="16" s="1"/>
  <c r="V69" i="16" s="1"/>
  <c r="V70" i="16" s="1"/>
  <c r="V71" i="16" s="1"/>
  <c r="V72" i="16" s="1"/>
  <c r="V73" i="16" s="1"/>
  <c r="V74" i="16" s="1"/>
  <c r="V75" i="16" s="1"/>
  <c r="V76" i="16" s="1"/>
  <c r="V77" i="16" s="1"/>
  <c r="V78" i="16" s="1"/>
  <c r="R161" i="16" s="1"/>
  <c r="R164" i="16" s="1"/>
  <c r="F43" i="12" s="1"/>
  <c r="BP13" i="16"/>
  <c r="BP14" i="16" s="1"/>
  <c r="BP15" i="16" s="1"/>
  <c r="BP16" i="16" s="1"/>
  <c r="BP17" i="16" s="1"/>
  <c r="BP18" i="16" s="1"/>
  <c r="BP19" i="16" s="1"/>
  <c r="BP20" i="16" s="1"/>
  <c r="BP21" i="16" s="1"/>
  <c r="BP22" i="16" s="1"/>
  <c r="BP23" i="16" s="1"/>
  <c r="BP24" i="16" s="1"/>
  <c r="BP25" i="16" s="1"/>
  <c r="BP26" i="16" s="1"/>
  <c r="BP27" i="16" s="1"/>
  <c r="J161" i="16" s="1"/>
  <c r="BS88" i="16"/>
  <c r="BS89" i="16" s="1"/>
  <c r="BS90" i="16" s="1"/>
  <c r="BS91" i="16" s="1"/>
  <c r="BS92" i="16" s="1"/>
  <c r="BS93" i="16" s="1"/>
  <c r="BS94" i="16" s="1"/>
  <c r="BS95" i="16" s="1"/>
  <c r="BS96" i="16" s="1"/>
  <c r="BS97" i="16" s="1"/>
  <c r="BS98" i="16" s="1"/>
  <c r="BS99" i="16" s="1"/>
  <c r="BS100" i="16" s="1"/>
  <c r="BS101" i="16" s="1"/>
  <c r="BS102" i="16" s="1"/>
  <c r="BS103" i="16" s="1"/>
  <c r="BV64" i="16"/>
  <c r="BV65" i="16" s="1"/>
  <c r="BV66" i="16" s="1"/>
  <c r="BV67" i="16" s="1"/>
  <c r="BV68" i="16" s="1"/>
  <c r="BV69" i="16" s="1"/>
  <c r="BV70" i="16" s="1"/>
  <c r="BV71" i="16" s="1"/>
  <c r="BV72" i="16" s="1"/>
  <c r="BV73" i="16" s="1"/>
  <c r="BV74" i="16" s="1"/>
  <c r="BV75" i="16" s="1"/>
  <c r="BV76" i="16" s="1"/>
  <c r="BV77" i="16" s="1"/>
  <c r="BV78" i="16" s="1"/>
  <c r="T161" i="16" s="1"/>
  <c r="T164" i="16" s="1"/>
  <c r="E43" i="12" s="1"/>
  <c r="Y64" i="16"/>
  <c r="Y65" i="16" s="1"/>
  <c r="Y66" i="16" s="1"/>
  <c r="Y67" i="16" s="1"/>
  <c r="Y68" i="16" s="1"/>
  <c r="Y69" i="16" s="1"/>
  <c r="Y70" i="16" s="1"/>
  <c r="Y71" i="16" s="1"/>
  <c r="Y72" i="16" s="1"/>
  <c r="Y73" i="16" s="1"/>
  <c r="Y74" i="16" s="1"/>
  <c r="Y75" i="16" s="1"/>
  <c r="Y76" i="16" s="1"/>
  <c r="Y77" i="16" s="1"/>
  <c r="Y78" i="16" s="1"/>
  <c r="DN88" i="16"/>
  <c r="DN89" i="16" s="1"/>
  <c r="DN90" i="16" s="1"/>
  <c r="DN91" i="16" s="1"/>
  <c r="DN92" i="16" s="1"/>
  <c r="DN93" i="16" s="1"/>
  <c r="DN94" i="16" s="1"/>
  <c r="DN95" i="16" s="1"/>
  <c r="DN96" i="16" s="1"/>
  <c r="DN97" i="16" s="1"/>
  <c r="DN98" i="16" s="1"/>
  <c r="DN99" i="16" s="1"/>
  <c r="DN100" i="16" s="1"/>
  <c r="DN101" i="16" s="1"/>
  <c r="DN102" i="16" s="1"/>
  <c r="DN103" i="16" s="1"/>
  <c r="Y64" i="14"/>
  <c r="Y65" i="14" s="1"/>
  <c r="Y66" i="14" s="1"/>
  <c r="Y67" i="14" s="1"/>
  <c r="Y68" i="14" s="1"/>
  <c r="Y69" i="14" s="1"/>
  <c r="Y70" i="14" s="1"/>
  <c r="Y71" i="14" s="1"/>
  <c r="Y72" i="14" s="1"/>
  <c r="Y73" i="14" s="1"/>
  <c r="Y74" i="14" s="1"/>
  <c r="Y75" i="14" s="1"/>
  <c r="Y76" i="14" s="1"/>
  <c r="Y77" i="14" s="1"/>
  <c r="Y78" i="14" s="1"/>
  <c r="BR88" i="16"/>
  <c r="BR89" i="16" s="1"/>
  <c r="BR90" i="16" s="1"/>
  <c r="BR91" i="16" s="1"/>
  <c r="BR92" i="16" s="1"/>
  <c r="BR93" i="16" s="1"/>
  <c r="BR94" i="16" s="1"/>
  <c r="BR95" i="16" s="1"/>
  <c r="BR96" i="16" s="1"/>
  <c r="BR97" i="16" s="1"/>
  <c r="BR98" i="16" s="1"/>
  <c r="BR99" i="16" s="1"/>
  <c r="BR100" i="16" s="1"/>
  <c r="BR101" i="16" s="1"/>
  <c r="BR102" i="16" s="1"/>
  <c r="BR103" i="16" s="1"/>
  <c r="AS88" i="15"/>
  <c r="AS89" i="15" s="1"/>
  <c r="AS90" i="15" s="1"/>
  <c r="AS91" i="15" s="1"/>
  <c r="AS92" i="15" s="1"/>
  <c r="AS93" i="15" s="1"/>
  <c r="AS94" i="15" s="1"/>
  <c r="AS95" i="15" s="1"/>
  <c r="AS96" i="15" s="1"/>
  <c r="AS97" i="15" s="1"/>
  <c r="AS98" i="15" s="1"/>
  <c r="AS99" i="15" s="1"/>
  <c r="AS100" i="15" s="1"/>
  <c r="AS101" i="15" s="1"/>
  <c r="AS102" i="15" s="1"/>
  <c r="AS103" i="15" s="1"/>
  <c r="Y162" i="15" s="1"/>
  <c r="AV64" i="16"/>
  <c r="AV65" i="16" s="1"/>
  <c r="AV66" i="16" s="1"/>
  <c r="AV67" i="16" s="1"/>
  <c r="AV68" i="16" s="1"/>
  <c r="AV69" i="16" s="1"/>
  <c r="AV70" i="16" s="1"/>
  <c r="AV71" i="16" s="1"/>
  <c r="AV72" i="16" s="1"/>
  <c r="AV73" i="16" s="1"/>
  <c r="AV74" i="16" s="1"/>
  <c r="AV75" i="16" s="1"/>
  <c r="AV76" i="16" s="1"/>
  <c r="AV77" i="16" s="1"/>
  <c r="AV78" i="16" s="1"/>
  <c r="S161" i="16" s="1"/>
  <c r="S164" i="16" s="1"/>
  <c r="G43" i="12" s="1"/>
  <c r="DV64" i="14"/>
  <c r="DV65" i="14" s="1"/>
  <c r="DV66" i="14" s="1"/>
  <c r="DV67" i="14" s="1"/>
  <c r="DV68" i="14" s="1"/>
  <c r="DV69" i="14" s="1"/>
  <c r="DV70" i="14" s="1"/>
  <c r="DV71" i="14" s="1"/>
  <c r="DV72" i="14" s="1"/>
  <c r="DV73" i="14" s="1"/>
  <c r="DV74" i="14" s="1"/>
  <c r="DV75" i="14" s="1"/>
  <c r="DV76" i="14" s="1"/>
  <c r="DV77" i="14" s="1"/>
  <c r="DV78" i="14" s="1"/>
  <c r="W161" i="14" s="1"/>
  <c r="W164" i="14" s="1"/>
  <c r="DV64" i="15"/>
  <c r="DV65" i="15" s="1"/>
  <c r="DV66" i="15" s="1"/>
  <c r="DV67" i="15" s="1"/>
  <c r="DV68" i="15" s="1"/>
  <c r="DV69" i="15" s="1"/>
  <c r="DV70" i="15" s="1"/>
  <c r="DV71" i="15" s="1"/>
  <c r="DV72" i="15" s="1"/>
  <c r="DV73" i="15" s="1"/>
  <c r="DV74" i="15" s="1"/>
  <c r="DV75" i="15" s="1"/>
  <c r="DV76" i="15" s="1"/>
  <c r="DV77" i="15" s="1"/>
  <c r="DV78" i="15" s="1"/>
  <c r="W161" i="15" s="1"/>
  <c r="W164" i="15" s="1"/>
  <c r="AV64" i="13"/>
  <c r="AV65" i="13" s="1"/>
  <c r="AV66" i="13" s="1"/>
  <c r="AV67" i="13" s="1"/>
  <c r="AV68" i="13" s="1"/>
  <c r="AV69" i="13" s="1"/>
  <c r="AV70" i="13" s="1"/>
  <c r="AV71" i="13" s="1"/>
  <c r="AV72" i="13" s="1"/>
  <c r="AV73" i="13" s="1"/>
  <c r="AV74" i="13" s="1"/>
  <c r="AV75" i="13" s="1"/>
  <c r="AV76" i="13" s="1"/>
  <c r="AV77" i="13" s="1"/>
  <c r="AV78" i="13" s="1"/>
  <c r="T161" i="13" s="1"/>
  <c r="T164" i="13" s="1"/>
  <c r="CN13" i="16"/>
  <c r="CN14" i="16" s="1"/>
  <c r="CN15" i="16" s="1"/>
  <c r="CN16" i="16" s="1"/>
  <c r="CN17" i="16" s="1"/>
  <c r="CN18" i="16" s="1"/>
  <c r="CN19" i="16" s="1"/>
  <c r="CN20" i="16" s="1"/>
  <c r="CN21" i="16" s="1"/>
  <c r="CN22" i="16" s="1"/>
  <c r="CN23" i="16" s="1"/>
  <c r="CN24" i="16" s="1"/>
  <c r="CN25" i="16" s="1"/>
  <c r="CN26" i="16" s="1"/>
  <c r="CN27" i="16" s="1"/>
  <c r="K161" i="16" s="1"/>
  <c r="AY64" i="13"/>
  <c r="AY65" i="13" s="1"/>
  <c r="AY66" i="13" s="1"/>
  <c r="AY67" i="13" s="1"/>
  <c r="AY68" i="13" s="1"/>
  <c r="AY69" i="13" s="1"/>
  <c r="AY70" i="13" s="1"/>
  <c r="AY71" i="13" s="1"/>
  <c r="AY72" i="13" s="1"/>
  <c r="AY73" i="13" s="1"/>
  <c r="AY74" i="13" s="1"/>
  <c r="AY75" i="13" s="1"/>
  <c r="AY76" i="13" s="1"/>
  <c r="AY77" i="13" s="1"/>
  <c r="AY78" i="13" s="1"/>
  <c r="DV64" i="13"/>
  <c r="DV65" i="13" s="1"/>
  <c r="DV66" i="13" s="1"/>
  <c r="DV67" i="13" s="1"/>
  <c r="DV68" i="13" s="1"/>
  <c r="DV69" i="13" s="1"/>
  <c r="DV70" i="13" s="1"/>
  <c r="DV71" i="13" s="1"/>
  <c r="DV72" i="13" s="1"/>
  <c r="DV73" i="13" s="1"/>
  <c r="DV74" i="13" s="1"/>
  <c r="DV75" i="13" s="1"/>
  <c r="DV76" i="13" s="1"/>
  <c r="DV77" i="13" s="1"/>
  <c r="DV78" i="13" s="1"/>
  <c r="W161" i="13" s="1"/>
  <c r="W164" i="13" s="1"/>
  <c r="DY64" i="13"/>
  <c r="DY65" i="13" s="1"/>
  <c r="DY66" i="13" s="1"/>
  <c r="DY67" i="13" s="1"/>
  <c r="DY68" i="13" s="1"/>
  <c r="DY69" i="13" s="1"/>
  <c r="DY70" i="13" s="1"/>
  <c r="DY71" i="13" s="1"/>
  <c r="DY72" i="13" s="1"/>
  <c r="DY73" i="13" s="1"/>
  <c r="DY74" i="13" s="1"/>
  <c r="DY75" i="13" s="1"/>
  <c r="DY76" i="13" s="1"/>
  <c r="DY77" i="13" s="1"/>
  <c r="DY78" i="13" s="1"/>
  <c r="Y64" i="13"/>
  <c r="Y65" i="13" s="1"/>
  <c r="Y66" i="13" s="1"/>
  <c r="Y67" i="13" s="1"/>
  <c r="Y68" i="13" s="1"/>
  <c r="Y69" i="13" s="1"/>
  <c r="Y70" i="13" s="1"/>
  <c r="Y71" i="13" s="1"/>
  <c r="Y72" i="13" s="1"/>
  <c r="Y73" i="13" s="1"/>
  <c r="Y74" i="13" s="1"/>
  <c r="Y75" i="13" s="1"/>
  <c r="Y76" i="13" s="1"/>
  <c r="Y77" i="13" s="1"/>
  <c r="Y78" i="13" s="1"/>
  <c r="V64" i="13"/>
  <c r="V65" i="13" s="1"/>
  <c r="V66" i="13" s="1"/>
  <c r="V67" i="13" s="1"/>
  <c r="V68" i="13" s="1"/>
  <c r="V69" i="13" s="1"/>
  <c r="V70" i="13" s="1"/>
  <c r="V71" i="13" s="1"/>
  <c r="V72" i="13" s="1"/>
  <c r="V73" i="13" s="1"/>
  <c r="V74" i="13" s="1"/>
  <c r="V75" i="13" s="1"/>
  <c r="V76" i="13" s="1"/>
  <c r="V77" i="13" s="1"/>
  <c r="V78" i="13" s="1"/>
  <c r="CY64" i="13"/>
  <c r="CY65" i="13" s="1"/>
  <c r="CY66" i="13" s="1"/>
  <c r="CY67" i="13" s="1"/>
  <c r="CY68" i="13" s="1"/>
  <c r="CY69" i="13" s="1"/>
  <c r="CY70" i="13" s="1"/>
  <c r="CY71" i="13" s="1"/>
  <c r="CY72" i="13" s="1"/>
  <c r="CY73" i="13" s="1"/>
  <c r="CY74" i="13" s="1"/>
  <c r="CY75" i="13" s="1"/>
  <c r="CY76" i="13" s="1"/>
  <c r="CY77" i="13" s="1"/>
  <c r="CY78" i="13" s="1"/>
  <c r="CV64" i="13"/>
  <c r="CV65" i="13" s="1"/>
  <c r="CV66" i="13" s="1"/>
  <c r="CV67" i="13" s="1"/>
  <c r="CV68" i="13" s="1"/>
  <c r="CV69" i="13" s="1"/>
  <c r="CV70" i="13" s="1"/>
  <c r="CV71" i="13" s="1"/>
  <c r="CV72" i="13" s="1"/>
  <c r="CV73" i="13" s="1"/>
  <c r="CV74" i="13" s="1"/>
  <c r="CV75" i="13" s="1"/>
  <c r="CV76" i="13" s="1"/>
  <c r="CV77" i="13" s="1"/>
  <c r="CV78" i="13" s="1"/>
  <c r="V161" i="13" s="1"/>
  <c r="V164" i="13" s="1"/>
  <c r="CN13" i="15"/>
  <c r="CN14" i="15" s="1"/>
  <c r="CN15" i="15" s="1"/>
  <c r="CN16" i="15" s="1"/>
  <c r="CN17" i="15" s="1"/>
  <c r="CN18" i="15" s="1"/>
  <c r="CN19" i="15" s="1"/>
  <c r="CN20" i="15" s="1"/>
  <c r="CN21" i="15" s="1"/>
  <c r="CN22" i="15" s="1"/>
  <c r="CN23" i="15" s="1"/>
  <c r="CN24" i="15" s="1"/>
  <c r="CN25" i="15" s="1"/>
  <c r="CN26" i="15" s="1"/>
  <c r="CN27" i="15" s="1"/>
  <c r="L161" i="15" s="1"/>
  <c r="AH13" i="10"/>
  <c r="D61" i="22"/>
  <c r="AH39" i="10"/>
  <c r="E61" i="22"/>
  <c r="AI13" i="10"/>
  <c r="J61" i="22"/>
  <c r="AI40" i="10"/>
  <c r="K81" i="22"/>
  <c r="CG12" i="15"/>
  <c r="CL12" i="15" s="1"/>
  <c r="DE12" i="15"/>
  <c r="DJ12" i="15" s="1"/>
  <c r="BI12" i="13"/>
  <c r="BN12" i="13" s="1"/>
  <c r="R29" i="8"/>
  <c r="R27" i="8" s="1"/>
  <c r="Q29" i="8"/>
  <c r="Q27" i="8" s="1"/>
  <c r="Q26" i="8" s="1"/>
  <c r="AR13" i="15"/>
  <c r="AR14" i="15" s="1"/>
  <c r="AR15" i="15" s="1"/>
  <c r="AR16" i="15" s="1"/>
  <c r="AR17" i="15" s="1"/>
  <c r="AR18" i="15" s="1"/>
  <c r="AR19" i="15" s="1"/>
  <c r="AR20" i="15" s="1"/>
  <c r="AR21" i="15" s="1"/>
  <c r="AR22" i="15" s="1"/>
  <c r="AR23" i="15" s="1"/>
  <c r="AR24" i="15" s="1"/>
  <c r="AR25" i="15" s="1"/>
  <c r="AR26" i="15" s="1"/>
  <c r="AR27" i="15" s="1"/>
  <c r="J161" i="15" s="1"/>
  <c r="CN13" i="14"/>
  <c r="CN14" i="14" s="1"/>
  <c r="CN15" i="14" s="1"/>
  <c r="CN16" i="14" s="1"/>
  <c r="CN17" i="14" s="1"/>
  <c r="CN18" i="14" s="1"/>
  <c r="CN19" i="14" s="1"/>
  <c r="CN20" i="14" s="1"/>
  <c r="CN21" i="14" s="1"/>
  <c r="CN22" i="14" s="1"/>
  <c r="CN23" i="14" s="1"/>
  <c r="CN24" i="14" s="1"/>
  <c r="CN25" i="14" s="1"/>
  <c r="CN26" i="14" s="1"/>
  <c r="CN27" i="14" s="1"/>
  <c r="L161" i="14" s="1"/>
  <c r="BP13" i="14"/>
  <c r="BP14" i="14" s="1"/>
  <c r="BP15" i="14" s="1"/>
  <c r="BP16" i="14" s="1"/>
  <c r="BP17" i="14" s="1"/>
  <c r="BP18" i="14" s="1"/>
  <c r="BP19" i="14" s="1"/>
  <c r="BP20" i="14" s="1"/>
  <c r="BP21" i="14" s="1"/>
  <c r="BP22" i="14" s="1"/>
  <c r="BP23" i="14" s="1"/>
  <c r="BP24" i="14" s="1"/>
  <c r="BP25" i="14" s="1"/>
  <c r="BP26" i="14" s="1"/>
  <c r="BP27" i="14" s="1"/>
  <c r="K161" i="14" s="1"/>
  <c r="T13" i="15"/>
  <c r="T14" i="15" s="1"/>
  <c r="T15" i="15" s="1"/>
  <c r="T16" i="15" s="1"/>
  <c r="T17" i="15" s="1"/>
  <c r="T18" i="15" s="1"/>
  <c r="T19" i="15" s="1"/>
  <c r="T20" i="15" s="1"/>
  <c r="T21" i="15" s="1"/>
  <c r="T22" i="15" s="1"/>
  <c r="T23" i="15" s="1"/>
  <c r="T24" i="15" s="1"/>
  <c r="T25" i="15" s="1"/>
  <c r="T26" i="15" s="1"/>
  <c r="T27" i="15" s="1"/>
  <c r="I161" i="15" s="1"/>
  <c r="DL13" i="15"/>
  <c r="DL14" i="15" s="1"/>
  <c r="DL15" i="15" s="1"/>
  <c r="DL16" i="15" s="1"/>
  <c r="DL17" i="15" s="1"/>
  <c r="DL18" i="15" s="1"/>
  <c r="DL19" i="15" s="1"/>
  <c r="DL20" i="15" s="1"/>
  <c r="DL21" i="15" s="1"/>
  <c r="DL22" i="15" s="1"/>
  <c r="DL23" i="15" s="1"/>
  <c r="DL24" i="15" s="1"/>
  <c r="DL25" i="15" s="1"/>
  <c r="DL26" i="15" s="1"/>
  <c r="DL27" i="15" s="1"/>
  <c r="M161" i="15" s="1"/>
  <c r="BP13" i="15"/>
  <c r="BP14" i="15" s="1"/>
  <c r="BP15" i="15" s="1"/>
  <c r="BP16" i="15" s="1"/>
  <c r="BP17" i="15" s="1"/>
  <c r="BP18" i="15" s="1"/>
  <c r="BP19" i="15" s="1"/>
  <c r="BP20" i="15" s="1"/>
  <c r="BP21" i="15" s="1"/>
  <c r="BP22" i="15" s="1"/>
  <c r="BP23" i="15" s="1"/>
  <c r="BP24" i="15" s="1"/>
  <c r="BP25" i="15" s="1"/>
  <c r="BP26" i="15" s="1"/>
  <c r="BP27" i="15" s="1"/>
  <c r="K161" i="15" s="1"/>
  <c r="DL13" i="14"/>
  <c r="DL14" i="14" s="1"/>
  <c r="DL15" i="14" s="1"/>
  <c r="DL16" i="14" s="1"/>
  <c r="DL17" i="14" s="1"/>
  <c r="DL18" i="14" s="1"/>
  <c r="DL19" i="14" s="1"/>
  <c r="DL20" i="14" s="1"/>
  <c r="DL21" i="14" s="1"/>
  <c r="DL22" i="14" s="1"/>
  <c r="DL23" i="14" s="1"/>
  <c r="DL24" i="14" s="1"/>
  <c r="DL25" i="14" s="1"/>
  <c r="DL26" i="14" s="1"/>
  <c r="DL27" i="14" s="1"/>
  <c r="M161" i="14" s="1"/>
  <c r="DL13" i="16"/>
  <c r="DL14" i="16" s="1"/>
  <c r="DL15" i="16" s="1"/>
  <c r="DL16" i="16" s="1"/>
  <c r="DL17" i="16" s="1"/>
  <c r="DL18" i="16" s="1"/>
  <c r="DL19" i="16" s="1"/>
  <c r="DL20" i="16" s="1"/>
  <c r="DL21" i="16" s="1"/>
  <c r="DL22" i="16" s="1"/>
  <c r="DL23" i="16" s="1"/>
  <c r="DL24" i="16" s="1"/>
  <c r="DL25" i="16" s="1"/>
  <c r="DL26" i="16" s="1"/>
  <c r="DL27" i="16" s="1"/>
  <c r="L161" i="16" s="1"/>
  <c r="T14" i="13"/>
  <c r="T15" i="13" s="1"/>
  <c r="T16" i="13" s="1"/>
  <c r="T17" i="13" s="1"/>
  <c r="T18" i="13" s="1"/>
  <c r="T19" i="13" s="1"/>
  <c r="T20" i="13" s="1"/>
  <c r="T21" i="13" s="1"/>
  <c r="T22" i="13" s="1"/>
  <c r="T23" i="13" s="1"/>
  <c r="T24" i="13" s="1"/>
  <c r="T25" i="13" s="1"/>
  <c r="T26" i="13" s="1"/>
  <c r="T27" i="13" s="1"/>
  <c r="I161" i="13" s="1"/>
  <c r="DL13" i="13"/>
  <c r="DL14" i="13" s="1"/>
  <c r="DL15" i="13" s="1"/>
  <c r="DL16" i="13" s="1"/>
  <c r="DL17" i="13" s="1"/>
  <c r="DL18" i="13" s="1"/>
  <c r="DL19" i="13" s="1"/>
  <c r="DL20" i="13" s="1"/>
  <c r="DL21" i="13" s="1"/>
  <c r="DL22" i="13" s="1"/>
  <c r="DL23" i="13" s="1"/>
  <c r="DL24" i="13" s="1"/>
  <c r="DL25" i="13" s="1"/>
  <c r="DL26" i="13" s="1"/>
  <c r="DL27" i="13" s="1"/>
  <c r="M161" i="13" s="1"/>
  <c r="CZ38" i="13"/>
  <c r="DC38" i="13" s="1"/>
  <c r="DH38" i="13" s="1"/>
  <c r="BD38" i="13"/>
  <c r="BG38" i="13" s="1"/>
  <c r="BL38" i="13" s="1"/>
  <c r="AF38" i="15"/>
  <c r="AI38" i="15" s="1"/>
  <c r="AN38" i="15" s="1"/>
  <c r="CB38" i="14"/>
  <c r="CE38" i="14" s="1"/>
  <c r="CJ38" i="14" s="1"/>
  <c r="H38" i="16"/>
  <c r="K38" i="16" s="1"/>
  <c r="P38" i="16" s="1"/>
  <c r="AF38" i="14"/>
  <c r="AI38" i="14" s="1"/>
  <c r="AN38" i="14" s="1"/>
  <c r="CZ38" i="15"/>
  <c r="DC38" i="15" s="1"/>
  <c r="DH38" i="15" s="1"/>
  <c r="CZ38" i="16"/>
  <c r="DC38" i="16" s="1"/>
  <c r="DH38" i="16" s="1"/>
  <c r="BD38" i="16"/>
  <c r="BG38" i="16" s="1"/>
  <c r="BL38" i="16" s="1"/>
  <c r="BD38" i="15"/>
  <c r="BG38" i="15" s="1"/>
  <c r="BL38" i="15" s="1"/>
  <c r="CB38" i="13"/>
  <c r="CE38" i="13" s="1"/>
  <c r="CJ38" i="13" s="1"/>
  <c r="AF38" i="13"/>
  <c r="H38" i="15"/>
  <c r="K38" i="15" s="1"/>
  <c r="P38" i="15" s="1"/>
  <c r="H38" i="14"/>
  <c r="K38" i="14" s="1"/>
  <c r="P38" i="14" s="1"/>
  <c r="K38" i="13"/>
  <c r="P38" i="13" s="1"/>
  <c r="CB38" i="16"/>
  <c r="CE38" i="16" s="1"/>
  <c r="CJ38" i="16" s="1"/>
  <c r="CB38" i="15"/>
  <c r="CE38" i="15" s="1"/>
  <c r="CJ38" i="15" s="1"/>
  <c r="AF38" i="16"/>
  <c r="AI38" i="16" s="1"/>
  <c r="AN38" i="16" s="1"/>
  <c r="CZ38" i="14"/>
  <c r="DC38" i="14" s="1"/>
  <c r="DH38" i="14" s="1"/>
  <c r="BD38" i="14"/>
  <c r="BG38" i="14" s="1"/>
  <c r="BL38" i="14" s="1"/>
  <c r="I91" i="10"/>
  <c r="W91" i="10" s="1"/>
  <c r="AB91" i="10" s="1"/>
  <c r="DE12" i="16"/>
  <c r="DJ12" i="16" s="1"/>
  <c r="AK12" i="13"/>
  <c r="AP12" i="13" s="1"/>
  <c r="BI12" i="14"/>
  <c r="BN12" i="14" s="1"/>
  <c r="M12" i="16"/>
  <c r="R12" i="16" s="1"/>
  <c r="M12" i="14"/>
  <c r="DE12" i="14"/>
  <c r="DJ12" i="14" s="1"/>
  <c r="BI12" i="16"/>
  <c r="BN12" i="16" s="1"/>
  <c r="AS12" i="14"/>
  <c r="AS13" i="14" s="1"/>
  <c r="AS14" i="14" s="1"/>
  <c r="AS15" i="14" s="1"/>
  <c r="AS16" i="14" s="1"/>
  <c r="AS17" i="14" s="1"/>
  <c r="AS18" i="14" s="1"/>
  <c r="AS19" i="14" s="1"/>
  <c r="AS20" i="14" s="1"/>
  <c r="AS21" i="14" s="1"/>
  <c r="AS22" i="14" s="1"/>
  <c r="AS23" i="14" s="1"/>
  <c r="AS24" i="14" s="1"/>
  <c r="AS25" i="14" s="1"/>
  <c r="AS26" i="14" s="1"/>
  <c r="AS27" i="14" s="1"/>
  <c r="J162" i="14" s="1"/>
  <c r="J163" i="14" s="1"/>
  <c r="AJ12" i="14"/>
  <c r="AO12" i="14" s="1"/>
  <c r="DM12" i="14"/>
  <c r="DM13" i="14" s="1"/>
  <c r="DM14" i="14" s="1"/>
  <c r="DM15" i="14" s="1"/>
  <c r="DM16" i="14" s="1"/>
  <c r="DM17" i="14" s="1"/>
  <c r="DM18" i="14" s="1"/>
  <c r="DM19" i="14" s="1"/>
  <c r="DM20" i="14" s="1"/>
  <c r="DM21" i="14" s="1"/>
  <c r="DM22" i="14" s="1"/>
  <c r="DM23" i="14" s="1"/>
  <c r="DM24" i="14" s="1"/>
  <c r="DM25" i="14" s="1"/>
  <c r="DM26" i="14" s="1"/>
  <c r="DM27" i="14" s="1"/>
  <c r="M162" i="14" s="1"/>
  <c r="M163" i="14" s="1"/>
  <c r="DD12" i="14"/>
  <c r="DI12" i="14" s="1"/>
  <c r="U12" i="16"/>
  <c r="U13" i="16" s="1"/>
  <c r="U14" i="16" s="1"/>
  <c r="U15" i="16" s="1"/>
  <c r="U16" i="16" s="1"/>
  <c r="U17" i="16" s="1"/>
  <c r="U18" i="16" s="1"/>
  <c r="U19" i="16" s="1"/>
  <c r="U20" i="16" s="1"/>
  <c r="U21" i="16" s="1"/>
  <c r="U22" i="16" s="1"/>
  <c r="U23" i="16" s="1"/>
  <c r="U24" i="16" s="1"/>
  <c r="U25" i="16" s="1"/>
  <c r="U26" i="16" s="1"/>
  <c r="U27" i="16" s="1"/>
  <c r="H162" i="16" s="1"/>
  <c r="L12" i="16"/>
  <c r="Q12" i="16" s="1"/>
  <c r="CO12" i="14"/>
  <c r="CO13" i="14" s="1"/>
  <c r="CO14" i="14" s="1"/>
  <c r="CO15" i="14" s="1"/>
  <c r="CO16" i="14" s="1"/>
  <c r="CO17" i="14" s="1"/>
  <c r="CO18" i="14" s="1"/>
  <c r="CO19" i="14" s="1"/>
  <c r="CO20" i="14" s="1"/>
  <c r="CO21" i="14" s="1"/>
  <c r="CO22" i="14" s="1"/>
  <c r="CO23" i="14" s="1"/>
  <c r="CO24" i="14" s="1"/>
  <c r="CO25" i="14" s="1"/>
  <c r="CO26" i="14" s="1"/>
  <c r="CO27" i="14" s="1"/>
  <c r="L162" i="14" s="1"/>
  <c r="CF12" i="14"/>
  <c r="CK12" i="14" s="1"/>
  <c r="CG12" i="16"/>
  <c r="CL12" i="16" s="1"/>
  <c r="U12" i="14"/>
  <c r="U13" i="14" s="1"/>
  <c r="U14" i="14" s="1"/>
  <c r="U15" i="14" s="1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I162" i="14" s="1"/>
  <c r="L12" i="14"/>
  <c r="Q12" i="14" s="1"/>
  <c r="DM12" i="16"/>
  <c r="DM13" i="16" s="1"/>
  <c r="DM14" i="16" s="1"/>
  <c r="DM15" i="16" s="1"/>
  <c r="DM16" i="16" s="1"/>
  <c r="DM17" i="16" s="1"/>
  <c r="DM18" i="16" s="1"/>
  <c r="DM19" i="16" s="1"/>
  <c r="DM20" i="16" s="1"/>
  <c r="DM21" i="16" s="1"/>
  <c r="DM22" i="16" s="1"/>
  <c r="DM23" i="16" s="1"/>
  <c r="DM24" i="16" s="1"/>
  <c r="DM25" i="16" s="1"/>
  <c r="DM26" i="16" s="1"/>
  <c r="DM27" i="16" s="1"/>
  <c r="L162" i="16" s="1"/>
  <c r="L163" i="16" s="1"/>
  <c r="DD12" i="16"/>
  <c r="DI12" i="16" s="1"/>
  <c r="BQ12" i="14"/>
  <c r="BQ13" i="14" s="1"/>
  <c r="BQ14" i="14" s="1"/>
  <c r="BQ15" i="14" s="1"/>
  <c r="BQ16" i="14" s="1"/>
  <c r="BQ17" i="14" s="1"/>
  <c r="BQ18" i="14" s="1"/>
  <c r="BQ19" i="14" s="1"/>
  <c r="BQ20" i="14" s="1"/>
  <c r="BQ21" i="14" s="1"/>
  <c r="BQ22" i="14" s="1"/>
  <c r="BQ23" i="14" s="1"/>
  <c r="BQ24" i="14" s="1"/>
  <c r="BQ25" i="14" s="1"/>
  <c r="BQ26" i="14" s="1"/>
  <c r="BQ27" i="14" s="1"/>
  <c r="K162" i="14" s="1"/>
  <c r="K163" i="14" s="1"/>
  <c r="BH12" i="14"/>
  <c r="BM12" i="14" s="1"/>
  <c r="DM12" i="13"/>
  <c r="DM13" i="13" s="1"/>
  <c r="DM14" i="13" s="1"/>
  <c r="DM15" i="13" s="1"/>
  <c r="DM16" i="13" s="1"/>
  <c r="DM17" i="13" s="1"/>
  <c r="DM18" i="13" s="1"/>
  <c r="DM19" i="13" s="1"/>
  <c r="DM20" i="13" s="1"/>
  <c r="DM21" i="13" s="1"/>
  <c r="DM22" i="13" s="1"/>
  <c r="DM23" i="13" s="1"/>
  <c r="DM24" i="13" s="1"/>
  <c r="DM25" i="13" s="1"/>
  <c r="DM26" i="13" s="1"/>
  <c r="DM27" i="13" s="1"/>
  <c r="M162" i="13" s="1"/>
  <c r="M163" i="13" s="1"/>
  <c r="DD12" i="13"/>
  <c r="DI12" i="13" s="1"/>
  <c r="AK12" i="16"/>
  <c r="AP12" i="16" s="1"/>
  <c r="AK12" i="14"/>
  <c r="AP12" i="14" s="1"/>
  <c r="BH12" i="13"/>
  <c r="BM12" i="13" s="1"/>
  <c r="DM12" i="15"/>
  <c r="DM13" i="15" s="1"/>
  <c r="DM14" i="15" s="1"/>
  <c r="DM15" i="15" s="1"/>
  <c r="DM16" i="15" s="1"/>
  <c r="DM17" i="15" s="1"/>
  <c r="DM18" i="15" s="1"/>
  <c r="DM19" i="15" s="1"/>
  <c r="DM20" i="15" s="1"/>
  <c r="DM21" i="15" s="1"/>
  <c r="DM22" i="15" s="1"/>
  <c r="DM23" i="15" s="1"/>
  <c r="DM24" i="15" s="1"/>
  <c r="DM25" i="15" s="1"/>
  <c r="DM26" i="15" s="1"/>
  <c r="DM27" i="15" s="1"/>
  <c r="M162" i="15" s="1"/>
  <c r="M163" i="15" s="1"/>
  <c r="DD12" i="15"/>
  <c r="DI12" i="15" s="1"/>
  <c r="CO12" i="16"/>
  <c r="CO13" i="16" s="1"/>
  <c r="CO14" i="16" s="1"/>
  <c r="CO15" i="16" s="1"/>
  <c r="CO16" i="16" s="1"/>
  <c r="CO17" i="16" s="1"/>
  <c r="CO18" i="16" s="1"/>
  <c r="CO19" i="16" s="1"/>
  <c r="CO20" i="16" s="1"/>
  <c r="CO21" i="16" s="1"/>
  <c r="CO22" i="16" s="1"/>
  <c r="CO23" i="16" s="1"/>
  <c r="CO24" i="16" s="1"/>
  <c r="CO25" i="16" s="1"/>
  <c r="CO26" i="16" s="1"/>
  <c r="CO27" i="16" s="1"/>
  <c r="K162" i="16" s="1"/>
  <c r="K163" i="16" s="1"/>
  <c r="CF12" i="16"/>
  <c r="CK12" i="16" s="1"/>
  <c r="AS12" i="16"/>
  <c r="AS13" i="16" s="1"/>
  <c r="AS14" i="16" s="1"/>
  <c r="AS15" i="16" s="1"/>
  <c r="AS16" i="16" s="1"/>
  <c r="AS17" i="16" s="1"/>
  <c r="AS18" i="16" s="1"/>
  <c r="AS19" i="16" s="1"/>
  <c r="AS20" i="16" s="1"/>
  <c r="AS21" i="16" s="1"/>
  <c r="AS22" i="16" s="1"/>
  <c r="AS23" i="16" s="1"/>
  <c r="AS24" i="16" s="1"/>
  <c r="AS25" i="16" s="1"/>
  <c r="AS26" i="16" s="1"/>
  <c r="AS27" i="16" s="1"/>
  <c r="I162" i="16" s="1"/>
  <c r="I163" i="16" s="1"/>
  <c r="AJ12" i="16"/>
  <c r="AO12" i="16" s="1"/>
  <c r="CG12" i="14"/>
  <c r="CL12" i="14" s="1"/>
  <c r="BQ12" i="16"/>
  <c r="BQ13" i="16" s="1"/>
  <c r="BQ14" i="16" s="1"/>
  <c r="BQ15" i="16" s="1"/>
  <c r="BQ16" i="16" s="1"/>
  <c r="BQ17" i="16" s="1"/>
  <c r="BQ18" i="16" s="1"/>
  <c r="BQ19" i="16" s="1"/>
  <c r="BQ20" i="16" s="1"/>
  <c r="BQ21" i="16" s="1"/>
  <c r="BQ22" i="16" s="1"/>
  <c r="BQ23" i="16" s="1"/>
  <c r="BQ24" i="16" s="1"/>
  <c r="BQ25" i="16" s="1"/>
  <c r="BQ26" i="16" s="1"/>
  <c r="BH12" i="16"/>
  <c r="BM12" i="16" s="1"/>
  <c r="DE12" i="13"/>
  <c r="DJ12" i="13" s="1"/>
  <c r="BI12" i="15"/>
  <c r="BN12" i="15" s="1"/>
  <c r="CO12" i="15"/>
  <c r="CO13" i="15" s="1"/>
  <c r="CO14" i="15" s="1"/>
  <c r="CO15" i="15" s="1"/>
  <c r="CO16" i="15" s="1"/>
  <c r="CO17" i="15" s="1"/>
  <c r="CO18" i="15" s="1"/>
  <c r="CO19" i="15" s="1"/>
  <c r="CO20" i="15" s="1"/>
  <c r="CO21" i="15" s="1"/>
  <c r="CO22" i="15" s="1"/>
  <c r="CO23" i="15" s="1"/>
  <c r="CO24" i="15" s="1"/>
  <c r="CO25" i="15" s="1"/>
  <c r="CO26" i="15" s="1"/>
  <c r="CO27" i="15" s="1"/>
  <c r="L162" i="15" s="1"/>
  <c r="L163" i="15" s="1"/>
  <c r="CF12" i="15"/>
  <c r="CK12" i="15" s="1"/>
  <c r="M7" i="11"/>
  <c r="AR13" i="16"/>
  <c r="AR14" i="16" s="1"/>
  <c r="AR15" i="16" s="1"/>
  <c r="AR16" i="16" s="1"/>
  <c r="AR17" i="16" s="1"/>
  <c r="AR18" i="16" s="1"/>
  <c r="AR19" i="16" s="1"/>
  <c r="AR20" i="16" s="1"/>
  <c r="AR21" i="16" s="1"/>
  <c r="AR22" i="16" s="1"/>
  <c r="AR23" i="16" s="1"/>
  <c r="AR24" i="16" s="1"/>
  <c r="AR25" i="16" s="1"/>
  <c r="AR26" i="16" s="1"/>
  <c r="AR27" i="16" s="1"/>
  <c r="I161" i="16" s="1"/>
  <c r="AR13" i="14"/>
  <c r="AR14" i="14" s="1"/>
  <c r="AR15" i="14" s="1"/>
  <c r="AR16" i="14" s="1"/>
  <c r="AR17" i="14" s="1"/>
  <c r="AR18" i="14" s="1"/>
  <c r="AR19" i="14" s="1"/>
  <c r="AR20" i="14" s="1"/>
  <c r="AR21" i="14" s="1"/>
  <c r="AR22" i="14" s="1"/>
  <c r="AR23" i="14" s="1"/>
  <c r="AR24" i="14" s="1"/>
  <c r="AR25" i="14" s="1"/>
  <c r="AR26" i="14" s="1"/>
  <c r="AR27" i="14" s="1"/>
  <c r="J161" i="14" s="1"/>
  <c r="BI27" i="16"/>
  <c r="BN27" i="16" s="1"/>
  <c r="T13" i="14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I161" i="14" s="1"/>
  <c r="I164" i="14" s="1"/>
  <c r="T13" i="16"/>
  <c r="T14" i="16" s="1"/>
  <c r="T15" i="16" s="1"/>
  <c r="T16" i="16" s="1"/>
  <c r="T17" i="16" s="1"/>
  <c r="T18" i="16" s="1"/>
  <c r="T19" i="16" s="1"/>
  <c r="T20" i="16" s="1"/>
  <c r="T21" i="16" s="1"/>
  <c r="T22" i="16" s="1"/>
  <c r="T23" i="16" s="1"/>
  <c r="T24" i="16" s="1"/>
  <c r="T25" i="16" s="1"/>
  <c r="T26" i="16" s="1"/>
  <c r="T27" i="16" s="1"/>
  <c r="H161" i="16" s="1"/>
  <c r="AR13" i="13"/>
  <c r="AR14" i="13" s="1"/>
  <c r="AR15" i="13" s="1"/>
  <c r="AR16" i="13" s="1"/>
  <c r="AR17" i="13" s="1"/>
  <c r="AR18" i="13" s="1"/>
  <c r="AR19" i="13" s="1"/>
  <c r="AR20" i="13" s="1"/>
  <c r="AR21" i="13" s="1"/>
  <c r="AR22" i="13" s="1"/>
  <c r="AR23" i="13" s="1"/>
  <c r="AR24" i="13" s="1"/>
  <c r="AR25" i="13" s="1"/>
  <c r="AR26" i="13" s="1"/>
  <c r="AR27" i="13" s="1"/>
  <c r="J161" i="13" s="1"/>
  <c r="CN13" i="13"/>
  <c r="CN14" i="13" s="1"/>
  <c r="CN15" i="13" s="1"/>
  <c r="CN16" i="13" s="1"/>
  <c r="CN17" i="13" s="1"/>
  <c r="CN18" i="13" s="1"/>
  <c r="CN19" i="13" s="1"/>
  <c r="CN20" i="13" s="1"/>
  <c r="CN21" i="13" s="1"/>
  <c r="CN22" i="13" s="1"/>
  <c r="CN23" i="13" s="1"/>
  <c r="CN24" i="13" s="1"/>
  <c r="CN25" i="13" s="1"/>
  <c r="CN26" i="13" s="1"/>
  <c r="CN27" i="13" s="1"/>
  <c r="L161" i="13" s="1"/>
  <c r="BP13" i="13"/>
  <c r="BP14" i="13" s="1"/>
  <c r="BP15" i="13" s="1"/>
  <c r="BP16" i="13" s="1"/>
  <c r="BP17" i="13" s="1"/>
  <c r="BP18" i="13" s="1"/>
  <c r="BP19" i="13" s="1"/>
  <c r="BP20" i="13" s="1"/>
  <c r="BP21" i="13" s="1"/>
  <c r="BP22" i="13" s="1"/>
  <c r="BP23" i="13" s="1"/>
  <c r="BP24" i="13" s="1"/>
  <c r="BP25" i="13" s="1"/>
  <c r="BP26" i="13" s="1"/>
  <c r="BP27" i="13" s="1"/>
  <c r="K161" i="13" s="1"/>
  <c r="K10" i="11"/>
  <c r="K12" i="11" s="1"/>
  <c r="K14" i="11" s="1"/>
  <c r="Y69" i="2"/>
  <c r="U24" i="8" s="1"/>
  <c r="AE71" i="2"/>
  <c r="K70" i="2"/>
  <c r="Q28" i="8" s="1"/>
  <c r="R68" i="2"/>
  <c r="S23" i="8" s="1"/>
  <c r="R71" i="2"/>
  <c r="S29" i="8" s="1"/>
  <c r="AF41" i="2"/>
  <c r="W19" i="8" s="1"/>
  <c r="AF69" i="2"/>
  <c r="W24" i="8" s="1"/>
  <c r="Y41" i="2"/>
  <c r="U19" i="8" s="1"/>
  <c r="P12" i="15" l="1"/>
  <c r="U12" i="15" s="1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I162" i="15" s="1"/>
  <c r="I163" i="15" s="1"/>
  <c r="I165" i="15" s="1"/>
  <c r="I167" i="15" s="1"/>
  <c r="R12" i="14"/>
  <c r="W12" i="14" s="1"/>
  <c r="W13" i="14" s="1"/>
  <c r="W14" i="14" s="1"/>
  <c r="W15" i="14" s="1"/>
  <c r="W16" i="14" s="1"/>
  <c r="W17" i="14" s="1"/>
  <c r="W18" i="14" s="1"/>
  <c r="W19" i="14" s="1"/>
  <c r="W20" i="14" s="1"/>
  <c r="W21" i="14" s="1"/>
  <c r="W22" i="14" s="1"/>
  <c r="W23" i="14" s="1"/>
  <c r="W24" i="14" s="1"/>
  <c r="W25" i="14" s="1"/>
  <c r="W26" i="14" s="1"/>
  <c r="W27" i="14" s="1"/>
  <c r="AN12" i="13"/>
  <c r="AS12" i="13" s="1"/>
  <c r="AS13" i="13" s="1"/>
  <c r="AS14" i="13" s="1"/>
  <c r="AS15" i="13" s="1"/>
  <c r="AS16" i="13" s="1"/>
  <c r="AS17" i="13" s="1"/>
  <c r="AS18" i="13" s="1"/>
  <c r="AS19" i="13" s="1"/>
  <c r="AS20" i="13" s="1"/>
  <c r="AS21" i="13" s="1"/>
  <c r="AS22" i="13" s="1"/>
  <c r="AS23" i="13" s="1"/>
  <c r="AS24" i="13" s="1"/>
  <c r="AS25" i="13" s="1"/>
  <c r="AS26" i="13" s="1"/>
  <c r="AS27" i="13" s="1"/>
  <c r="J162" i="13" s="1"/>
  <c r="CJ12" i="13"/>
  <c r="CO12" i="13" s="1"/>
  <c r="CO13" i="13" s="1"/>
  <c r="CO14" i="13" s="1"/>
  <c r="CO15" i="13" s="1"/>
  <c r="CO16" i="13" s="1"/>
  <c r="CO17" i="13" s="1"/>
  <c r="CO18" i="13" s="1"/>
  <c r="CO19" i="13" s="1"/>
  <c r="CO20" i="13" s="1"/>
  <c r="CO21" i="13" s="1"/>
  <c r="CO22" i="13" s="1"/>
  <c r="CO23" i="13" s="1"/>
  <c r="CO24" i="13" s="1"/>
  <c r="CO25" i="13" s="1"/>
  <c r="CO26" i="13" s="1"/>
  <c r="CO27" i="13" s="1"/>
  <c r="L162" i="13" s="1"/>
  <c r="BL12" i="13"/>
  <c r="BQ12" i="13" s="1"/>
  <c r="BQ13" i="13" s="1"/>
  <c r="BQ14" i="13" s="1"/>
  <c r="BQ15" i="13" s="1"/>
  <c r="BQ16" i="13" s="1"/>
  <c r="BQ17" i="13" s="1"/>
  <c r="BQ18" i="13" s="1"/>
  <c r="BQ19" i="13" s="1"/>
  <c r="BQ20" i="13" s="1"/>
  <c r="BQ21" i="13" s="1"/>
  <c r="BQ22" i="13" s="1"/>
  <c r="BQ23" i="13" s="1"/>
  <c r="BQ24" i="13" s="1"/>
  <c r="BQ25" i="13" s="1"/>
  <c r="BQ26" i="13" s="1"/>
  <c r="BQ27" i="13" s="1"/>
  <c r="K162" i="13" s="1"/>
  <c r="L12" i="15"/>
  <c r="Q12" i="15" s="1"/>
  <c r="AD164" i="15"/>
  <c r="AD166" i="15" s="1"/>
  <c r="AD168" i="15" s="1"/>
  <c r="M12" i="15"/>
  <c r="AI38" i="13"/>
  <c r="CF12" i="13"/>
  <c r="U13" i="13"/>
  <c r="U14" i="13" s="1"/>
  <c r="U15" i="13" s="1"/>
  <c r="U16" i="13" s="1"/>
  <c r="U17" i="13" s="1"/>
  <c r="U18" i="13" s="1"/>
  <c r="U19" i="13" s="1"/>
  <c r="U20" i="13" s="1"/>
  <c r="U21" i="13" s="1"/>
  <c r="U22" i="13" s="1"/>
  <c r="U23" i="13" s="1"/>
  <c r="U24" i="13" s="1"/>
  <c r="U25" i="13" s="1"/>
  <c r="U26" i="13" s="1"/>
  <c r="U27" i="13" s="1"/>
  <c r="I162" i="13" s="1"/>
  <c r="I163" i="13" s="1"/>
  <c r="I165" i="13" s="1"/>
  <c r="I167" i="13" s="1"/>
  <c r="AJ12" i="13"/>
  <c r="AO12" i="13" s="1"/>
  <c r="AE164" i="15"/>
  <c r="AE166" i="15" s="1"/>
  <c r="AE168" i="15" s="1"/>
  <c r="CG12" i="13"/>
  <c r="AF164" i="15"/>
  <c r="AF166" i="15" s="1"/>
  <c r="AF168" i="15" s="1"/>
  <c r="AG164" i="15"/>
  <c r="AG166" i="15" s="1"/>
  <c r="AG168" i="15" s="1"/>
  <c r="AT12" i="14"/>
  <c r="AT13" i="14" s="1"/>
  <c r="AT14" i="14" s="1"/>
  <c r="AT15" i="14" s="1"/>
  <c r="AT16" i="14" s="1"/>
  <c r="AT17" i="14" s="1"/>
  <c r="AT18" i="14" s="1"/>
  <c r="AT19" i="14" s="1"/>
  <c r="AT20" i="14" s="1"/>
  <c r="AT21" i="14" s="1"/>
  <c r="AT22" i="14" s="1"/>
  <c r="AT23" i="14" s="1"/>
  <c r="AT24" i="14" s="1"/>
  <c r="AT25" i="14" s="1"/>
  <c r="AT26" i="14" s="1"/>
  <c r="AT27" i="14" s="1"/>
  <c r="CP12" i="16"/>
  <c r="CP13" i="16" s="1"/>
  <c r="CP14" i="16" s="1"/>
  <c r="CP15" i="16" s="1"/>
  <c r="CP16" i="16" s="1"/>
  <c r="CP17" i="16" s="1"/>
  <c r="CP18" i="16" s="1"/>
  <c r="CP19" i="16" s="1"/>
  <c r="CP20" i="16" s="1"/>
  <c r="CP21" i="16" s="1"/>
  <c r="CP22" i="16" s="1"/>
  <c r="CP23" i="16" s="1"/>
  <c r="CP24" i="16" s="1"/>
  <c r="CP25" i="16" s="1"/>
  <c r="CP26" i="16" s="1"/>
  <c r="CP27" i="16" s="1"/>
  <c r="V12" i="16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V23" i="16" s="1"/>
  <c r="V24" i="16" s="1"/>
  <c r="V25" i="16" s="1"/>
  <c r="V26" i="16" s="1"/>
  <c r="V27" i="16" s="1"/>
  <c r="AT88" i="15"/>
  <c r="AT89" i="15" s="1"/>
  <c r="AT90" i="15" s="1"/>
  <c r="AT91" i="15" s="1"/>
  <c r="AT92" i="15" s="1"/>
  <c r="AT93" i="15" s="1"/>
  <c r="AT94" i="15" s="1"/>
  <c r="AT95" i="15" s="1"/>
  <c r="AT96" i="15" s="1"/>
  <c r="AT97" i="15" s="1"/>
  <c r="AT98" i="15" s="1"/>
  <c r="AT99" i="15" s="1"/>
  <c r="AT100" i="15" s="1"/>
  <c r="AT101" i="15" s="1"/>
  <c r="AT102" i="15" s="1"/>
  <c r="AT103" i="15" s="1"/>
  <c r="BS113" i="15"/>
  <c r="BS114" i="15" s="1"/>
  <c r="BS115" i="15" s="1"/>
  <c r="BS116" i="15" s="1"/>
  <c r="BS117" i="15" s="1"/>
  <c r="BS118" i="15" s="1"/>
  <c r="BS119" i="15" s="1"/>
  <c r="BS120" i="15" s="1"/>
  <c r="BS121" i="15" s="1"/>
  <c r="BS122" i="15" s="1"/>
  <c r="BS123" i="15" s="1"/>
  <c r="BS124" i="15" s="1"/>
  <c r="BS125" i="15" s="1"/>
  <c r="BS126" i="15" s="1"/>
  <c r="BS127" i="15" s="1"/>
  <c r="BS128" i="15" s="1"/>
  <c r="DO113" i="15"/>
  <c r="DO114" i="15" s="1"/>
  <c r="DO115" i="15" s="1"/>
  <c r="DO116" i="15" s="1"/>
  <c r="DO117" i="15" s="1"/>
  <c r="DO118" i="15" s="1"/>
  <c r="DO119" i="15" s="1"/>
  <c r="DO120" i="15" s="1"/>
  <c r="DO121" i="15" s="1"/>
  <c r="DO122" i="15" s="1"/>
  <c r="DO123" i="15" s="1"/>
  <c r="DO124" i="15" s="1"/>
  <c r="DO125" i="15" s="1"/>
  <c r="DO126" i="15" s="1"/>
  <c r="DO127" i="15" s="1"/>
  <c r="DO128" i="15" s="1"/>
  <c r="CQ12" i="14"/>
  <c r="CQ13" i="14" s="1"/>
  <c r="CQ14" i="14" s="1"/>
  <c r="CQ15" i="14" s="1"/>
  <c r="CQ16" i="14" s="1"/>
  <c r="CQ17" i="14" s="1"/>
  <c r="CQ18" i="14" s="1"/>
  <c r="CQ19" i="14" s="1"/>
  <c r="CQ20" i="14" s="1"/>
  <c r="CQ21" i="14" s="1"/>
  <c r="CQ22" i="14" s="1"/>
  <c r="CQ23" i="14" s="1"/>
  <c r="CQ24" i="14" s="1"/>
  <c r="CQ25" i="14" s="1"/>
  <c r="CQ26" i="14" s="1"/>
  <c r="CQ27" i="14" s="1"/>
  <c r="DO12" i="16"/>
  <c r="DO13" i="16" s="1"/>
  <c r="DO14" i="16" s="1"/>
  <c r="DO15" i="16" s="1"/>
  <c r="DO16" i="16" s="1"/>
  <c r="DO17" i="16" s="1"/>
  <c r="DO18" i="16" s="1"/>
  <c r="DO19" i="16" s="1"/>
  <c r="DO20" i="16" s="1"/>
  <c r="DO21" i="16" s="1"/>
  <c r="DO22" i="16" s="1"/>
  <c r="DO23" i="16" s="1"/>
  <c r="DO24" i="16" s="1"/>
  <c r="DO25" i="16" s="1"/>
  <c r="DO26" i="16" s="1"/>
  <c r="DO27" i="16" s="1"/>
  <c r="BS12" i="13"/>
  <c r="BS13" i="13" s="1"/>
  <c r="BS14" i="13" s="1"/>
  <c r="BS15" i="13" s="1"/>
  <c r="BS16" i="13" s="1"/>
  <c r="BS17" i="13" s="1"/>
  <c r="BS18" i="13" s="1"/>
  <c r="BS19" i="13" s="1"/>
  <c r="BS20" i="13" s="1"/>
  <c r="BS21" i="13" s="1"/>
  <c r="BS22" i="13" s="1"/>
  <c r="BS23" i="13" s="1"/>
  <c r="BS24" i="13" s="1"/>
  <c r="BS25" i="13" s="1"/>
  <c r="BS26" i="13" s="1"/>
  <c r="BS27" i="13" s="1"/>
  <c r="DO12" i="13"/>
  <c r="DO13" i="13" s="1"/>
  <c r="DO14" i="13" s="1"/>
  <c r="DO15" i="13" s="1"/>
  <c r="DO16" i="13" s="1"/>
  <c r="DO17" i="13" s="1"/>
  <c r="DO18" i="13" s="1"/>
  <c r="DO19" i="13" s="1"/>
  <c r="DO20" i="13" s="1"/>
  <c r="DO21" i="13" s="1"/>
  <c r="DO22" i="13" s="1"/>
  <c r="DO23" i="13" s="1"/>
  <c r="DO24" i="13" s="1"/>
  <c r="DO25" i="13" s="1"/>
  <c r="DO26" i="13" s="1"/>
  <c r="DO27" i="13" s="1"/>
  <c r="AT12" i="16"/>
  <c r="AT13" i="16" s="1"/>
  <c r="AT14" i="16" s="1"/>
  <c r="AT15" i="16" s="1"/>
  <c r="AT16" i="16" s="1"/>
  <c r="AT17" i="16" s="1"/>
  <c r="AT18" i="16" s="1"/>
  <c r="AT19" i="16" s="1"/>
  <c r="AT20" i="16" s="1"/>
  <c r="AT21" i="16" s="1"/>
  <c r="AT22" i="16" s="1"/>
  <c r="AT23" i="16" s="1"/>
  <c r="AT24" i="16" s="1"/>
  <c r="AT25" i="16" s="1"/>
  <c r="AT26" i="16" s="1"/>
  <c r="AT27" i="16" s="1"/>
  <c r="DN12" i="15"/>
  <c r="DN13" i="15" s="1"/>
  <c r="DN14" i="15" s="1"/>
  <c r="DN15" i="15" s="1"/>
  <c r="DN16" i="15" s="1"/>
  <c r="DN17" i="15" s="1"/>
  <c r="DN18" i="15" s="1"/>
  <c r="DN19" i="15" s="1"/>
  <c r="DN20" i="15" s="1"/>
  <c r="DN21" i="15" s="1"/>
  <c r="DN22" i="15" s="1"/>
  <c r="DN23" i="15" s="1"/>
  <c r="DN24" i="15" s="1"/>
  <c r="DN25" i="15" s="1"/>
  <c r="DN26" i="15" s="1"/>
  <c r="DN27" i="15" s="1"/>
  <c r="V12" i="15"/>
  <c r="V13" i="15" s="1"/>
  <c r="V14" i="15" s="1"/>
  <c r="V15" i="15" s="1"/>
  <c r="V16" i="15" s="1"/>
  <c r="V17" i="15" s="1"/>
  <c r="V18" i="15" s="1"/>
  <c r="V19" i="15" s="1"/>
  <c r="V20" i="15" s="1"/>
  <c r="V21" i="15" s="1"/>
  <c r="V22" i="15" s="1"/>
  <c r="V23" i="15" s="1"/>
  <c r="V24" i="15" s="1"/>
  <c r="V25" i="15" s="1"/>
  <c r="V26" i="15" s="1"/>
  <c r="V27" i="15" s="1"/>
  <c r="AU12" i="16"/>
  <c r="AU13" i="16" s="1"/>
  <c r="AU14" i="16" s="1"/>
  <c r="AU15" i="16" s="1"/>
  <c r="AU16" i="16" s="1"/>
  <c r="AU17" i="16" s="1"/>
  <c r="AU18" i="16" s="1"/>
  <c r="AU19" i="16" s="1"/>
  <c r="AU20" i="16" s="1"/>
  <c r="AU21" i="16" s="1"/>
  <c r="AU22" i="16" s="1"/>
  <c r="AU23" i="16" s="1"/>
  <c r="AU24" i="16" s="1"/>
  <c r="AU25" i="16" s="1"/>
  <c r="AU26" i="16" s="1"/>
  <c r="AU27" i="16" s="1"/>
  <c r="DN12" i="14"/>
  <c r="DN13" i="14" s="1"/>
  <c r="DN14" i="14" s="1"/>
  <c r="DN15" i="14" s="1"/>
  <c r="DN16" i="14" s="1"/>
  <c r="DN17" i="14" s="1"/>
  <c r="DN18" i="14" s="1"/>
  <c r="DN19" i="14" s="1"/>
  <c r="DN20" i="14" s="1"/>
  <c r="DN21" i="14" s="1"/>
  <c r="DN22" i="14" s="1"/>
  <c r="DN23" i="14" s="1"/>
  <c r="DN24" i="14" s="1"/>
  <c r="DN25" i="14" s="1"/>
  <c r="DN26" i="14" s="1"/>
  <c r="DN27" i="14" s="1"/>
  <c r="W12" i="16"/>
  <c r="W13" i="16" s="1"/>
  <c r="W14" i="16" s="1"/>
  <c r="W15" i="16" s="1"/>
  <c r="W16" i="16" s="1"/>
  <c r="W17" i="16" s="1"/>
  <c r="W18" i="16" s="1"/>
  <c r="W19" i="16" s="1"/>
  <c r="W20" i="16" s="1"/>
  <c r="W21" i="16" s="1"/>
  <c r="W22" i="16" s="1"/>
  <c r="W23" i="16" s="1"/>
  <c r="W24" i="16" s="1"/>
  <c r="W25" i="16" s="1"/>
  <c r="W26" i="16" s="1"/>
  <c r="W27" i="16" s="1"/>
  <c r="DO12" i="15"/>
  <c r="DO13" i="15" s="1"/>
  <c r="DO14" i="15" s="1"/>
  <c r="DO15" i="15" s="1"/>
  <c r="DO16" i="15" s="1"/>
  <c r="DO17" i="15" s="1"/>
  <c r="DO18" i="15" s="1"/>
  <c r="DO19" i="15" s="1"/>
  <c r="DO20" i="15" s="1"/>
  <c r="DO21" i="15" s="1"/>
  <c r="DO22" i="15" s="1"/>
  <c r="DO23" i="15" s="1"/>
  <c r="DO24" i="15" s="1"/>
  <c r="DO25" i="15" s="1"/>
  <c r="DO26" i="15" s="1"/>
  <c r="DO27" i="15" s="1"/>
  <c r="CP88" i="15"/>
  <c r="CP89" i="15" s="1"/>
  <c r="CP90" i="15" s="1"/>
  <c r="CP91" i="15" s="1"/>
  <c r="CP92" i="15" s="1"/>
  <c r="CP93" i="15" s="1"/>
  <c r="CP94" i="15" s="1"/>
  <c r="CP95" i="15" s="1"/>
  <c r="CP96" i="15" s="1"/>
  <c r="CP97" i="15" s="1"/>
  <c r="CP98" i="15" s="1"/>
  <c r="CP99" i="15" s="1"/>
  <c r="CP100" i="15" s="1"/>
  <c r="CP101" i="15" s="1"/>
  <c r="CP102" i="15" s="1"/>
  <c r="CP103" i="15" s="1"/>
  <c r="AH65" i="10"/>
  <c r="BR12" i="13"/>
  <c r="BR13" i="13" s="1"/>
  <c r="BR14" i="13" s="1"/>
  <c r="BR15" i="13" s="1"/>
  <c r="BR16" i="13" s="1"/>
  <c r="BR17" i="13" s="1"/>
  <c r="BR18" i="13" s="1"/>
  <c r="BR19" i="13" s="1"/>
  <c r="BR20" i="13" s="1"/>
  <c r="BR21" i="13" s="1"/>
  <c r="BR22" i="13" s="1"/>
  <c r="BR23" i="13" s="1"/>
  <c r="BR24" i="13" s="1"/>
  <c r="BR25" i="13" s="1"/>
  <c r="BR26" i="13" s="1"/>
  <c r="BR27" i="13" s="1"/>
  <c r="W12" i="13"/>
  <c r="CP12" i="14"/>
  <c r="CP13" i="14" s="1"/>
  <c r="CP14" i="14" s="1"/>
  <c r="CP15" i="14" s="1"/>
  <c r="CP16" i="14" s="1"/>
  <c r="CP17" i="14" s="1"/>
  <c r="CP18" i="14" s="1"/>
  <c r="CP19" i="14" s="1"/>
  <c r="CP20" i="14" s="1"/>
  <c r="CP21" i="14" s="1"/>
  <c r="CP22" i="14" s="1"/>
  <c r="CP23" i="14" s="1"/>
  <c r="CP24" i="14" s="1"/>
  <c r="CP25" i="14" s="1"/>
  <c r="CP26" i="14" s="1"/>
  <c r="CP27" i="14" s="1"/>
  <c r="DO12" i="14"/>
  <c r="DO13" i="14" s="1"/>
  <c r="DO14" i="14" s="1"/>
  <c r="DO15" i="14" s="1"/>
  <c r="DO16" i="14" s="1"/>
  <c r="DO17" i="14" s="1"/>
  <c r="DO18" i="14" s="1"/>
  <c r="DO19" i="14" s="1"/>
  <c r="DO20" i="14" s="1"/>
  <c r="DO21" i="14" s="1"/>
  <c r="DO22" i="14" s="1"/>
  <c r="DO23" i="14" s="1"/>
  <c r="DO24" i="14" s="1"/>
  <c r="DO25" i="14" s="1"/>
  <c r="DO26" i="14" s="1"/>
  <c r="DO27" i="14" s="1"/>
  <c r="AU12" i="13"/>
  <c r="AU13" i="13" s="1"/>
  <c r="AU14" i="13" s="1"/>
  <c r="AU15" i="13" s="1"/>
  <c r="AU16" i="13" s="1"/>
  <c r="AU17" i="13" s="1"/>
  <c r="AU18" i="13" s="1"/>
  <c r="AU19" i="13" s="1"/>
  <c r="AU20" i="13" s="1"/>
  <c r="AU21" i="13" s="1"/>
  <c r="AU22" i="13" s="1"/>
  <c r="AU23" i="13" s="1"/>
  <c r="AU24" i="13" s="1"/>
  <c r="AU25" i="13" s="1"/>
  <c r="AU26" i="13" s="1"/>
  <c r="AU27" i="13" s="1"/>
  <c r="BS12" i="15"/>
  <c r="BS13" i="15" s="1"/>
  <c r="BS14" i="15" s="1"/>
  <c r="BS15" i="15" s="1"/>
  <c r="BS16" i="15" s="1"/>
  <c r="BS17" i="15" s="1"/>
  <c r="BS18" i="15" s="1"/>
  <c r="BS19" i="15" s="1"/>
  <c r="BS20" i="15" s="1"/>
  <c r="BS21" i="15" s="1"/>
  <c r="BS22" i="15" s="1"/>
  <c r="BS23" i="15" s="1"/>
  <c r="BS24" i="15" s="1"/>
  <c r="BS25" i="15" s="1"/>
  <c r="BS26" i="15" s="1"/>
  <c r="BS27" i="15" s="1"/>
  <c r="AU12" i="14"/>
  <c r="AU13" i="14" s="1"/>
  <c r="AU14" i="14" s="1"/>
  <c r="AU15" i="14" s="1"/>
  <c r="AU16" i="14" s="1"/>
  <c r="AU17" i="14" s="1"/>
  <c r="AU18" i="14" s="1"/>
  <c r="AU19" i="14" s="1"/>
  <c r="AU20" i="14" s="1"/>
  <c r="AU21" i="14" s="1"/>
  <c r="AU22" i="14" s="1"/>
  <c r="AU23" i="14" s="1"/>
  <c r="AU24" i="14" s="1"/>
  <c r="AU25" i="14" s="1"/>
  <c r="AU26" i="14" s="1"/>
  <c r="AU27" i="14" s="1"/>
  <c r="DN12" i="13"/>
  <c r="DN13" i="13" s="1"/>
  <c r="DN14" i="13" s="1"/>
  <c r="DN15" i="13" s="1"/>
  <c r="DN16" i="13" s="1"/>
  <c r="DN17" i="13" s="1"/>
  <c r="DN18" i="13" s="1"/>
  <c r="DN19" i="13" s="1"/>
  <c r="DN20" i="13" s="1"/>
  <c r="DN21" i="13" s="1"/>
  <c r="DN22" i="13" s="1"/>
  <c r="DN23" i="13" s="1"/>
  <c r="DN24" i="13" s="1"/>
  <c r="DN25" i="13" s="1"/>
  <c r="DN26" i="13" s="1"/>
  <c r="DN27" i="13" s="1"/>
  <c r="DN12" i="16"/>
  <c r="DN13" i="16" s="1"/>
  <c r="DN14" i="16" s="1"/>
  <c r="DN15" i="16" s="1"/>
  <c r="DN16" i="16" s="1"/>
  <c r="DN17" i="16" s="1"/>
  <c r="DN18" i="16" s="1"/>
  <c r="DN19" i="16" s="1"/>
  <c r="DN20" i="16" s="1"/>
  <c r="DN21" i="16" s="1"/>
  <c r="DN22" i="16" s="1"/>
  <c r="DN23" i="16" s="1"/>
  <c r="DN24" i="16" s="1"/>
  <c r="DN25" i="16" s="1"/>
  <c r="DN26" i="16" s="1"/>
  <c r="DN27" i="16" s="1"/>
  <c r="V12" i="14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CQ88" i="15"/>
  <c r="CQ89" i="15" s="1"/>
  <c r="CQ90" i="15" s="1"/>
  <c r="CQ91" i="15" s="1"/>
  <c r="CQ92" i="15" s="1"/>
  <c r="CQ93" i="15" s="1"/>
  <c r="CQ94" i="15" s="1"/>
  <c r="CQ95" i="15" s="1"/>
  <c r="CQ96" i="15" s="1"/>
  <c r="CQ97" i="15" s="1"/>
  <c r="CQ98" i="15" s="1"/>
  <c r="CQ99" i="15" s="1"/>
  <c r="CQ100" i="15" s="1"/>
  <c r="CQ101" i="15" s="1"/>
  <c r="CQ102" i="15" s="1"/>
  <c r="CQ103" i="15" s="1"/>
  <c r="CP12" i="15"/>
  <c r="CP13" i="15" s="1"/>
  <c r="CP14" i="15" s="1"/>
  <c r="CP15" i="15" s="1"/>
  <c r="CP16" i="15" s="1"/>
  <c r="CP17" i="15" s="1"/>
  <c r="CP18" i="15" s="1"/>
  <c r="CP19" i="15" s="1"/>
  <c r="CP20" i="15" s="1"/>
  <c r="CP21" i="15" s="1"/>
  <c r="CP22" i="15" s="1"/>
  <c r="CP23" i="15" s="1"/>
  <c r="CP24" i="15" s="1"/>
  <c r="CP25" i="15" s="1"/>
  <c r="CP26" i="15" s="1"/>
  <c r="CP27" i="15" s="1"/>
  <c r="BR12" i="16"/>
  <c r="BR13" i="16" s="1"/>
  <c r="BR14" i="16" s="1"/>
  <c r="BR15" i="16" s="1"/>
  <c r="BR16" i="16" s="1"/>
  <c r="BR17" i="16" s="1"/>
  <c r="BR18" i="16" s="1"/>
  <c r="BR19" i="16" s="1"/>
  <c r="BR20" i="16" s="1"/>
  <c r="BR21" i="16" s="1"/>
  <c r="BR22" i="16" s="1"/>
  <c r="BR23" i="16" s="1"/>
  <c r="BR24" i="16" s="1"/>
  <c r="BR25" i="16" s="1"/>
  <c r="BR26" i="16" s="1"/>
  <c r="BR27" i="16" s="1"/>
  <c r="V12" i="13"/>
  <c r="BR12" i="14"/>
  <c r="BR13" i="14" s="1"/>
  <c r="BR14" i="14" s="1"/>
  <c r="BR15" i="14" s="1"/>
  <c r="BR16" i="14" s="1"/>
  <c r="BR17" i="14" s="1"/>
  <c r="BR18" i="14" s="1"/>
  <c r="BR19" i="14" s="1"/>
  <c r="BR20" i="14" s="1"/>
  <c r="BR21" i="14" s="1"/>
  <c r="BR22" i="14" s="1"/>
  <c r="BR23" i="14" s="1"/>
  <c r="BR24" i="14" s="1"/>
  <c r="BR25" i="14" s="1"/>
  <c r="BR26" i="14" s="1"/>
  <c r="BR27" i="14" s="1"/>
  <c r="AT12" i="13"/>
  <c r="AT13" i="13" s="1"/>
  <c r="AT14" i="13" s="1"/>
  <c r="AT15" i="13" s="1"/>
  <c r="AT16" i="13" s="1"/>
  <c r="AT17" i="13" s="1"/>
  <c r="AT18" i="13" s="1"/>
  <c r="AT19" i="13" s="1"/>
  <c r="AT20" i="13" s="1"/>
  <c r="AT21" i="13" s="1"/>
  <c r="AT22" i="13" s="1"/>
  <c r="AT23" i="13" s="1"/>
  <c r="AT24" i="13" s="1"/>
  <c r="AT25" i="13" s="1"/>
  <c r="AT26" i="13" s="1"/>
  <c r="AT27" i="13" s="1"/>
  <c r="CQ12" i="16"/>
  <c r="CQ13" i="16" s="1"/>
  <c r="CQ14" i="16" s="1"/>
  <c r="CQ15" i="16" s="1"/>
  <c r="CQ16" i="16" s="1"/>
  <c r="CQ17" i="16" s="1"/>
  <c r="CQ18" i="16" s="1"/>
  <c r="CQ19" i="16" s="1"/>
  <c r="CQ20" i="16" s="1"/>
  <c r="CQ21" i="16" s="1"/>
  <c r="CQ22" i="16" s="1"/>
  <c r="CQ23" i="16" s="1"/>
  <c r="CQ24" i="16" s="1"/>
  <c r="CQ25" i="16" s="1"/>
  <c r="CQ26" i="16" s="1"/>
  <c r="CQ27" i="16" s="1"/>
  <c r="BS12" i="16"/>
  <c r="BS13" i="16" s="1"/>
  <c r="BS14" i="16" s="1"/>
  <c r="BS15" i="16" s="1"/>
  <c r="BS16" i="16" s="1"/>
  <c r="BS17" i="16" s="1"/>
  <c r="BS18" i="16" s="1"/>
  <c r="BS19" i="16" s="1"/>
  <c r="BS20" i="16" s="1"/>
  <c r="BS21" i="16" s="1"/>
  <c r="BS22" i="16" s="1"/>
  <c r="BS23" i="16" s="1"/>
  <c r="BS24" i="16" s="1"/>
  <c r="BS25" i="16" s="1"/>
  <c r="BS26" i="16" s="1"/>
  <c r="BS27" i="16" s="1"/>
  <c r="BS12" i="14"/>
  <c r="BS13" i="14" s="1"/>
  <c r="BS14" i="14" s="1"/>
  <c r="BS15" i="14" s="1"/>
  <c r="BS16" i="14" s="1"/>
  <c r="BS17" i="14" s="1"/>
  <c r="BS18" i="14" s="1"/>
  <c r="BS19" i="14" s="1"/>
  <c r="BS20" i="14" s="1"/>
  <c r="BS21" i="14" s="1"/>
  <c r="BS22" i="14" s="1"/>
  <c r="BS23" i="14" s="1"/>
  <c r="BS24" i="14" s="1"/>
  <c r="BS25" i="14" s="1"/>
  <c r="BS26" i="14" s="1"/>
  <c r="BS27" i="14" s="1"/>
  <c r="CQ12" i="15"/>
  <c r="CQ13" i="15" s="1"/>
  <c r="CQ14" i="15" s="1"/>
  <c r="CQ15" i="15" s="1"/>
  <c r="CQ16" i="15" s="1"/>
  <c r="CQ17" i="15" s="1"/>
  <c r="CQ18" i="15" s="1"/>
  <c r="CQ19" i="15" s="1"/>
  <c r="CQ20" i="15" s="1"/>
  <c r="CQ21" i="15" s="1"/>
  <c r="CQ22" i="15" s="1"/>
  <c r="CQ23" i="15" s="1"/>
  <c r="CQ24" i="15" s="1"/>
  <c r="CQ25" i="15" s="1"/>
  <c r="CQ26" i="15" s="1"/>
  <c r="CQ27" i="15" s="1"/>
  <c r="AU88" i="15"/>
  <c r="AU89" i="15" s="1"/>
  <c r="AU90" i="15" s="1"/>
  <c r="AU91" i="15" s="1"/>
  <c r="AU92" i="15" s="1"/>
  <c r="AU93" i="15" s="1"/>
  <c r="AU94" i="15" s="1"/>
  <c r="AU95" i="15" s="1"/>
  <c r="AU96" i="15" s="1"/>
  <c r="AU97" i="15" s="1"/>
  <c r="AU98" i="15" s="1"/>
  <c r="AU99" i="15" s="1"/>
  <c r="AU100" i="15" s="1"/>
  <c r="AU101" i="15" s="1"/>
  <c r="AU102" i="15" s="1"/>
  <c r="AU103" i="15" s="1"/>
  <c r="AI65" i="10"/>
  <c r="AT113" i="15"/>
  <c r="AT114" i="15" s="1"/>
  <c r="AT115" i="15" s="1"/>
  <c r="AT116" i="15" s="1"/>
  <c r="AT117" i="15" s="1"/>
  <c r="AT118" i="15" s="1"/>
  <c r="AT119" i="15" s="1"/>
  <c r="AT120" i="15" s="1"/>
  <c r="AT121" i="15" s="1"/>
  <c r="AT122" i="15" s="1"/>
  <c r="AT123" i="15" s="1"/>
  <c r="AT124" i="15" s="1"/>
  <c r="AT125" i="15" s="1"/>
  <c r="AT126" i="15" s="1"/>
  <c r="AT127" i="15" s="1"/>
  <c r="AT128" i="15" s="1"/>
  <c r="CQ113" i="15"/>
  <c r="CQ114" i="15" s="1"/>
  <c r="CQ115" i="15" s="1"/>
  <c r="CQ116" i="15" s="1"/>
  <c r="CQ117" i="15" s="1"/>
  <c r="CQ118" i="15" s="1"/>
  <c r="CQ119" i="15" s="1"/>
  <c r="CQ120" i="15" s="1"/>
  <c r="CQ121" i="15" s="1"/>
  <c r="CQ122" i="15" s="1"/>
  <c r="CQ123" i="15" s="1"/>
  <c r="CQ124" i="15" s="1"/>
  <c r="CQ125" i="15" s="1"/>
  <c r="CQ126" i="15" s="1"/>
  <c r="CQ127" i="15" s="1"/>
  <c r="CQ128" i="15" s="1"/>
  <c r="AU113" i="15"/>
  <c r="AU114" i="15" s="1"/>
  <c r="AU115" i="15" s="1"/>
  <c r="AU116" i="15" s="1"/>
  <c r="AU117" i="15" s="1"/>
  <c r="AU118" i="15" s="1"/>
  <c r="AU119" i="15" s="1"/>
  <c r="AU120" i="15" s="1"/>
  <c r="AU121" i="15" s="1"/>
  <c r="AU122" i="15" s="1"/>
  <c r="AU123" i="15" s="1"/>
  <c r="AU124" i="15" s="1"/>
  <c r="AU125" i="15" s="1"/>
  <c r="AU126" i="15" s="1"/>
  <c r="AU127" i="15" s="1"/>
  <c r="AU128" i="15" s="1"/>
  <c r="AE163" i="14"/>
  <c r="AE165" i="14" s="1"/>
  <c r="AE167" i="14" s="1"/>
  <c r="AE164" i="14"/>
  <c r="AE166" i="14" s="1"/>
  <c r="AE168" i="14" s="1"/>
  <c r="AE166" i="13"/>
  <c r="AE168" i="13" s="1"/>
  <c r="F25" i="12"/>
  <c r="AG166" i="14"/>
  <c r="AG168" i="14" s="1"/>
  <c r="G17" i="12"/>
  <c r="E31" i="12"/>
  <c r="AA166" i="14"/>
  <c r="AA168" i="14" s="1"/>
  <c r="I39" i="12"/>
  <c r="I40" i="12"/>
  <c r="Y163" i="15"/>
  <c r="Y165" i="15" s="1"/>
  <c r="Y167" i="15" s="1"/>
  <c r="Y164" i="15"/>
  <c r="Z166" i="14"/>
  <c r="Z168" i="14" s="1"/>
  <c r="E24" i="12"/>
  <c r="Z166" i="13"/>
  <c r="Z168" i="13" s="1"/>
  <c r="E17" i="12"/>
  <c r="AC166" i="15"/>
  <c r="AC168" i="15" s="1"/>
  <c r="F32" i="12"/>
  <c r="X166" i="15"/>
  <c r="X168" i="15" s="1"/>
  <c r="F31" i="12"/>
  <c r="AF166" i="14"/>
  <c r="AF168" i="14" s="1"/>
  <c r="H25" i="12"/>
  <c r="I38" i="12"/>
  <c r="AD166" i="14"/>
  <c r="AD168" i="14" s="1"/>
  <c r="G25" i="12"/>
  <c r="AB166" i="13"/>
  <c r="AB168" i="13" s="1"/>
  <c r="D17" i="12"/>
  <c r="X166" i="13"/>
  <c r="X168" i="13" s="1"/>
  <c r="F17" i="12"/>
  <c r="AB166" i="14"/>
  <c r="AB168" i="14" s="1"/>
  <c r="D24" i="12"/>
  <c r="AC166" i="13"/>
  <c r="AC168" i="13" s="1"/>
  <c r="F18" i="12"/>
  <c r="AB166" i="15"/>
  <c r="AB168" i="15" s="1"/>
  <c r="D31" i="12"/>
  <c r="Y166" i="14"/>
  <c r="Y168" i="14" s="1"/>
  <c r="G24" i="12"/>
  <c r="AG166" i="13"/>
  <c r="AG168" i="13" s="1"/>
  <c r="D18" i="12"/>
  <c r="AF166" i="13"/>
  <c r="AF168" i="13" s="1"/>
  <c r="H18" i="12"/>
  <c r="AD166" i="13"/>
  <c r="AD168" i="13" s="1"/>
  <c r="G18" i="12"/>
  <c r="AA166" i="13"/>
  <c r="AA168" i="13" s="1"/>
  <c r="H17" i="12"/>
  <c r="X166" i="14"/>
  <c r="X168" i="14" s="1"/>
  <c r="F24" i="12"/>
  <c r="G32" i="12"/>
  <c r="AA163" i="15"/>
  <c r="AA165" i="15" s="1"/>
  <c r="AA167" i="15" s="1"/>
  <c r="AA164" i="15"/>
  <c r="G36" i="12"/>
  <c r="T166" i="15"/>
  <c r="T168" i="15" s="1"/>
  <c r="W166" i="15"/>
  <c r="W168" i="15" s="1"/>
  <c r="D36" i="12"/>
  <c r="F36" i="12"/>
  <c r="S166" i="15"/>
  <c r="S168" i="15" s="1"/>
  <c r="S166" i="14"/>
  <c r="S168" i="14" s="1"/>
  <c r="F29" i="12"/>
  <c r="G29" i="12"/>
  <c r="T166" i="14"/>
  <c r="T168" i="14" s="1"/>
  <c r="E29" i="12"/>
  <c r="U166" i="14"/>
  <c r="U168" i="14" s="1"/>
  <c r="V166" i="14"/>
  <c r="V168" i="14" s="1"/>
  <c r="H29" i="12"/>
  <c r="W166" i="14"/>
  <c r="W168" i="14" s="1"/>
  <c r="D29" i="12"/>
  <c r="E36" i="12"/>
  <c r="U166" i="15"/>
  <c r="U168" i="15" s="1"/>
  <c r="V166" i="15"/>
  <c r="V168" i="15" s="1"/>
  <c r="H36" i="12"/>
  <c r="I43" i="12"/>
  <c r="S161" i="13"/>
  <c r="S164" i="13" s="1"/>
  <c r="T166" i="13"/>
  <c r="T168" i="13" s="1"/>
  <c r="G22" i="12"/>
  <c r="V166" i="13"/>
  <c r="V168" i="13" s="1"/>
  <c r="H22" i="12"/>
  <c r="W166" i="13"/>
  <c r="W168" i="13" s="1"/>
  <c r="D22" i="12"/>
  <c r="U166" i="13"/>
  <c r="U168" i="13" s="1"/>
  <c r="E22" i="12"/>
  <c r="BQ27" i="16"/>
  <c r="J162" i="16" s="1"/>
  <c r="J163" i="16" s="1"/>
  <c r="AI14" i="10"/>
  <c r="J81" i="22"/>
  <c r="F61" i="22"/>
  <c r="AH40" i="10"/>
  <c r="E81" i="22"/>
  <c r="AI41" i="10"/>
  <c r="K82" i="22"/>
  <c r="AH14" i="10"/>
  <c r="D81" i="22"/>
  <c r="V29" i="8"/>
  <c r="V27" i="8" s="1"/>
  <c r="BQ38" i="14"/>
  <c r="BQ39" i="14" s="1"/>
  <c r="BQ40" i="14" s="1"/>
  <c r="BQ41" i="14" s="1"/>
  <c r="BQ42" i="14" s="1"/>
  <c r="BQ43" i="14" s="1"/>
  <c r="BQ44" i="14" s="1"/>
  <c r="BQ45" i="14" s="1"/>
  <c r="BQ46" i="14" s="1"/>
  <c r="BQ47" i="14" s="1"/>
  <c r="BQ48" i="14" s="1"/>
  <c r="BQ49" i="14" s="1"/>
  <c r="BQ50" i="14" s="1"/>
  <c r="BQ51" i="14" s="1"/>
  <c r="BQ52" i="14" s="1"/>
  <c r="BQ53" i="14" s="1"/>
  <c r="P162" i="14" s="1"/>
  <c r="BH38" i="14"/>
  <c r="BM38" i="14" s="1"/>
  <c r="BI38" i="14"/>
  <c r="BN38" i="14" s="1"/>
  <c r="AS38" i="15"/>
  <c r="AJ38" i="15"/>
  <c r="AO38" i="15" s="1"/>
  <c r="AK38" i="15"/>
  <c r="AP38" i="15" s="1"/>
  <c r="BQ38" i="15"/>
  <c r="BQ39" i="15" s="1"/>
  <c r="BQ40" i="15" s="1"/>
  <c r="BQ41" i="15" s="1"/>
  <c r="BQ42" i="15" s="1"/>
  <c r="BQ43" i="15" s="1"/>
  <c r="BQ44" i="15" s="1"/>
  <c r="BQ45" i="15" s="1"/>
  <c r="BQ46" i="15" s="1"/>
  <c r="BQ47" i="15" s="1"/>
  <c r="BQ48" i="15" s="1"/>
  <c r="BQ49" i="15" s="1"/>
  <c r="BQ50" i="15" s="1"/>
  <c r="BQ51" i="15" s="1"/>
  <c r="BQ52" i="15" s="1"/>
  <c r="BQ53" i="15" s="1"/>
  <c r="P162" i="15" s="1"/>
  <c r="BH38" i="15"/>
  <c r="BM38" i="15" s="1"/>
  <c r="BI38" i="15"/>
  <c r="BN38" i="15" s="1"/>
  <c r="BQ38" i="13"/>
  <c r="BQ39" i="13" s="1"/>
  <c r="BQ40" i="13" s="1"/>
  <c r="BQ41" i="13" s="1"/>
  <c r="BQ42" i="13" s="1"/>
  <c r="BQ43" i="13" s="1"/>
  <c r="BQ44" i="13" s="1"/>
  <c r="BQ45" i="13" s="1"/>
  <c r="BQ46" i="13" s="1"/>
  <c r="BQ47" i="13" s="1"/>
  <c r="BQ48" i="13" s="1"/>
  <c r="BQ49" i="13" s="1"/>
  <c r="BQ50" i="13" s="1"/>
  <c r="BQ51" i="13" s="1"/>
  <c r="BQ52" i="13" s="1"/>
  <c r="BQ53" i="13" s="1"/>
  <c r="P162" i="13" s="1"/>
  <c r="BH38" i="13"/>
  <c r="BM38" i="13" s="1"/>
  <c r="BI38" i="13"/>
  <c r="BN38" i="13" s="1"/>
  <c r="CO38" i="15"/>
  <c r="CO39" i="15" s="1"/>
  <c r="CO40" i="15" s="1"/>
  <c r="CO41" i="15" s="1"/>
  <c r="CO42" i="15" s="1"/>
  <c r="CO43" i="15" s="1"/>
  <c r="CO44" i="15" s="1"/>
  <c r="CO45" i="15" s="1"/>
  <c r="CO46" i="15" s="1"/>
  <c r="CO47" i="15" s="1"/>
  <c r="CO48" i="15" s="1"/>
  <c r="CO49" i="15" s="1"/>
  <c r="CO50" i="15" s="1"/>
  <c r="CO51" i="15" s="1"/>
  <c r="CO52" i="15" s="1"/>
  <c r="CO53" i="15" s="1"/>
  <c r="Q162" i="15" s="1"/>
  <c r="CF38" i="15"/>
  <c r="CK38" i="15" s="1"/>
  <c r="CG38" i="15"/>
  <c r="CL38" i="15" s="1"/>
  <c r="BQ38" i="16"/>
  <c r="BQ39" i="16" s="1"/>
  <c r="BQ40" i="16" s="1"/>
  <c r="BQ41" i="16" s="1"/>
  <c r="BQ42" i="16" s="1"/>
  <c r="BQ43" i="16" s="1"/>
  <c r="BQ44" i="16" s="1"/>
  <c r="BQ45" i="16" s="1"/>
  <c r="BQ46" i="16" s="1"/>
  <c r="BQ47" i="16" s="1"/>
  <c r="BQ48" i="16" s="1"/>
  <c r="BQ49" i="16" s="1"/>
  <c r="BQ50" i="16" s="1"/>
  <c r="BQ51" i="16" s="1"/>
  <c r="BQ52" i="16" s="1"/>
  <c r="BQ53" i="16" s="1"/>
  <c r="O162" i="16" s="1"/>
  <c r="BH38" i="16"/>
  <c r="BM38" i="16" s="1"/>
  <c r="BI38" i="16"/>
  <c r="BN38" i="16" s="1"/>
  <c r="DM38" i="13"/>
  <c r="DM39" i="13" s="1"/>
  <c r="DM40" i="13" s="1"/>
  <c r="DM41" i="13" s="1"/>
  <c r="DM42" i="13" s="1"/>
  <c r="DM43" i="13" s="1"/>
  <c r="DM44" i="13" s="1"/>
  <c r="DM45" i="13" s="1"/>
  <c r="DM46" i="13" s="1"/>
  <c r="DM47" i="13" s="1"/>
  <c r="DM48" i="13" s="1"/>
  <c r="DM49" i="13" s="1"/>
  <c r="DM50" i="13" s="1"/>
  <c r="DM51" i="13" s="1"/>
  <c r="DM52" i="13" s="1"/>
  <c r="DM53" i="13" s="1"/>
  <c r="R162" i="13" s="1"/>
  <c r="DD38" i="13"/>
  <c r="DI38" i="13" s="1"/>
  <c r="DE38" i="13"/>
  <c r="DJ38" i="13" s="1"/>
  <c r="DM38" i="14"/>
  <c r="DM39" i="14" s="1"/>
  <c r="DM40" i="14" s="1"/>
  <c r="DM41" i="14" s="1"/>
  <c r="DM42" i="14" s="1"/>
  <c r="DM43" i="14" s="1"/>
  <c r="DM44" i="14" s="1"/>
  <c r="DM45" i="14" s="1"/>
  <c r="DM46" i="14" s="1"/>
  <c r="DM47" i="14" s="1"/>
  <c r="DM48" i="14" s="1"/>
  <c r="DM49" i="14" s="1"/>
  <c r="DM50" i="14" s="1"/>
  <c r="DM51" i="14" s="1"/>
  <c r="DM52" i="14" s="1"/>
  <c r="DM53" i="14" s="1"/>
  <c r="R162" i="14" s="1"/>
  <c r="DD38" i="14"/>
  <c r="DI38" i="14" s="1"/>
  <c r="DE38" i="14"/>
  <c r="DJ38" i="14" s="1"/>
  <c r="CO38" i="16"/>
  <c r="CO39" i="16" s="1"/>
  <c r="CO40" i="16" s="1"/>
  <c r="CO41" i="16" s="1"/>
  <c r="CO42" i="16" s="1"/>
  <c r="CO43" i="16" s="1"/>
  <c r="CO44" i="16" s="1"/>
  <c r="CO45" i="16" s="1"/>
  <c r="CO46" i="16" s="1"/>
  <c r="CO47" i="16" s="1"/>
  <c r="CO48" i="16" s="1"/>
  <c r="CO49" i="16" s="1"/>
  <c r="CO50" i="16" s="1"/>
  <c r="CO51" i="16" s="1"/>
  <c r="CO52" i="16" s="1"/>
  <c r="CO53" i="16" s="1"/>
  <c r="P162" i="16" s="1"/>
  <c r="CF38" i="16"/>
  <c r="CK38" i="16" s="1"/>
  <c r="CG38" i="16"/>
  <c r="CL38" i="16" s="1"/>
  <c r="U38" i="13"/>
  <c r="U39" i="13" s="1"/>
  <c r="U40" i="13" s="1"/>
  <c r="U41" i="13" s="1"/>
  <c r="U42" i="13" s="1"/>
  <c r="U43" i="13" s="1"/>
  <c r="U44" i="13" s="1"/>
  <c r="U45" i="13" s="1"/>
  <c r="U46" i="13" s="1"/>
  <c r="U47" i="13" s="1"/>
  <c r="U48" i="13" s="1"/>
  <c r="U49" i="13" s="1"/>
  <c r="U50" i="13" s="1"/>
  <c r="U51" i="13" s="1"/>
  <c r="U52" i="13" s="1"/>
  <c r="U53" i="13" s="1"/>
  <c r="N162" i="13" s="1"/>
  <c r="L38" i="13"/>
  <c r="Q38" i="13" s="1"/>
  <c r="M38" i="13"/>
  <c r="R38" i="13" s="1"/>
  <c r="DM38" i="15"/>
  <c r="DM39" i="15" s="1"/>
  <c r="DM40" i="15" s="1"/>
  <c r="DM41" i="15" s="1"/>
  <c r="DM42" i="15" s="1"/>
  <c r="DM43" i="15" s="1"/>
  <c r="DM44" i="15" s="1"/>
  <c r="DM45" i="15" s="1"/>
  <c r="DM46" i="15" s="1"/>
  <c r="DM47" i="15" s="1"/>
  <c r="DM48" i="15" s="1"/>
  <c r="DM49" i="15" s="1"/>
  <c r="DM50" i="15" s="1"/>
  <c r="DM51" i="15" s="1"/>
  <c r="DM52" i="15" s="1"/>
  <c r="DN53" i="15" s="1"/>
  <c r="R162" i="15" s="1"/>
  <c r="DD38" i="15"/>
  <c r="DI38" i="15" s="1"/>
  <c r="DE38" i="15"/>
  <c r="DJ38" i="15" s="1"/>
  <c r="CO38" i="14"/>
  <c r="CO39" i="14" s="1"/>
  <c r="CO40" i="14" s="1"/>
  <c r="CO41" i="14" s="1"/>
  <c r="CO42" i="14" s="1"/>
  <c r="CO43" i="14" s="1"/>
  <c r="CO44" i="14" s="1"/>
  <c r="CO45" i="14" s="1"/>
  <c r="CO46" i="14" s="1"/>
  <c r="CO47" i="14" s="1"/>
  <c r="CO48" i="14" s="1"/>
  <c r="CO49" i="14" s="1"/>
  <c r="CO50" i="14" s="1"/>
  <c r="CO51" i="14" s="1"/>
  <c r="CO52" i="14" s="1"/>
  <c r="CO53" i="14" s="1"/>
  <c r="Q162" i="14" s="1"/>
  <c r="CF38" i="14"/>
  <c r="CK38" i="14" s="1"/>
  <c r="CG38" i="14"/>
  <c r="CL38" i="14" s="1"/>
  <c r="DM38" i="16"/>
  <c r="DM39" i="16" s="1"/>
  <c r="DM40" i="16" s="1"/>
  <c r="DM41" i="16" s="1"/>
  <c r="DM42" i="16" s="1"/>
  <c r="DM43" i="16" s="1"/>
  <c r="DM44" i="16" s="1"/>
  <c r="DM45" i="16" s="1"/>
  <c r="DM46" i="16" s="1"/>
  <c r="DM47" i="16" s="1"/>
  <c r="DM48" i="16" s="1"/>
  <c r="DM49" i="16" s="1"/>
  <c r="DM50" i="16" s="1"/>
  <c r="DM51" i="16" s="1"/>
  <c r="DM52" i="16" s="1"/>
  <c r="DM53" i="16" s="1"/>
  <c r="Q162" i="16" s="1"/>
  <c r="DD38" i="16"/>
  <c r="DI38" i="16" s="1"/>
  <c r="DE38" i="16"/>
  <c r="DJ38" i="16" s="1"/>
  <c r="U38" i="14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N162" i="14" s="1"/>
  <c r="L38" i="14"/>
  <c r="Q38" i="14" s="1"/>
  <c r="M38" i="14"/>
  <c r="R38" i="14" s="1"/>
  <c r="AS38" i="14"/>
  <c r="AJ38" i="14"/>
  <c r="AO38" i="14" s="1"/>
  <c r="AK38" i="14"/>
  <c r="AP38" i="14" s="1"/>
  <c r="CO38" i="13"/>
  <c r="CO39" i="13" s="1"/>
  <c r="CO40" i="13" s="1"/>
  <c r="CO41" i="13" s="1"/>
  <c r="CO42" i="13" s="1"/>
  <c r="CO43" i="13" s="1"/>
  <c r="CO44" i="13" s="1"/>
  <c r="CO45" i="13" s="1"/>
  <c r="CO46" i="13" s="1"/>
  <c r="CO47" i="13" s="1"/>
  <c r="CO48" i="13" s="1"/>
  <c r="CO49" i="13" s="1"/>
  <c r="CO50" i="13" s="1"/>
  <c r="CO51" i="13" s="1"/>
  <c r="CO52" i="13" s="1"/>
  <c r="CO53" i="13" s="1"/>
  <c r="Q162" i="13" s="1"/>
  <c r="CF38" i="13"/>
  <c r="CK38" i="13" s="1"/>
  <c r="CG38" i="13"/>
  <c r="CL38" i="13" s="1"/>
  <c r="AS38" i="16"/>
  <c r="AS39" i="16" s="1"/>
  <c r="AS40" i="16" s="1"/>
  <c r="AS41" i="16" s="1"/>
  <c r="AS42" i="16" s="1"/>
  <c r="AS43" i="16" s="1"/>
  <c r="AS44" i="16" s="1"/>
  <c r="AS45" i="16" s="1"/>
  <c r="AS46" i="16" s="1"/>
  <c r="AS47" i="16" s="1"/>
  <c r="AS48" i="16" s="1"/>
  <c r="AS49" i="16" s="1"/>
  <c r="AS50" i="16" s="1"/>
  <c r="AS51" i="16" s="1"/>
  <c r="AS52" i="16" s="1"/>
  <c r="AS53" i="16" s="1"/>
  <c r="N162" i="16" s="1"/>
  <c r="AJ38" i="16"/>
  <c r="AO38" i="16" s="1"/>
  <c r="AK38" i="16"/>
  <c r="AP38" i="16" s="1"/>
  <c r="AG91" i="10"/>
  <c r="AG92" i="10" s="1"/>
  <c r="AG93" i="10" s="1"/>
  <c r="AG94" i="10" s="1"/>
  <c r="AG95" i="10" s="1"/>
  <c r="AG96" i="10" s="1"/>
  <c r="AG97" i="10" s="1"/>
  <c r="AG98" i="10" s="1"/>
  <c r="AG99" i="10" s="1"/>
  <c r="AG100" i="10" s="1"/>
  <c r="AG101" i="10" s="1"/>
  <c r="AG102" i="10" s="1"/>
  <c r="AG103" i="10" s="1"/>
  <c r="AG104" i="10" s="1"/>
  <c r="AG105" i="10" s="1"/>
  <c r="AG106" i="10" s="1"/>
  <c r="X91" i="10"/>
  <c r="AC91" i="10" s="1"/>
  <c r="Y91" i="10"/>
  <c r="AD91" i="10" s="1"/>
  <c r="U38" i="15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N162" i="15" s="1"/>
  <c r="L38" i="15"/>
  <c r="Q38" i="15" s="1"/>
  <c r="M38" i="15"/>
  <c r="R38" i="15" s="1"/>
  <c r="U38" i="16"/>
  <c r="U39" i="16" s="1"/>
  <c r="U40" i="16" s="1"/>
  <c r="U41" i="16" s="1"/>
  <c r="U42" i="16" s="1"/>
  <c r="U43" i="16" s="1"/>
  <c r="U44" i="16" s="1"/>
  <c r="U45" i="16" s="1"/>
  <c r="U46" i="16" s="1"/>
  <c r="U47" i="16" s="1"/>
  <c r="U48" i="16" s="1"/>
  <c r="U49" i="16" s="1"/>
  <c r="U50" i="16" s="1"/>
  <c r="U51" i="16" s="1"/>
  <c r="U52" i="16" s="1"/>
  <c r="U53" i="16" s="1"/>
  <c r="M162" i="16" s="1"/>
  <c r="L38" i="16"/>
  <c r="Q38" i="16" s="1"/>
  <c r="M38" i="16"/>
  <c r="R38" i="16" s="1"/>
  <c r="L164" i="15"/>
  <c r="M164" i="14"/>
  <c r="L163" i="14"/>
  <c r="L164" i="14"/>
  <c r="J165" i="14"/>
  <c r="J167" i="14" s="1"/>
  <c r="M165" i="13"/>
  <c r="M167" i="13" s="1"/>
  <c r="K164" i="16"/>
  <c r="H41" i="12" s="1"/>
  <c r="L165" i="15"/>
  <c r="L167" i="15" s="1"/>
  <c r="K165" i="14"/>
  <c r="K167" i="14" s="1"/>
  <c r="M164" i="13"/>
  <c r="AS12" i="15"/>
  <c r="AS13" i="15" s="1"/>
  <c r="AS14" i="15" s="1"/>
  <c r="AS15" i="15" s="1"/>
  <c r="AS16" i="15" s="1"/>
  <c r="AS17" i="15" s="1"/>
  <c r="AS18" i="15" s="1"/>
  <c r="AS19" i="15" s="1"/>
  <c r="AS20" i="15" s="1"/>
  <c r="AS21" i="15" s="1"/>
  <c r="AS22" i="15" s="1"/>
  <c r="AS23" i="15" s="1"/>
  <c r="AS24" i="15" s="1"/>
  <c r="AS25" i="15" s="1"/>
  <c r="AS26" i="15" s="1"/>
  <c r="AS27" i="15" s="1"/>
  <c r="J162" i="15" s="1"/>
  <c r="AJ12" i="15"/>
  <c r="AO12" i="15" s="1"/>
  <c r="M164" i="15"/>
  <c r="I164" i="16"/>
  <c r="G41" i="12" s="1"/>
  <c r="AK12" i="15"/>
  <c r="AP12" i="15" s="1"/>
  <c r="L8" i="11"/>
  <c r="L9" i="11" s="1"/>
  <c r="I163" i="14"/>
  <c r="I165" i="14" s="1"/>
  <c r="I167" i="14" s="1"/>
  <c r="H163" i="16"/>
  <c r="J164" i="14"/>
  <c r="M165" i="15"/>
  <c r="M167" i="15" s="1"/>
  <c r="M165" i="14"/>
  <c r="M167" i="14" s="1"/>
  <c r="K164" i="14"/>
  <c r="L164" i="16"/>
  <c r="D41" i="12" s="1"/>
  <c r="BQ12" i="15"/>
  <c r="BQ13" i="15" s="1"/>
  <c r="BQ14" i="15" s="1"/>
  <c r="BQ15" i="15" s="1"/>
  <c r="BQ16" i="15" s="1"/>
  <c r="BQ17" i="15" s="1"/>
  <c r="BQ18" i="15" s="1"/>
  <c r="BQ19" i="15" s="1"/>
  <c r="BQ20" i="15" s="1"/>
  <c r="BQ21" i="15" s="1"/>
  <c r="BQ22" i="15" s="1"/>
  <c r="BQ23" i="15" s="1"/>
  <c r="BQ24" i="15" s="1"/>
  <c r="BQ25" i="15" s="1"/>
  <c r="BQ26" i="15" s="1"/>
  <c r="BQ27" i="15" s="1"/>
  <c r="K162" i="15" s="1"/>
  <c r="K163" i="15" s="1"/>
  <c r="BH12" i="15"/>
  <c r="BM12" i="15" s="1"/>
  <c r="L7" i="11"/>
  <c r="R70" i="2"/>
  <c r="S28" i="8" s="1"/>
  <c r="S27" i="8"/>
  <c r="S26" i="8" s="1"/>
  <c r="Y71" i="2"/>
  <c r="Y68" i="2"/>
  <c r="U23" i="8" s="1"/>
  <c r="AF68" i="2"/>
  <c r="W23" i="8" s="1"/>
  <c r="AF71" i="2"/>
  <c r="W29" i="8" s="1"/>
  <c r="L163" i="13" l="1"/>
  <c r="L165" i="13" s="1"/>
  <c r="L167" i="13" s="1"/>
  <c r="L164" i="13"/>
  <c r="J163" i="13"/>
  <c r="J165" i="13" s="1"/>
  <c r="J167" i="13" s="1"/>
  <c r="J164" i="13"/>
  <c r="K163" i="13"/>
  <c r="K165" i="13" s="1"/>
  <c r="K167" i="13" s="1"/>
  <c r="K164" i="13"/>
  <c r="E20" i="12" s="1"/>
  <c r="CQ12" i="13"/>
  <c r="CQ13" i="13" s="1"/>
  <c r="CQ14" i="13" s="1"/>
  <c r="CQ15" i="13" s="1"/>
  <c r="CQ16" i="13" s="1"/>
  <c r="CQ17" i="13" s="1"/>
  <c r="CQ18" i="13" s="1"/>
  <c r="CQ19" i="13" s="1"/>
  <c r="CQ20" i="13" s="1"/>
  <c r="CQ21" i="13" s="1"/>
  <c r="CQ22" i="13" s="1"/>
  <c r="CQ23" i="13" s="1"/>
  <c r="CQ24" i="13" s="1"/>
  <c r="CQ25" i="13" s="1"/>
  <c r="CQ26" i="13" s="1"/>
  <c r="CQ27" i="13" s="1"/>
  <c r="CL12" i="13"/>
  <c r="CK12" i="13"/>
  <c r="CP12" i="13" s="1"/>
  <c r="CP13" i="13" s="1"/>
  <c r="CP14" i="13" s="1"/>
  <c r="CP15" i="13" s="1"/>
  <c r="CP16" i="13" s="1"/>
  <c r="CP17" i="13" s="1"/>
  <c r="CP18" i="13" s="1"/>
  <c r="CP19" i="13" s="1"/>
  <c r="CP20" i="13" s="1"/>
  <c r="CP21" i="13" s="1"/>
  <c r="CP22" i="13" s="1"/>
  <c r="CP23" i="13" s="1"/>
  <c r="CP24" i="13" s="1"/>
  <c r="CP25" i="13" s="1"/>
  <c r="CP26" i="13" s="1"/>
  <c r="CP27" i="13" s="1"/>
  <c r="AS38" i="13"/>
  <c r="AN38" i="13"/>
  <c r="R12" i="15"/>
  <c r="W12" i="15" s="1"/>
  <c r="W13" i="15" s="1"/>
  <c r="W14" i="15" s="1"/>
  <c r="W15" i="15" s="1"/>
  <c r="W16" i="15" s="1"/>
  <c r="W17" i="15" s="1"/>
  <c r="W18" i="15" s="1"/>
  <c r="W19" i="15" s="1"/>
  <c r="W20" i="15" s="1"/>
  <c r="W21" i="15" s="1"/>
  <c r="W22" i="15" s="1"/>
  <c r="W23" i="15" s="1"/>
  <c r="W24" i="15" s="1"/>
  <c r="W25" i="15" s="1"/>
  <c r="W26" i="15" s="1"/>
  <c r="W27" i="15" s="1"/>
  <c r="AK38" i="13"/>
  <c r="AP38" i="13" s="1"/>
  <c r="AJ38" i="13"/>
  <c r="AO38" i="13" s="1"/>
  <c r="E32" i="12"/>
  <c r="V13" i="13"/>
  <c r="V14" i="13" s="1"/>
  <c r="V15" i="13" s="1"/>
  <c r="V16" i="13" s="1"/>
  <c r="V17" i="13" s="1"/>
  <c r="V18" i="13" s="1"/>
  <c r="V19" i="13" s="1"/>
  <c r="V20" i="13" s="1"/>
  <c r="V21" i="13" s="1"/>
  <c r="V22" i="13" s="1"/>
  <c r="V23" i="13" s="1"/>
  <c r="V24" i="13" s="1"/>
  <c r="V25" i="13" s="1"/>
  <c r="V26" i="13" s="1"/>
  <c r="V27" i="13" s="1"/>
  <c r="W13" i="13"/>
  <c r="W14" i="13" s="1"/>
  <c r="W15" i="13" s="1"/>
  <c r="W16" i="13" s="1"/>
  <c r="W17" i="13" s="1"/>
  <c r="W18" i="13" s="1"/>
  <c r="W19" i="13" s="1"/>
  <c r="W20" i="13" s="1"/>
  <c r="W21" i="13" s="1"/>
  <c r="W22" i="13" s="1"/>
  <c r="W23" i="13" s="1"/>
  <c r="W24" i="13" s="1"/>
  <c r="W25" i="13" s="1"/>
  <c r="W26" i="13" s="1"/>
  <c r="W27" i="13" s="1"/>
  <c r="H32" i="12"/>
  <c r="D32" i="12"/>
  <c r="L61" i="22"/>
  <c r="E25" i="12"/>
  <c r="W38" i="15"/>
  <c r="W39" i="15" s="1"/>
  <c r="W40" i="15" s="1"/>
  <c r="W41" i="15" s="1"/>
  <c r="W42" i="15" s="1"/>
  <c r="W43" i="15" s="1"/>
  <c r="W44" i="15" s="1"/>
  <c r="W45" i="15" s="1"/>
  <c r="W46" i="15" s="1"/>
  <c r="W47" i="15" s="1"/>
  <c r="W48" i="15" s="1"/>
  <c r="W49" i="15" s="1"/>
  <c r="W50" i="15" s="1"/>
  <c r="W51" i="15" s="1"/>
  <c r="W52" i="15" s="1"/>
  <c r="W53" i="15" s="1"/>
  <c r="CQ38" i="14"/>
  <c r="CQ39" i="14" s="1"/>
  <c r="CQ40" i="14" s="1"/>
  <c r="CQ41" i="14" s="1"/>
  <c r="CQ42" i="14" s="1"/>
  <c r="CQ43" i="14" s="1"/>
  <c r="CQ44" i="14" s="1"/>
  <c r="CQ45" i="14" s="1"/>
  <c r="CQ46" i="14" s="1"/>
  <c r="CQ47" i="14" s="1"/>
  <c r="CQ48" i="14" s="1"/>
  <c r="CQ49" i="14" s="1"/>
  <c r="CQ50" i="14" s="1"/>
  <c r="CQ51" i="14" s="1"/>
  <c r="CQ52" i="14" s="1"/>
  <c r="CQ53" i="14" s="1"/>
  <c r="DN38" i="15"/>
  <c r="DN39" i="15" s="1"/>
  <c r="DN40" i="15" s="1"/>
  <c r="DN41" i="15" s="1"/>
  <c r="DN42" i="15" s="1"/>
  <c r="DN43" i="15" s="1"/>
  <c r="DN44" i="15" s="1"/>
  <c r="DN45" i="15" s="1"/>
  <c r="DN46" i="15" s="1"/>
  <c r="DN47" i="15" s="1"/>
  <c r="DN48" i="15" s="1"/>
  <c r="DN49" i="15" s="1"/>
  <c r="DN50" i="15" s="1"/>
  <c r="DN51" i="15" s="1"/>
  <c r="DN52" i="15" s="1"/>
  <c r="DO53" i="15" s="1"/>
  <c r="DO38" i="14"/>
  <c r="DO39" i="14" s="1"/>
  <c r="DO40" i="14" s="1"/>
  <c r="DO41" i="14" s="1"/>
  <c r="DO42" i="14" s="1"/>
  <c r="DO43" i="14" s="1"/>
  <c r="DO44" i="14" s="1"/>
  <c r="DO45" i="14" s="1"/>
  <c r="DO46" i="14" s="1"/>
  <c r="DO47" i="14" s="1"/>
  <c r="DO48" i="14" s="1"/>
  <c r="DO49" i="14" s="1"/>
  <c r="DO50" i="14" s="1"/>
  <c r="DO51" i="14" s="1"/>
  <c r="DO52" i="14" s="1"/>
  <c r="DO53" i="14" s="1"/>
  <c r="DN38" i="13"/>
  <c r="DN39" i="13" s="1"/>
  <c r="DN40" i="13" s="1"/>
  <c r="DN41" i="13" s="1"/>
  <c r="DN42" i="13" s="1"/>
  <c r="DN43" i="13" s="1"/>
  <c r="DN44" i="13" s="1"/>
  <c r="DN45" i="13" s="1"/>
  <c r="DN46" i="13" s="1"/>
  <c r="DN47" i="13" s="1"/>
  <c r="DN48" i="13" s="1"/>
  <c r="DN49" i="13" s="1"/>
  <c r="DN50" i="13" s="1"/>
  <c r="DN51" i="13" s="1"/>
  <c r="DN52" i="13" s="1"/>
  <c r="DN53" i="13" s="1"/>
  <c r="AT12" i="15"/>
  <c r="AT13" i="15" s="1"/>
  <c r="AT14" i="15" s="1"/>
  <c r="AT15" i="15" s="1"/>
  <c r="AT16" i="15" s="1"/>
  <c r="AT17" i="15" s="1"/>
  <c r="AT18" i="15" s="1"/>
  <c r="AT19" i="15" s="1"/>
  <c r="AT20" i="15" s="1"/>
  <c r="AT21" i="15" s="1"/>
  <c r="AT22" i="15" s="1"/>
  <c r="AT23" i="15" s="1"/>
  <c r="AT24" i="15" s="1"/>
  <c r="AT25" i="15" s="1"/>
  <c r="AT26" i="15" s="1"/>
  <c r="AT27" i="15" s="1"/>
  <c r="W38" i="16"/>
  <c r="W39" i="16" s="1"/>
  <c r="W40" i="16" s="1"/>
  <c r="W41" i="16" s="1"/>
  <c r="W42" i="16" s="1"/>
  <c r="W43" i="16" s="1"/>
  <c r="W44" i="16" s="1"/>
  <c r="W45" i="16" s="1"/>
  <c r="W46" i="16" s="1"/>
  <c r="W47" i="16" s="1"/>
  <c r="W48" i="16" s="1"/>
  <c r="W49" i="16" s="1"/>
  <c r="W50" i="16" s="1"/>
  <c r="W51" i="16" s="1"/>
  <c r="W52" i="16" s="1"/>
  <c r="W53" i="16" s="1"/>
  <c r="V38" i="15"/>
  <c r="V39" i="15" s="1"/>
  <c r="V40" i="15" s="1"/>
  <c r="V41" i="15" s="1"/>
  <c r="V42" i="15" s="1"/>
  <c r="V43" i="15" s="1"/>
  <c r="V44" i="15" s="1"/>
  <c r="V45" i="15" s="1"/>
  <c r="V46" i="15" s="1"/>
  <c r="V47" i="15" s="1"/>
  <c r="V48" i="15" s="1"/>
  <c r="V49" i="15" s="1"/>
  <c r="V50" i="15" s="1"/>
  <c r="V51" i="15" s="1"/>
  <c r="V52" i="15" s="1"/>
  <c r="V53" i="15" s="1"/>
  <c r="CQ38" i="13"/>
  <c r="CQ39" i="13" s="1"/>
  <c r="CQ40" i="13" s="1"/>
  <c r="CQ41" i="13" s="1"/>
  <c r="CQ42" i="13" s="1"/>
  <c r="CQ43" i="13" s="1"/>
  <c r="CQ44" i="13" s="1"/>
  <c r="CQ45" i="13" s="1"/>
  <c r="CQ46" i="13" s="1"/>
  <c r="CQ47" i="13" s="1"/>
  <c r="CQ48" i="13" s="1"/>
  <c r="CQ49" i="13" s="1"/>
  <c r="CQ50" i="13" s="1"/>
  <c r="CQ51" i="13" s="1"/>
  <c r="CQ52" i="13" s="1"/>
  <c r="CQ53" i="13" s="1"/>
  <c r="AT38" i="13"/>
  <c r="AT39" i="13" s="1"/>
  <c r="AT40" i="13" s="1"/>
  <c r="AT41" i="13" s="1"/>
  <c r="AT42" i="13" s="1"/>
  <c r="AT43" i="13" s="1"/>
  <c r="AT44" i="13" s="1"/>
  <c r="AT45" i="13" s="1"/>
  <c r="AT46" i="13" s="1"/>
  <c r="AT47" i="13" s="1"/>
  <c r="AT48" i="13" s="1"/>
  <c r="AT49" i="13" s="1"/>
  <c r="AT50" i="13" s="1"/>
  <c r="AT51" i="13" s="1"/>
  <c r="AT52" i="13" s="1"/>
  <c r="AT53" i="13" s="1"/>
  <c r="DO38" i="16"/>
  <c r="DO39" i="16" s="1"/>
  <c r="DO40" i="16" s="1"/>
  <c r="DO41" i="16" s="1"/>
  <c r="DO42" i="16" s="1"/>
  <c r="DO43" i="16" s="1"/>
  <c r="DO44" i="16" s="1"/>
  <c r="DO45" i="16" s="1"/>
  <c r="DO46" i="16" s="1"/>
  <c r="DO47" i="16" s="1"/>
  <c r="DO48" i="16" s="1"/>
  <c r="DO49" i="16" s="1"/>
  <c r="DO50" i="16" s="1"/>
  <c r="DO51" i="16" s="1"/>
  <c r="DO52" i="16" s="1"/>
  <c r="DO53" i="16" s="1"/>
  <c r="CP38" i="14"/>
  <c r="CP39" i="14" s="1"/>
  <c r="CP40" i="14" s="1"/>
  <c r="CP41" i="14" s="1"/>
  <c r="CP42" i="14" s="1"/>
  <c r="CP43" i="14" s="1"/>
  <c r="CP44" i="14" s="1"/>
  <c r="CP45" i="14" s="1"/>
  <c r="CP46" i="14" s="1"/>
  <c r="CP47" i="14" s="1"/>
  <c r="CP48" i="14" s="1"/>
  <c r="CP49" i="14" s="1"/>
  <c r="CP50" i="14" s="1"/>
  <c r="CP51" i="14" s="1"/>
  <c r="CP52" i="14" s="1"/>
  <c r="CP53" i="14" s="1"/>
  <c r="CQ38" i="16"/>
  <c r="CQ39" i="16" s="1"/>
  <c r="CQ40" i="16" s="1"/>
  <c r="CQ41" i="16" s="1"/>
  <c r="CQ42" i="16" s="1"/>
  <c r="CQ43" i="16" s="1"/>
  <c r="CQ44" i="16" s="1"/>
  <c r="CQ45" i="16" s="1"/>
  <c r="CQ46" i="16" s="1"/>
  <c r="CQ47" i="16" s="1"/>
  <c r="CQ48" i="16" s="1"/>
  <c r="CQ49" i="16" s="1"/>
  <c r="CQ50" i="16" s="1"/>
  <c r="CQ51" i="16" s="1"/>
  <c r="CQ52" i="16" s="1"/>
  <c r="CQ53" i="16" s="1"/>
  <c r="DN38" i="14"/>
  <c r="DN39" i="14" s="1"/>
  <c r="DN40" i="14" s="1"/>
  <c r="DN41" i="14" s="1"/>
  <c r="DN42" i="14" s="1"/>
  <c r="DN43" i="14" s="1"/>
  <c r="DN44" i="14" s="1"/>
  <c r="DN45" i="14" s="1"/>
  <c r="DN46" i="14" s="1"/>
  <c r="DN47" i="14" s="1"/>
  <c r="DN48" i="14" s="1"/>
  <c r="DN49" i="14" s="1"/>
  <c r="DN50" i="14" s="1"/>
  <c r="DN51" i="14" s="1"/>
  <c r="DN52" i="14" s="1"/>
  <c r="DN53" i="14" s="1"/>
  <c r="CQ38" i="15"/>
  <c r="CQ39" i="15" s="1"/>
  <c r="CQ40" i="15" s="1"/>
  <c r="CQ41" i="15" s="1"/>
  <c r="CQ42" i="15" s="1"/>
  <c r="CQ43" i="15" s="1"/>
  <c r="CQ44" i="15" s="1"/>
  <c r="CQ45" i="15" s="1"/>
  <c r="CQ46" i="15" s="1"/>
  <c r="CQ47" i="15" s="1"/>
  <c r="CQ48" i="15" s="1"/>
  <c r="CQ49" i="15" s="1"/>
  <c r="CQ50" i="15" s="1"/>
  <c r="CQ51" i="15" s="1"/>
  <c r="CQ52" i="15" s="1"/>
  <c r="CQ53" i="15" s="1"/>
  <c r="BR38" i="13"/>
  <c r="BR39" i="13" s="1"/>
  <c r="BR40" i="13" s="1"/>
  <c r="BR41" i="13" s="1"/>
  <c r="BR42" i="13" s="1"/>
  <c r="BR43" i="13" s="1"/>
  <c r="BR44" i="13" s="1"/>
  <c r="BR45" i="13" s="1"/>
  <c r="BR46" i="13" s="1"/>
  <c r="BR47" i="13" s="1"/>
  <c r="BR48" i="13" s="1"/>
  <c r="BR49" i="13" s="1"/>
  <c r="BR50" i="13" s="1"/>
  <c r="BR51" i="13" s="1"/>
  <c r="BR52" i="13" s="1"/>
  <c r="BR53" i="13" s="1"/>
  <c r="BS38" i="14"/>
  <c r="BS39" i="14" s="1"/>
  <c r="BS40" i="14" s="1"/>
  <c r="BS41" i="14" s="1"/>
  <c r="BS42" i="14" s="1"/>
  <c r="BS43" i="14" s="1"/>
  <c r="BS44" i="14" s="1"/>
  <c r="BS45" i="14" s="1"/>
  <c r="BS46" i="14" s="1"/>
  <c r="BS47" i="14" s="1"/>
  <c r="BS48" i="14" s="1"/>
  <c r="BS49" i="14" s="1"/>
  <c r="BS50" i="14" s="1"/>
  <c r="BS51" i="14" s="1"/>
  <c r="BS52" i="14" s="1"/>
  <c r="BS53" i="14" s="1"/>
  <c r="AU12" i="15"/>
  <c r="AU13" i="15" s="1"/>
  <c r="AU14" i="15" s="1"/>
  <c r="AU15" i="15" s="1"/>
  <c r="AU16" i="15" s="1"/>
  <c r="AU17" i="15" s="1"/>
  <c r="AU18" i="15" s="1"/>
  <c r="AU19" i="15" s="1"/>
  <c r="AU20" i="15" s="1"/>
  <c r="AU21" i="15" s="1"/>
  <c r="AU22" i="15" s="1"/>
  <c r="AU23" i="15" s="1"/>
  <c r="AU24" i="15" s="1"/>
  <c r="AU25" i="15" s="1"/>
  <c r="AU26" i="15" s="1"/>
  <c r="AU27" i="15" s="1"/>
  <c r="BR38" i="15"/>
  <c r="BR39" i="15" s="1"/>
  <c r="BR40" i="15" s="1"/>
  <c r="BR41" i="15" s="1"/>
  <c r="BR42" i="15" s="1"/>
  <c r="BR43" i="15" s="1"/>
  <c r="BR44" i="15" s="1"/>
  <c r="BR45" i="15" s="1"/>
  <c r="BR46" i="15" s="1"/>
  <c r="BR47" i="15" s="1"/>
  <c r="BR48" i="15" s="1"/>
  <c r="BR49" i="15" s="1"/>
  <c r="BR50" i="15" s="1"/>
  <c r="BR51" i="15" s="1"/>
  <c r="BR52" i="15" s="1"/>
  <c r="BR53" i="15" s="1"/>
  <c r="V38" i="16"/>
  <c r="V39" i="16" s="1"/>
  <c r="V40" i="16" s="1"/>
  <c r="V41" i="16" s="1"/>
  <c r="V42" i="16" s="1"/>
  <c r="V43" i="16" s="1"/>
  <c r="V44" i="16" s="1"/>
  <c r="V45" i="16" s="1"/>
  <c r="V46" i="16" s="1"/>
  <c r="V47" i="16" s="1"/>
  <c r="V48" i="16" s="1"/>
  <c r="V49" i="16" s="1"/>
  <c r="V50" i="16" s="1"/>
  <c r="V51" i="16" s="1"/>
  <c r="V52" i="16" s="1"/>
  <c r="V53" i="16" s="1"/>
  <c r="AU38" i="16"/>
  <c r="AU39" i="16" s="1"/>
  <c r="AU40" i="16" s="1"/>
  <c r="AU41" i="16" s="1"/>
  <c r="AU42" i="16" s="1"/>
  <c r="AU43" i="16" s="1"/>
  <c r="AU44" i="16" s="1"/>
  <c r="AU45" i="16" s="1"/>
  <c r="AU46" i="16" s="1"/>
  <c r="AU47" i="16" s="1"/>
  <c r="AU48" i="16" s="1"/>
  <c r="AU49" i="16" s="1"/>
  <c r="AU50" i="16" s="1"/>
  <c r="AU51" i="16" s="1"/>
  <c r="AU52" i="16" s="1"/>
  <c r="AU53" i="16" s="1"/>
  <c r="CP38" i="13"/>
  <c r="CP39" i="13" s="1"/>
  <c r="CP40" i="13" s="1"/>
  <c r="CP41" i="13" s="1"/>
  <c r="CP42" i="13" s="1"/>
  <c r="CP43" i="13" s="1"/>
  <c r="CP44" i="13" s="1"/>
  <c r="CP45" i="13" s="1"/>
  <c r="CP46" i="13" s="1"/>
  <c r="CP47" i="13" s="1"/>
  <c r="CP48" i="13" s="1"/>
  <c r="CP49" i="13" s="1"/>
  <c r="CP50" i="13" s="1"/>
  <c r="CP51" i="13" s="1"/>
  <c r="CP52" i="13" s="1"/>
  <c r="CP53" i="13" s="1"/>
  <c r="W38" i="14"/>
  <c r="W39" i="14" s="1"/>
  <c r="W40" i="14" s="1"/>
  <c r="W41" i="14" s="1"/>
  <c r="W42" i="14" s="1"/>
  <c r="W43" i="14" s="1"/>
  <c r="W44" i="14" s="1"/>
  <c r="W45" i="14" s="1"/>
  <c r="W46" i="14" s="1"/>
  <c r="W47" i="14" s="1"/>
  <c r="W48" i="14" s="1"/>
  <c r="W49" i="14" s="1"/>
  <c r="W50" i="14" s="1"/>
  <c r="W51" i="14" s="1"/>
  <c r="W52" i="14" s="1"/>
  <c r="W53" i="14" s="1"/>
  <c r="DN38" i="16"/>
  <c r="DN39" i="16" s="1"/>
  <c r="DN40" i="16" s="1"/>
  <c r="DN41" i="16" s="1"/>
  <c r="DN42" i="16" s="1"/>
  <c r="DN43" i="16" s="1"/>
  <c r="DN44" i="16" s="1"/>
  <c r="DN45" i="16" s="1"/>
  <c r="DN46" i="16" s="1"/>
  <c r="DN47" i="16" s="1"/>
  <c r="DN48" i="16" s="1"/>
  <c r="DN49" i="16" s="1"/>
  <c r="DN50" i="16" s="1"/>
  <c r="DN51" i="16" s="1"/>
  <c r="DN52" i="16" s="1"/>
  <c r="DN53" i="16" s="1"/>
  <c r="W38" i="13"/>
  <c r="W39" i="13" s="1"/>
  <c r="W40" i="13" s="1"/>
  <c r="W41" i="13" s="1"/>
  <c r="W42" i="13" s="1"/>
  <c r="W43" i="13" s="1"/>
  <c r="W44" i="13" s="1"/>
  <c r="W45" i="13" s="1"/>
  <c r="W46" i="13" s="1"/>
  <c r="W47" i="13" s="1"/>
  <c r="W48" i="13" s="1"/>
  <c r="W49" i="13" s="1"/>
  <c r="W50" i="13" s="1"/>
  <c r="W51" i="13" s="1"/>
  <c r="W52" i="13" s="1"/>
  <c r="W53" i="13" s="1"/>
  <c r="CP38" i="16"/>
  <c r="CP39" i="16" s="1"/>
  <c r="CP40" i="16" s="1"/>
  <c r="CP41" i="16" s="1"/>
  <c r="CP42" i="16" s="1"/>
  <c r="CP43" i="16" s="1"/>
  <c r="CP44" i="16" s="1"/>
  <c r="CP45" i="16" s="1"/>
  <c r="CP46" i="16" s="1"/>
  <c r="CP47" i="16" s="1"/>
  <c r="CP48" i="16" s="1"/>
  <c r="CP49" i="16" s="1"/>
  <c r="CP50" i="16" s="1"/>
  <c r="CP51" i="16" s="1"/>
  <c r="CP52" i="16" s="1"/>
  <c r="CP53" i="16" s="1"/>
  <c r="BS38" i="16"/>
  <c r="BS39" i="16" s="1"/>
  <c r="BS40" i="16" s="1"/>
  <c r="BS41" i="16" s="1"/>
  <c r="BS42" i="16" s="1"/>
  <c r="BS43" i="16" s="1"/>
  <c r="BS44" i="16" s="1"/>
  <c r="BS45" i="16" s="1"/>
  <c r="BS46" i="16" s="1"/>
  <c r="BS47" i="16" s="1"/>
  <c r="BS48" i="16" s="1"/>
  <c r="BS49" i="16" s="1"/>
  <c r="BS50" i="16" s="1"/>
  <c r="BS51" i="16" s="1"/>
  <c r="BS52" i="16" s="1"/>
  <c r="BS53" i="16" s="1"/>
  <c r="CP38" i="15"/>
  <c r="CP39" i="15" s="1"/>
  <c r="CP40" i="15" s="1"/>
  <c r="CP41" i="15" s="1"/>
  <c r="CP42" i="15" s="1"/>
  <c r="CP43" i="15" s="1"/>
  <c r="CP44" i="15" s="1"/>
  <c r="CP45" i="15" s="1"/>
  <c r="CP46" i="15" s="1"/>
  <c r="CP47" i="15" s="1"/>
  <c r="CP48" i="15" s="1"/>
  <c r="CP49" i="15" s="1"/>
  <c r="CP50" i="15" s="1"/>
  <c r="CP51" i="15" s="1"/>
  <c r="CP52" i="15" s="1"/>
  <c r="CP53" i="15" s="1"/>
  <c r="AU38" i="15"/>
  <c r="AU39" i="15" s="1"/>
  <c r="AU40" i="15" s="1"/>
  <c r="AU41" i="15" s="1"/>
  <c r="AU42" i="15" s="1"/>
  <c r="AU43" i="15" s="1"/>
  <c r="AU44" i="15" s="1"/>
  <c r="AU45" i="15" s="1"/>
  <c r="AU46" i="15" s="1"/>
  <c r="AU47" i="15" s="1"/>
  <c r="AU48" i="15" s="1"/>
  <c r="AU49" i="15" s="1"/>
  <c r="AU50" i="15" s="1"/>
  <c r="AU51" i="15" s="1"/>
  <c r="AU52" i="15" s="1"/>
  <c r="AU53" i="15" s="1"/>
  <c r="BR38" i="14"/>
  <c r="BR39" i="14" s="1"/>
  <c r="BR40" i="14" s="1"/>
  <c r="BR41" i="14" s="1"/>
  <c r="BR42" i="14" s="1"/>
  <c r="BR43" i="14" s="1"/>
  <c r="BR44" i="14" s="1"/>
  <c r="BR45" i="14" s="1"/>
  <c r="BR46" i="14" s="1"/>
  <c r="BR47" i="14" s="1"/>
  <c r="BR48" i="14" s="1"/>
  <c r="BR49" i="14" s="1"/>
  <c r="BR50" i="14" s="1"/>
  <c r="BR51" i="14" s="1"/>
  <c r="BR52" i="14" s="1"/>
  <c r="BR53" i="14" s="1"/>
  <c r="BR12" i="15"/>
  <c r="BR13" i="15" s="1"/>
  <c r="BR14" i="15" s="1"/>
  <c r="BR15" i="15" s="1"/>
  <c r="BR16" i="15" s="1"/>
  <c r="BR17" i="15" s="1"/>
  <c r="BR18" i="15" s="1"/>
  <c r="BR19" i="15" s="1"/>
  <c r="BR20" i="15" s="1"/>
  <c r="BR21" i="15" s="1"/>
  <c r="BR22" i="15" s="1"/>
  <c r="BR23" i="15" s="1"/>
  <c r="BR24" i="15" s="1"/>
  <c r="BR25" i="15" s="1"/>
  <c r="BR26" i="15" s="1"/>
  <c r="BR27" i="15" s="1"/>
  <c r="AU38" i="13"/>
  <c r="AU39" i="13" s="1"/>
  <c r="AU40" i="13" s="1"/>
  <c r="AU41" i="13" s="1"/>
  <c r="AU42" i="13" s="1"/>
  <c r="AU43" i="13" s="1"/>
  <c r="AU44" i="13" s="1"/>
  <c r="AU45" i="13" s="1"/>
  <c r="AU46" i="13" s="1"/>
  <c r="AU47" i="13" s="1"/>
  <c r="AU48" i="13" s="1"/>
  <c r="AU49" i="13" s="1"/>
  <c r="AU50" i="13" s="1"/>
  <c r="AU51" i="13" s="1"/>
  <c r="AU52" i="13" s="1"/>
  <c r="AU53" i="13" s="1"/>
  <c r="AT38" i="14"/>
  <c r="AT39" i="14" s="1"/>
  <c r="AT40" i="14" s="1"/>
  <c r="AT41" i="14" s="1"/>
  <c r="AT42" i="14" s="1"/>
  <c r="AT43" i="14" s="1"/>
  <c r="AT44" i="14" s="1"/>
  <c r="AT45" i="14" s="1"/>
  <c r="AT46" i="14" s="1"/>
  <c r="AT47" i="14" s="1"/>
  <c r="AT48" i="14" s="1"/>
  <c r="AT49" i="14" s="1"/>
  <c r="AT50" i="14" s="1"/>
  <c r="AT51" i="14" s="1"/>
  <c r="AT52" i="14" s="1"/>
  <c r="AT53" i="14" s="1"/>
  <c r="BS38" i="13"/>
  <c r="BS39" i="13" s="1"/>
  <c r="BS40" i="13" s="1"/>
  <c r="BS41" i="13" s="1"/>
  <c r="BS42" i="13" s="1"/>
  <c r="BS43" i="13" s="1"/>
  <c r="BS44" i="13" s="1"/>
  <c r="BS45" i="13" s="1"/>
  <c r="BS46" i="13" s="1"/>
  <c r="BS47" i="13" s="1"/>
  <c r="BS48" i="13" s="1"/>
  <c r="BS49" i="13" s="1"/>
  <c r="BS50" i="13" s="1"/>
  <c r="BS51" i="13" s="1"/>
  <c r="BS52" i="13" s="1"/>
  <c r="BS53" i="13" s="1"/>
  <c r="AT38" i="16"/>
  <c r="AT39" i="16" s="1"/>
  <c r="AT40" i="16" s="1"/>
  <c r="AT41" i="16" s="1"/>
  <c r="AT42" i="16" s="1"/>
  <c r="AT43" i="16" s="1"/>
  <c r="AT44" i="16" s="1"/>
  <c r="AT45" i="16" s="1"/>
  <c r="AT46" i="16" s="1"/>
  <c r="AT47" i="16" s="1"/>
  <c r="AT48" i="16" s="1"/>
  <c r="AT49" i="16" s="1"/>
  <c r="AT50" i="16" s="1"/>
  <c r="AT51" i="16" s="1"/>
  <c r="AT52" i="16" s="1"/>
  <c r="AT53" i="16" s="1"/>
  <c r="AU38" i="14"/>
  <c r="AU39" i="14" s="1"/>
  <c r="AU40" i="14" s="1"/>
  <c r="AU41" i="14" s="1"/>
  <c r="AU42" i="14" s="1"/>
  <c r="AU43" i="14" s="1"/>
  <c r="AU44" i="14" s="1"/>
  <c r="AU45" i="14" s="1"/>
  <c r="AU46" i="14" s="1"/>
  <c r="AU47" i="14" s="1"/>
  <c r="AU48" i="14" s="1"/>
  <c r="AU49" i="14" s="1"/>
  <c r="AU50" i="14" s="1"/>
  <c r="AU51" i="14" s="1"/>
  <c r="AU52" i="14" s="1"/>
  <c r="AU53" i="14" s="1"/>
  <c r="V38" i="14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DO38" i="15"/>
  <c r="DO39" i="15" s="1"/>
  <c r="DO40" i="15" s="1"/>
  <c r="DO41" i="15" s="1"/>
  <c r="DO42" i="15" s="1"/>
  <c r="DO43" i="15" s="1"/>
  <c r="DO44" i="15" s="1"/>
  <c r="DO45" i="15" s="1"/>
  <c r="DO46" i="15" s="1"/>
  <c r="DO47" i="15" s="1"/>
  <c r="DO48" i="15" s="1"/>
  <c r="DO49" i="15" s="1"/>
  <c r="DO50" i="15" s="1"/>
  <c r="DO51" i="15" s="1"/>
  <c r="DO52" i="15" s="1"/>
  <c r="DP53" i="15" s="1"/>
  <c r="V38" i="13"/>
  <c r="V39" i="13" s="1"/>
  <c r="V40" i="13" s="1"/>
  <c r="V41" i="13" s="1"/>
  <c r="V42" i="13" s="1"/>
  <c r="V43" i="13" s="1"/>
  <c r="V44" i="13" s="1"/>
  <c r="V45" i="13" s="1"/>
  <c r="V46" i="13" s="1"/>
  <c r="V47" i="13" s="1"/>
  <c r="V48" i="13" s="1"/>
  <c r="V49" i="13" s="1"/>
  <c r="V50" i="13" s="1"/>
  <c r="V51" i="13" s="1"/>
  <c r="V52" i="13" s="1"/>
  <c r="V53" i="13" s="1"/>
  <c r="DO38" i="13"/>
  <c r="DO39" i="13" s="1"/>
  <c r="DO40" i="13" s="1"/>
  <c r="DO41" i="13" s="1"/>
  <c r="DO42" i="13" s="1"/>
  <c r="DO43" i="13" s="1"/>
  <c r="DO44" i="13" s="1"/>
  <c r="DO45" i="13" s="1"/>
  <c r="DO46" i="13" s="1"/>
  <c r="DO47" i="13" s="1"/>
  <c r="DO48" i="13" s="1"/>
  <c r="DO49" i="13" s="1"/>
  <c r="DO50" i="13" s="1"/>
  <c r="DO51" i="13" s="1"/>
  <c r="DO52" i="13" s="1"/>
  <c r="DO53" i="13" s="1"/>
  <c r="BR38" i="16"/>
  <c r="BR39" i="16" s="1"/>
  <c r="BR40" i="16" s="1"/>
  <c r="BR41" i="16" s="1"/>
  <c r="BR42" i="16" s="1"/>
  <c r="BR43" i="16" s="1"/>
  <c r="BR44" i="16" s="1"/>
  <c r="BR45" i="16" s="1"/>
  <c r="BR46" i="16" s="1"/>
  <c r="BR47" i="16" s="1"/>
  <c r="BR48" i="16" s="1"/>
  <c r="BR49" i="16" s="1"/>
  <c r="BR50" i="16" s="1"/>
  <c r="BR51" i="16" s="1"/>
  <c r="BR52" i="16" s="1"/>
  <c r="BR53" i="16" s="1"/>
  <c r="BS38" i="15"/>
  <c r="BS39" i="15" s="1"/>
  <c r="BS40" i="15" s="1"/>
  <c r="BS41" i="15" s="1"/>
  <c r="BS42" i="15" s="1"/>
  <c r="BS43" i="15" s="1"/>
  <c r="BS44" i="15" s="1"/>
  <c r="BS45" i="15" s="1"/>
  <c r="BS46" i="15" s="1"/>
  <c r="BS47" i="15" s="1"/>
  <c r="BS48" i="15" s="1"/>
  <c r="BS49" i="15" s="1"/>
  <c r="BS50" i="15" s="1"/>
  <c r="BS51" i="15" s="1"/>
  <c r="BS52" i="15" s="1"/>
  <c r="BS53" i="15" s="1"/>
  <c r="AT38" i="15"/>
  <c r="AT39" i="15" s="1"/>
  <c r="AT40" i="15" s="1"/>
  <c r="AT41" i="15" s="1"/>
  <c r="AT42" i="15" s="1"/>
  <c r="AT43" i="15" s="1"/>
  <c r="AT44" i="15" s="1"/>
  <c r="AT45" i="15" s="1"/>
  <c r="AT46" i="15" s="1"/>
  <c r="AT47" i="15" s="1"/>
  <c r="AT48" i="15" s="1"/>
  <c r="AT49" i="15" s="1"/>
  <c r="AT50" i="15" s="1"/>
  <c r="AT51" i="15" s="1"/>
  <c r="AT52" i="15" s="1"/>
  <c r="AT53" i="15" s="1"/>
  <c r="I25" i="12"/>
  <c r="I33" i="12"/>
  <c r="I19" i="12"/>
  <c r="I26" i="12"/>
  <c r="Y166" i="15"/>
  <c r="Y168" i="15" s="1"/>
  <c r="G31" i="12"/>
  <c r="I17" i="12"/>
  <c r="I18" i="12"/>
  <c r="I24" i="12"/>
  <c r="AA166" i="15"/>
  <c r="AA168" i="15" s="1"/>
  <c r="H31" i="12"/>
  <c r="I29" i="12"/>
  <c r="I36" i="12"/>
  <c r="S166" i="13"/>
  <c r="S168" i="13" s="1"/>
  <c r="F22" i="12"/>
  <c r="I22" i="12" s="1"/>
  <c r="M166" i="13"/>
  <c r="M168" i="13" s="1"/>
  <c r="D20" i="12"/>
  <c r="K166" i="13"/>
  <c r="K168" i="13" s="1"/>
  <c r="J166" i="13"/>
  <c r="J168" i="13" s="1"/>
  <c r="G20" i="12"/>
  <c r="L166" i="13"/>
  <c r="L168" i="13" s="1"/>
  <c r="H20" i="12"/>
  <c r="M166" i="15"/>
  <c r="M168" i="15" s="1"/>
  <c r="D34" i="12"/>
  <c r="L166" i="15"/>
  <c r="L168" i="15" s="1"/>
  <c r="H34" i="12"/>
  <c r="K166" i="14"/>
  <c r="K168" i="14" s="1"/>
  <c r="E27" i="12"/>
  <c r="M166" i="14"/>
  <c r="M168" i="14" s="1"/>
  <c r="D27" i="12"/>
  <c r="L166" i="14"/>
  <c r="L168" i="14" s="1"/>
  <c r="H27" i="12"/>
  <c r="J166" i="14"/>
  <c r="J168" i="14" s="1"/>
  <c r="G27" i="12"/>
  <c r="AH91" i="10"/>
  <c r="G61" i="22"/>
  <c r="Q7" i="23" s="1"/>
  <c r="AH66" i="10"/>
  <c r="F81" i="22"/>
  <c r="AI42" i="10"/>
  <c r="K83" i="22"/>
  <c r="AH15" i="10"/>
  <c r="D82" i="22"/>
  <c r="AI91" i="10"/>
  <c r="M61" i="22"/>
  <c r="R7" i="23" s="1"/>
  <c r="AI66" i="10"/>
  <c r="L81" i="22"/>
  <c r="AH41" i="10"/>
  <c r="E82" i="22"/>
  <c r="AI15" i="10"/>
  <c r="J82" i="22"/>
  <c r="U29" i="8"/>
  <c r="U27" i="8" s="1"/>
  <c r="U26" i="8" s="1"/>
  <c r="Q163" i="16"/>
  <c r="Q164" i="16"/>
  <c r="D42" i="12" s="1"/>
  <c r="P163" i="16"/>
  <c r="P164" i="16"/>
  <c r="H42" i="12" s="1"/>
  <c r="P163" i="14"/>
  <c r="P164" i="14"/>
  <c r="Q163" i="14"/>
  <c r="Q164" i="14"/>
  <c r="AS39" i="13"/>
  <c r="AS40" i="13" s="1"/>
  <c r="AS41" i="13" s="1"/>
  <c r="AS42" i="13" s="1"/>
  <c r="AS43" i="13" s="1"/>
  <c r="AS44" i="13" s="1"/>
  <c r="AS45" i="13" s="1"/>
  <c r="AS46" i="13" s="1"/>
  <c r="AS47" i="13" s="1"/>
  <c r="AS48" i="13" s="1"/>
  <c r="AS49" i="13" s="1"/>
  <c r="AS50" i="13" s="1"/>
  <c r="AS51" i="13" s="1"/>
  <c r="AS52" i="13" s="1"/>
  <c r="AS53" i="13" s="1"/>
  <c r="O162" i="13" s="1"/>
  <c r="R163" i="13"/>
  <c r="R164" i="13"/>
  <c r="AS39" i="15"/>
  <c r="AS40" i="15" s="1"/>
  <c r="AS41" i="15" s="1"/>
  <c r="AS42" i="15" s="1"/>
  <c r="AS43" i="15" s="1"/>
  <c r="AS44" i="15" s="1"/>
  <c r="AS45" i="15" s="1"/>
  <c r="AS46" i="15" s="1"/>
  <c r="AS47" i="15" s="1"/>
  <c r="AS48" i="15" s="1"/>
  <c r="AS49" i="15" s="1"/>
  <c r="AS50" i="15" s="1"/>
  <c r="AS51" i="15" s="1"/>
  <c r="AS52" i="15" s="1"/>
  <c r="AS53" i="15" s="1"/>
  <c r="O162" i="15" s="1"/>
  <c r="P163" i="15"/>
  <c r="P164" i="15"/>
  <c r="Q163" i="15"/>
  <c r="Q164" i="15"/>
  <c r="R163" i="15"/>
  <c r="R164" i="15"/>
  <c r="P163" i="13"/>
  <c r="P164" i="13"/>
  <c r="AS39" i="14"/>
  <c r="AS40" i="14" s="1"/>
  <c r="AS41" i="14" s="1"/>
  <c r="AS42" i="14" s="1"/>
  <c r="AS43" i="14" s="1"/>
  <c r="AS44" i="14" s="1"/>
  <c r="AS45" i="14" s="1"/>
  <c r="AS46" i="14" s="1"/>
  <c r="AS47" i="14" s="1"/>
  <c r="AS48" i="14" s="1"/>
  <c r="AS49" i="14" s="1"/>
  <c r="AS50" i="14" s="1"/>
  <c r="AS51" i="14" s="1"/>
  <c r="AS52" i="14" s="1"/>
  <c r="AS53" i="14" s="1"/>
  <c r="O162" i="14" s="1"/>
  <c r="O163" i="16"/>
  <c r="O164" i="16"/>
  <c r="E42" i="12" s="1"/>
  <c r="M8" i="11"/>
  <c r="N163" i="16"/>
  <c r="N164" i="16"/>
  <c r="G42" i="12" s="1"/>
  <c r="Q163" i="13"/>
  <c r="Q164" i="13"/>
  <c r="R163" i="14"/>
  <c r="R164" i="14"/>
  <c r="J164" i="16"/>
  <c r="E41" i="12" s="1"/>
  <c r="L10" i="11"/>
  <c r="I164" i="13"/>
  <c r="K165" i="15"/>
  <c r="K167" i="15" s="1"/>
  <c r="I164" i="15"/>
  <c r="K164" i="15"/>
  <c r="L11" i="11"/>
  <c r="L13" i="11" s="1"/>
  <c r="J163" i="15"/>
  <c r="J164" i="15"/>
  <c r="H164" i="16"/>
  <c r="F41" i="12" s="1"/>
  <c r="L165" i="14"/>
  <c r="L167" i="14" s="1"/>
  <c r="Y70" i="2"/>
  <c r="U28" i="8" s="1"/>
  <c r="AF70" i="2"/>
  <c r="W28" i="8" s="1"/>
  <c r="W27" i="8"/>
  <c r="W26" i="8" s="1"/>
  <c r="P13" i="9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D6" i="11" s="1"/>
  <c r="P39" i="9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E6" i="11" s="1"/>
  <c r="P65" i="9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F6" i="11" s="1"/>
  <c r="P91" i="9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G6" i="11" s="1"/>
  <c r="P117" i="9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H6" i="11" s="1"/>
  <c r="Q13" i="9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D7" i="11" s="1"/>
  <c r="Q39" i="9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E7" i="11" s="1"/>
  <c r="Q65" i="9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F7" i="11" s="1"/>
  <c r="Q91" i="9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G7" i="11" s="1"/>
  <c r="Q117" i="9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H7" i="11" s="1"/>
  <c r="R13" i="9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D8" i="11" s="1"/>
  <c r="R39" i="9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E8" i="11" s="1"/>
  <c r="R65" i="9"/>
  <c r="R66" i="9" s="1"/>
  <c r="R67" i="9" s="1"/>
  <c r="R68" i="9" s="1"/>
  <c r="R69" i="9" s="1"/>
  <c r="R70" i="9" s="1"/>
  <c r="R71" i="9" s="1"/>
  <c r="R72" i="9" s="1"/>
  <c r="R73" i="9" s="1"/>
  <c r="R74" i="9" s="1"/>
  <c r="R75" i="9" s="1"/>
  <c r="R76" i="9" s="1"/>
  <c r="R77" i="9" s="1"/>
  <c r="R78" i="9" s="1"/>
  <c r="R79" i="9" s="1"/>
  <c r="R80" i="9" s="1"/>
  <c r="F8" i="11" s="1"/>
  <c r="R91" i="9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G8" i="11" s="1"/>
  <c r="S13" i="9"/>
  <c r="T13" i="9"/>
  <c r="S39" i="9"/>
  <c r="T39" i="9"/>
  <c r="T65" i="9"/>
  <c r="S65" i="9"/>
  <c r="I32" i="12" l="1"/>
  <c r="L12" i="11"/>
  <c r="L14" i="11" s="1"/>
  <c r="I31" i="12"/>
  <c r="I41" i="12"/>
  <c r="Q166" i="13"/>
  <c r="Q168" i="13" s="1"/>
  <c r="H21" i="12"/>
  <c r="I166" i="14"/>
  <c r="I168" i="14" s="1"/>
  <c r="F27" i="12"/>
  <c r="I27" i="12" s="1"/>
  <c r="I166" i="15"/>
  <c r="I168" i="15" s="1"/>
  <c r="F34" i="12"/>
  <c r="I166" i="13"/>
  <c r="I168" i="13" s="1"/>
  <c r="F20" i="12"/>
  <c r="I20" i="12" s="1"/>
  <c r="P166" i="13"/>
  <c r="P168" i="13" s="1"/>
  <c r="E21" i="12"/>
  <c r="R166" i="13"/>
  <c r="R168" i="13" s="1"/>
  <c r="D21" i="12"/>
  <c r="K166" i="15"/>
  <c r="K168" i="15" s="1"/>
  <c r="E34" i="12"/>
  <c r="P166" i="15"/>
  <c r="P168" i="15" s="1"/>
  <c r="E35" i="12"/>
  <c r="R166" i="15"/>
  <c r="R168" i="15" s="1"/>
  <c r="D35" i="12"/>
  <c r="Q166" i="15"/>
  <c r="Q168" i="15" s="1"/>
  <c r="H35" i="12"/>
  <c r="J166" i="15"/>
  <c r="J168" i="15" s="1"/>
  <c r="G34" i="12"/>
  <c r="R166" i="14"/>
  <c r="R168" i="14" s="1"/>
  <c r="D28" i="12"/>
  <c r="Q166" i="14"/>
  <c r="Q168" i="14" s="1"/>
  <c r="H28" i="12"/>
  <c r="P166" i="14"/>
  <c r="P168" i="14" s="1"/>
  <c r="E28" i="12"/>
  <c r="AH42" i="10"/>
  <c r="E83" i="22"/>
  <c r="AI67" i="10"/>
  <c r="L82" i="22"/>
  <c r="AI92" i="10"/>
  <c r="M81" i="22"/>
  <c r="T7" i="23" s="1"/>
  <c r="AH67" i="10"/>
  <c r="F82" i="22"/>
  <c r="AI43" i="10"/>
  <c r="K84" i="22"/>
  <c r="J83" i="22"/>
  <c r="D83" i="22"/>
  <c r="AH92" i="10"/>
  <c r="G81" i="22"/>
  <c r="S7" i="23" s="1"/>
  <c r="T66" i="9"/>
  <c r="M53" i="18"/>
  <c r="T40" i="9"/>
  <c r="L53" i="18"/>
  <c r="T14" i="9"/>
  <c r="K53" i="18"/>
  <c r="S7" i="17" s="1"/>
  <c r="S66" i="9"/>
  <c r="F53" i="18"/>
  <c r="S14" i="9"/>
  <c r="D53" i="18"/>
  <c r="R7" i="17" s="1"/>
  <c r="S40" i="9"/>
  <c r="E53" i="18"/>
  <c r="M163" i="16"/>
  <c r="M164" i="16"/>
  <c r="F42" i="12" s="1"/>
  <c r="Q165" i="14"/>
  <c r="Q167" i="14" s="1"/>
  <c r="N163" i="14"/>
  <c r="N165" i="14" s="1"/>
  <c r="N167" i="14" s="1"/>
  <c r="N164" i="14"/>
  <c r="P165" i="13"/>
  <c r="P167" i="13" s="1"/>
  <c r="O163" i="15"/>
  <c r="O164" i="15"/>
  <c r="P165" i="14"/>
  <c r="P167" i="14" s="1"/>
  <c r="R165" i="14"/>
  <c r="R167" i="14" s="1"/>
  <c r="N163" i="15"/>
  <c r="N165" i="15" s="1"/>
  <c r="N167" i="15" s="1"/>
  <c r="N164" i="15"/>
  <c r="M9" i="11"/>
  <c r="M10" i="11"/>
  <c r="R165" i="15"/>
  <c r="R167" i="15" s="1"/>
  <c r="R165" i="13"/>
  <c r="R167" i="13" s="1"/>
  <c r="P165" i="15"/>
  <c r="P167" i="15" s="1"/>
  <c r="O163" i="14"/>
  <c r="O164" i="14"/>
  <c r="N163" i="13"/>
  <c r="N165" i="13" s="1"/>
  <c r="N167" i="13" s="1"/>
  <c r="N164" i="13"/>
  <c r="Q165" i="13"/>
  <c r="Q167" i="13" s="1"/>
  <c r="Q165" i="15"/>
  <c r="Q167" i="15" s="1"/>
  <c r="O163" i="13"/>
  <c r="O164" i="13"/>
  <c r="J165" i="15"/>
  <c r="J167" i="15" s="1"/>
  <c r="H9" i="11"/>
  <c r="H11" i="11" s="1"/>
  <c r="H13" i="11" s="1"/>
  <c r="H10" i="11"/>
  <c r="H12" i="11" s="1"/>
  <c r="H14" i="11" s="1"/>
  <c r="F9" i="11"/>
  <c r="F11" i="11" s="1"/>
  <c r="F13" i="11" s="1"/>
  <c r="F10" i="11"/>
  <c r="F12" i="11" s="1"/>
  <c r="F14" i="11" s="1"/>
  <c r="E10" i="11"/>
  <c r="E12" i="11" s="1"/>
  <c r="E14" i="11" s="1"/>
  <c r="E9" i="11"/>
  <c r="E11" i="11" s="1"/>
  <c r="E13" i="11" s="1"/>
  <c r="G10" i="11"/>
  <c r="G12" i="11" s="1"/>
  <c r="G14" i="11" s="1"/>
  <c r="G9" i="11"/>
  <c r="G11" i="11" s="1"/>
  <c r="G13" i="11" s="1"/>
  <c r="D9" i="11"/>
  <c r="D11" i="11" s="1"/>
  <c r="D13" i="11" s="1"/>
  <c r="D10" i="11"/>
  <c r="D12" i="11" s="1"/>
  <c r="D14" i="11" s="1"/>
  <c r="S91" i="9"/>
  <c r="T91" i="9"/>
  <c r="S117" i="9"/>
  <c r="T117" i="9"/>
  <c r="M12" i="11" l="1"/>
  <c r="M14" i="11" s="1"/>
  <c r="I34" i="12"/>
  <c r="N166" i="15"/>
  <c r="N168" i="15" s="1"/>
  <c r="F35" i="12"/>
  <c r="N166" i="13"/>
  <c r="N168" i="13" s="1"/>
  <c r="F21" i="12"/>
  <c r="O166" i="13"/>
  <c r="O168" i="13" s="1"/>
  <c r="G21" i="12"/>
  <c r="N166" i="14"/>
  <c r="N168" i="14" s="1"/>
  <c r="F28" i="12"/>
  <c r="O166" i="15"/>
  <c r="O168" i="15" s="1"/>
  <c r="G35" i="12"/>
  <c r="O166" i="14"/>
  <c r="O168" i="14" s="1"/>
  <c r="G28" i="12"/>
  <c r="AI93" i="10"/>
  <c r="M82" i="22"/>
  <c r="T8" i="23" s="1"/>
  <c r="AI44" i="10"/>
  <c r="K85" i="22"/>
  <c r="AI68" i="10"/>
  <c r="L83" i="22"/>
  <c r="AH93" i="10"/>
  <c r="G82" i="22"/>
  <c r="S8" i="23" s="1"/>
  <c r="AH68" i="10"/>
  <c r="F83" i="22"/>
  <c r="AH43" i="10"/>
  <c r="E84" i="22"/>
  <c r="O53" i="18"/>
  <c r="S41" i="9"/>
  <c r="E54" i="18"/>
  <c r="T41" i="9"/>
  <c r="L54" i="18"/>
  <c r="S118" i="9"/>
  <c r="H53" i="18"/>
  <c r="S67" i="9"/>
  <c r="F54" i="18"/>
  <c r="T92" i="9"/>
  <c r="N53" i="18"/>
  <c r="S92" i="9"/>
  <c r="G53" i="18"/>
  <c r="T15" i="9"/>
  <c r="K54" i="18"/>
  <c r="S8" i="17" s="1"/>
  <c r="S15" i="9"/>
  <c r="D54" i="18"/>
  <c r="R8" i="17" s="1"/>
  <c r="T67" i="9"/>
  <c r="M54" i="18"/>
  <c r="O165" i="13"/>
  <c r="O167" i="13" s="1"/>
  <c r="O165" i="14"/>
  <c r="O167" i="14" s="1"/>
  <c r="M11" i="11"/>
  <c r="M13" i="11" s="1"/>
  <c r="I42" i="12"/>
  <c r="O165" i="15"/>
  <c r="O167" i="15" s="1"/>
  <c r="T118" i="9"/>
  <c r="Q143" i="9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I6" i="11" s="1"/>
  <c r="R143" i="9"/>
  <c r="R144" i="9" s="1"/>
  <c r="R145" i="9" s="1"/>
  <c r="R146" i="9" s="1"/>
  <c r="R147" i="9" s="1"/>
  <c r="R148" i="9" s="1"/>
  <c r="R149" i="9" s="1"/>
  <c r="R150" i="9" s="1"/>
  <c r="R151" i="9" s="1"/>
  <c r="R152" i="9" s="1"/>
  <c r="R153" i="9" s="1"/>
  <c r="R154" i="9" s="1"/>
  <c r="R155" i="9" s="1"/>
  <c r="R156" i="9" s="1"/>
  <c r="R157" i="9" s="1"/>
  <c r="R158" i="9" s="1"/>
  <c r="I7" i="11" s="1"/>
  <c r="S143" i="9"/>
  <c r="S144" i="9" s="1"/>
  <c r="S145" i="9" s="1"/>
  <c r="S146" i="9" s="1"/>
  <c r="S147" i="9" s="1"/>
  <c r="S148" i="9" s="1"/>
  <c r="S149" i="9" s="1"/>
  <c r="S150" i="9" s="1"/>
  <c r="S151" i="9" s="1"/>
  <c r="S152" i="9" s="1"/>
  <c r="S153" i="9" s="1"/>
  <c r="S154" i="9" s="1"/>
  <c r="S155" i="9" s="1"/>
  <c r="S156" i="9" s="1"/>
  <c r="S157" i="9" s="1"/>
  <c r="S158" i="9" s="1"/>
  <c r="I8" i="11" s="1"/>
  <c r="T143" i="9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U143" i="9"/>
  <c r="U144" i="9" s="1"/>
  <c r="U145" i="9" s="1"/>
  <c r="U146" i="9" s="1"/>
  <c r="U147" i="9" s="1"/>
  <c r="U148" i="9" s="1"/>
  <c r="U149" i="9" s="1"/>
  <c r="U150" i="9" s="1"/>
  <c r="U151" i="9" s="1"/>
  <c r="U152" i="9" s="1"/>
  <c r="U153" i="9" s="1"/>
  <c r="U154" i="9" s="1"/>
  <c r="U155" i="9" s="1"/>
  <c r="U156" i="9" s="1"/>
  <c r="U157" i="9" s="1"/>
  <c r="U158" i="9" s="1"/>
  <c r="AI45" i="10" l="1"/>
  <c r="K86" i="22"/>
  <c r="AH94" i="10"/>
  <c r="G83" i="22"/>
  <c r="S9" i="23" s="1"/>
  <c r="AI69" i="10"/>
  <c r="L84" i="22"/>
  <c r="AI94" i="10"/>
  <c r="M83" i="22"/>
  <c r="T9" i="23" s="1"/>
  <c r="AH69" i="10"/>
  <c r="F84" i="22"/>
  <c r="AH44" i="10"/>
  <c r="E85" i="22"/>
  <c r="I21" i="12"/>
  <c r="I35" i="12"/>
  <c r="S68" i="9"/>
  <c r="F55" i="18"/>
  <c r="S119" i="9"/>
  <c r="H54" i="18"/>
  <c r="S16" i="9"/>
  <c r="D55" i="18"/>
  <c r="R9" i="17" s="1"/>
  <c r="S93" i="9"/>
  <c r="G54" i="18"/>
  <c r="T42" i="9"/>
  <c r="L55" i="18"/>
  <c r="T119" i="9"/>
  <c r="O54" i="18"/>
  <c r="T16" i="9"/>
  <c r="K55" i="18"/>
  <c r="S9" i="17" s="1"/>
  <c r="T68" i="9"/>
  <c r="M55" i="18"/>
  <c r="T93" i="9"/>
  <c r="N54" i="18"/>
  <c r="S42" i="9"/>
  <c r="E55" i="18"/>
  <c r="I28" i="12"/>
  <c r="I10" i="11"/>
  <c r="I9" i="11"/>
  <c r="I11" i="11" s="1"/>
  <c r="I13" i="11" s="1"/>
  <c r="J22" i="12" l="1"/>
  <c r="I12" i="11"/>
  <c r="I14" i="11" s="1"/>
  <c r="J33" i="12"/>
  <c r="J28" i="12"/>
  <c r="J31" i="12"/>
  <c r="J21" i="12"/>
  <c r="J34" i="12"/>
  <c r="J20" i="12"/>
  <c r="J35" i="12"/>
  <c r="J24" i="12"/>
  <c r="J27" i="12"/>
  <c r="J19" i="12"/>
  <c r="J25" i="12"/>
  <c r="J29" i="12"/>
  <c r="J40" i="12"/>
  <c r="J18" i="12"/>
  <c r="J36" i="12"/>
  <c r="J17" i="12"/>
  <c r="J32" i="12"/>
  <c r="J26" i="12"/>
  <c r="J38" i="12"/>
  <c r="J39" i="12"/>
  <c r="J42" i="12"/>
  <c r="J43" i="12"/>
  <c r="AI70" i="10"/>
  <c r="L85" i="22"/>
  <c r="AH45" i="10"/>
  <c r="E86" i="22"/>
  <c r="AH95" i="10"/>
  <c r="G84" i="22"/>
  <c r="S10" i="23" s="1"/>
  <c r="AH70" i="10"/>
  <c r="F85" i="22"/>
  <c r="AI46" i="10"/>
  <c r="K87" i="22"/>
  <c r="AI95" i="10"/>
  <c r="M84" i="22"/>
  <c r="T10" i="23" s="1"/>
  <c r="T69" i="9"/>
  <c r="M56" i="18"/>
  <c r="S17" i="9"/>
  <c r="D56" i="18"/>
  <c r="R10" i="17" s="1"/>
  <c r="S43" i="9"/>
  <c r="E56" i="18"/>
  <c r="T120" i="9"/>
  <c r="O55" i="18"/>
  <c r="S120" i="9"/>
  <c r="H55" i="18"/>
  <c r="S94" i="9"/>
  <c r="G55" i="18"/>
  <c r="T17" i="9"/>
  <c r="K56" i="18"/>
  <c r="S10" i="17" s="1"/>
  <c r="T94" i="9"/>
  <c r="N55" i="18"/>
  <c r="T43" i="9"/>
  <c r="L56" i="18"/>
  <c r="S69" i="9"/>
  <c r="F56" i="18"/>
  <c r="J41" i="12"/>
  <c r="AI96" i="10" l="1"/>
  <c r="M85" i="22"/>
  <c r="T11" i="23" s="1"/>
  <c r="AI47" i="10"/>
  <c r="K88" i="22"/>
  <c r="AI71" i="10"/>
  <c r="L86" i="22"/>
  <c r="AH96" i="10"/>
  <c r="G85" i="22"/>
  <c r="S11" i="23" s="1"/>
  <c r="AH46" i="10"/>
  <c r="E87" i="22"/>
  <c r="AH71" i="10"/>
  <c r="F86" i="22"/>
  <c r="S18" i="9"/>
  <c r="D57" i="18"/>
  <c r="R11" i="17" s="1"/>
  <c r="T95" i="9"/>
  <c r="N56" i="18"/>
  <c r="S44" i="9"/>
  <c r="E57" i="18"/>
  <c r="S95" i="9"/>
  <c r="G56" i="18"/>
  <c r="T121" i="9"/>
  <c r="O56" i="18"/>
  <c r="T18" i="9"/>
  <c r="K57" i="18"/>
  <c r="S11" i="17" s="1"/>
  <c r="S70" i="9"/>
  <c r="F57" i="18"/>
  <c r="T44" i="9"/>
  <c r="L57" i="18"/>
  <c r="S121" i="9"/>
  <c r="H56" i="18"/>
  <c r="T70" i="9"/>
  <c r="M57" i="18"/>
  <c r="AH72" i="10" l="1"/>
  <c r="F87" i="22"/>
  <c r="AI72" i="10"/>
  <c r="L87" i="22"/>
  <c r="AI48" i="10"/>
  <c r="K89" i="22"/>
  <c r="AH47" i="10"/>
  <c r="E88" i="22"/>
  <c r="AH97" i="10"/>
  <c r="G86" i="22"/>
  <c r="S12" i="23" s="1"/>
  <c r="AI97" i="10"/>
  <c r="M86" i="22"/>
  <c r="T12" i="23" s="1"/>
  <c r="S96" i="9"/>
  <c r="G57" i="18"/>
  <c r="S71" i="9"/>
  <c r="F58" i="18"/>
  <c r="T96" i="9"/>
  <c r="N57" i="18"/>
  <c r="T45" i="9"/>
  <c r="L58" i="18"/>
  <c r="S45" i="9"/>
  <c r="E58" i="18"/>
  <c r="T19" i="9"/>
  <c r="K58" i="18"/>
  <c r="S12" i="17" s="1"/>
  <c r="T71" i="9"/>
  <c r="M58" i="18"/>
  <c r="S122" i="9"/>
  <c r="H57" i="18"/>
  <c r="T122" i="9"/>
  <c r="O57" i="18"/>
  <c r="S19" i="9"/>
  <c r="D58" i="18"/>
  <c r="R12" i="17" s="1"/>
  <c r="AH48" i="10" l="1"/>
  <c r="E89" i="22"/>
  <c r="AI73" i="10"/>
  <c r="L88" i="22"/>
  <c r="AH98" i="10"/>
  <c r="G87" i="22"/>
  <c r="S13" i="23" s="1"/>
  <c r="AH73" i="10"/>
  <c r="F88" i="22"/>
  <c r="AI98" i="10"/>
  <c r="M87" i="22"/>
  <c r="T13" i="23" s="1"/>
  <c r="AI49" i="10"/>
  <c r="K90" i="22"/>
  <c r="S123" i="9"/>
  <c r="H58" i="18"/>
  <c r="T46" i="9"/>
  <c r="L59" i="18"/>
  <c r="S20" i="9"/>
  <c r="D59" i="18"/>
  <c r="R13" i="17" s="1"/>
  <c r="T20" i="9"/>
  <c r="K59" i="18"/>
  <c r="S13" i="17" s="1"/>
  <c r="S72" i="9"/>
  <c r="F59" i="18"/>
  <c r="T72" i="9"/>
  <c r="M59" i="18"/>
  <c r="T97" i="9"/>
  <c r="N58" i="18"/>
  <c r="T123" i="9"/>
  <c r="O58" i="18"/>
  <c r="S46" i="9"/>
  <c r="E59" i="18"/>
  <c r="S97" i="9"/>
  <c r="G58" i="18"/>
  <c r="AI50" i="10" l="1"/>
  <c r="K91" i="22"/>
  <c r="AI99" i="10"/>
  <c r="M88" i="22"/>
  <c r="T14" i="23" s="1"/>
  <c r="AI74" i="10"/>
  <c r="L89" i="22"/>
  <c r="AH74" i="10"/>
  <c r="F89" i="22"/>
  <c r="AH99" i="10"/>
  <c r="G88" i="22"/>
  <c r="S14" i="23" s="1"/>
  <c r="AH49" i="10"/>
  <c r="E90" i="22"/>
  <c r="T124" i="9"/>
  <c r="O59" i="18"/>
  <c r="T21" i="9"/>
  <c r="K60" i="18"/>
  <c r="S14" i="17" s="1"/>
  <c r="T98" i="9"/>
  <c r="N59" i="18"/>
  <c r="S21" i="9"/>
  <c r="D60" i="18"/>
  <c r="R14" i="17" s="1"/>
  <c r="S98" i="9"/>
  <c r="G59" i="18"/>
  <c r="T47" i="9"/>
  <c r="L60" i="18"/>
  <c r="T73" i="9"/>
  <c r="M60" i="18"/>
  <c r="S47" i="9"/>
  <c r="E60" i="18"/>
  <c r="S73" i="9"/>
  <c r="F60" i="18"/>
  <c r="S124" i="9"/>
  <c r="H59" i="18"/>
  <c r="AH100" i="10" l="1"/>
  <c r="G89" i="22"/>
  <c r="S15" i="23" s="1"/>
  <c r="AI100" i="10"/>
  <c r="M89" i="22"/>
  <c r="T15" i="23" s="1"/>
  <c r="AH75" i="10"/>
  <c r="F90" i="22"/>
  <c r="AI75" i="10"/>
  <c r="L90" i="22"/>
  <c r="AH50" i="10"/>
  <c r="E91" i="22"/>
  <c r="AI51" i="10"/>
  <c r="K92" i="22"/>
  <c r="S48" i="9"/>
  <c r="E61" i="18"/>
  <c r="S22" i="9"/>
  <c r="D61" i="18"/>
  <c r="R15" i="17" s="1"/>
  <c r="T74" i="9"/>
  <c r="M61" i="18"/>
  <c r="S125" i="9"/>
  <c r="H60" i="18"/>
  <c r="T22" i="9"/>
  <c r="K61" i="18"/>
  <c r="S15" i="17" s="1"/>
  <c r="T99" i="9"/>
  <c r="N60" i="18"/>
  <c r="T48" i="9"/>
  <c r="L61" i="18"/>
  <c r="S74" i="9"/>
  <c r="F61" i="18"/>
  <c r="S99" i="9"/>
  <c r="G60" i="18"/>
  <c r="T125" i="9"/>
  <c r="O60" i="18"/>
  <c r="AH51" i="10" l="1"/>
  <c r="E92" i="22"/>
  <c r="AI76" i="10"/>
  <c r="L91" i="22"/>
  <c r="AI101" i="10"/>
  <c r="M90" i="22"/>
  <c r="T16" i="23" s="1"/>
  <c r="AH101" i="10"/>
  <c r="G90" i="22"/>
  <c r="S16" i="23" s="1"/>
  <c r="AI52" i="10"/>
  <c r="K93" i="22"/>
  <c r="AH76" i="10"/>
  <c r="F91" i="22"/>
  <c r="T75" i="9"/>
  <c r="M62" i="18"/>
  <c r="S23" i="9"/>
  <c r="D62" i="18"/>
  <c r="R16" i="17" s="1"/>
  <c r="S126" i="9"/>
  <c r="H61" i="18"/>
  <c r="T49" i="9"/>
  <c r="L62" i="18"/>
  <c r="S75" i="9"/>
  <c r="F62" i="18"/>
  <c r="T126" i="9"/>
  <c r="O61" i="18"/>
  <c r="T100" i="9"/>
  <c r="N61" i="18"/>
  <c r="S100" i="9"/>
  <c r="G61" i="18"/>
  <c r="T23" i="9"/>
  <c r="K62" i="18"/>
  <c r="S16" i="17" s="1"/>
  <c r="S49" i="9"/>
  <c r="E62" i="18"/>
  <c r="AI53" i="10" l="1"/>
  <c r="K94" i="22"/>
  <c r="AH102" i="10"/>
  <c r="G91" i="22"/>
  <c r="S17" i="23" s="1"/>
  <c r="AH52" i="10"/>
  <c r="E93" i="22"/>
  <c r="AH77" i="10"/>
  <c r="F92" i="22"/>
  <c r="AI77" i="10"/>
  <c r="L92" i="22"/>
  <c r="AI102" i="10"/>
  <c r="M91" i="22"/>
  <c r="T17" i="23" s="1"/>
  <c r="T50" i="9"/>
  <c r="L63" i="18"/>
  <c r="T101" i="9"/>
  <c r="N62" i="18"/>
  <c r="S24" i="9"/>
  <c r="D63" i="18"/>
  <c r="R17" i="17" s="1"/>
  <c r="S127" i="9"/>
  <c r="H62" i="18"/>
  <c r="S101" i="9"/>
  <c r="G62" i="18"/>
  <c r="S50" i="9"/>
  <c r="E63" i="18"/>
  <c r="T127" i="9"/>
  <c r="O62" i="18"/>
  <c r="T24" i="9"/>
  <c r="K63" i="18"/>
  <c r="S17" i="17" s="1"/>
  <c r="S76" i="9"/>
  <c r="F63" i="18"/>
  <c r="T76" i="9"/>
  <c r="M63" i="18"/>
  <c r="AH53" i="10" l="1"/>
  <c r="E94" i="22"/>
  <c r="AH103" i="10"/>
  <c r="G92" i="22"/>
  <c r="S18" i="23" s="1"/>
  <c r="AI78" i="10"/>
  <c r="L93" i="22"/>
  <c r="AI54" i="10"/>
  <c r="K96" i="22" s="1"/>
  <c r="K95" i="22"/>
  <c r="AI103" i="10"/>
  <c r="M92" i="22"/>
  <c r="T18" i="23" s="1"/>
  <c r="AH78" i="10"/>
  <c r="F93" i="22"/>
  <c r="T102" i="9"/>
  <c r="N63" i="18"/>
  <c r="T25" i="9"/>
  <c r="K64" i="18"/>
  <c r="S18" i="17" s="1"/>
  <c r="S128" i="9"/>
  <c r="H63" i="18"/>
  <c r="S25" i="9"/>
  <c r="D64" i="18"/>
  <c r="R18" i="17" s="1"/>
  <c r="S51" i="9"/>
  <c r="E64" i="18"/>
  <c r="T128" i="9"/>
  <c r="O63" i="18"/>
  <c r="T77" i="9"/>
  <c r="M64" i="18"/>
  <c r="S77" i="9"/>
  <c r="F64" i="18"/>
  <c r="S102" i="9"/>
  <c r="G63" i="18"/>
  <c r="T51" i="9"/>
  <c r="L64" i="18"/>
  <c r="AI104" i="10" l="1"/>
  <c r="M93" i="22"/>
  <c r="T19" i="23" s="1"/>
  <c r="AH104" i="10"/>
  <c r="G93" i="22"/>
  <c r="S19" i="23" s="1"/>
  <c r="AH79" i="10"/>
  <c r="F94" i="22"/>
  <c r="AI79" i="10"/>
  <c r="L94" i="22"/>
  <c r="AH54" i="10"/>
  <c r="E96" i="22" s="1"/>
  <c r="E95" i="22"/>
  <c r="S26" i="9"/>
  <c r="D65" i="18"/>
  <c r="R19" i="17" s="1"/>
  <c r="T52" i="9"/>
  <c r="L65" i="18"/>
  <c r="T26" i="9"/>
  <c r="K65" i="18"/>
  <c r="S19" i="17" s="1"/>
  <c r="S78" i="9"/>
  <c r="F65" i="18"/>
  <c r="T78" i="9"/>
  <c r="M65" i="18"/>
  <c r="S129" i="9"/>
  <c r="H64" i="18"/>
  <c r="T129" i="9"/>
  <c r="O64" i="18"/>
  <c r="S103" i="9"/>
  <c r="G64" i="18"/>
  <c r="S52" i="9"/>
  <c r="E65" i="18"/>
  <c r="T103" i="9"/>
  <c r="N64" i="18"/>
  <c r="AH105" i="10" l="1"/>
  <c r="G94" i="22"/>
  <c r="S20" i="23" s="1"/>
  <c r="AH80" i="10"/>
  <c r="F96" i="22" s="1"/>
  <c r="F95" i="22"/>
  <c r="AI105" i="10"/>
  <c r="M94" i="22"/>
  <c r="T20" i="23" s="1"/>
  <c r="AI80" i="10"/>
  <c r="L96" i="22" s="1"/>
  <c r="L95" i="22"/>
  <c r="S104" i="9"/>
  <c r="G65" i="18"/>
  <c r="T27" i="9"/>
  <c r="K66" i="18"/>
  <c r="S20" i="17" s="1"/>
  <c r="T104" i="9"/>
  <c r="N65" i="18"/>
  <c r="T53" i="9"/>
  <c r="L66" i="18"/>
  <c r="S79" i="9"/>
  <c r="F66" i="18"/>
  <c r="T130" i="9"/>
  <c r="O65" i="18"/>
  <c r="S130" i="9"/>
  <c r="H65" i="18"/>
  <c r="S53" i="9"/>
  <c r="E66" i="18"/>
  <c r="T79" i="9"/>
  <c r="M66" i="18"/>
  <c r="S27" i="9"/>
  <c r="D66" i="18"/>
  <c r="R20" i="17" s="1"/>
  <c r="AI106" i="10" l="1"/>
  <c r="M96" i="22" s="1"/>
  <c r="T22" i="23" s="1"/>
  <c r="M95" i="22"/>
  <c r="T21" i="23" s="1"/>
  <c r="AH106" i="10"/>
  <c r="G96" i="22" s="1"/>
  <c r="S22" i="23" s="1"/>
  <c r="G95" i="22"/>
  <c r="S21" i="23" s="1"/>
  <c r="T54" i="9"/>
  <c r="L67" i="18"/>
  <c r="T105" i="9"/>
  <c r="N66" i="18"/>
  <c r="T28" i="9"/>
  <c r="K67" i="18"/>
  <c r="S21" i="17" s="1"/>
  <c r="S54" i="9"/>
  <c r="E67" i="18"/>
  <c r="S28" i="9"/>
  <c r="D67" i="18"/>
  <c r="R21" i="17" s="1"/>
  <c r="S131" i="9"/>
  <c r="H66" i="18"/>
  <c r="T131" i="9"/>
  <c r="O66" i="18"/>
  <c r="M67" i="18"/>
  <c r="T80" i="9"/>
  <c r="S80" i="9"/>
  <c r="F67" i="18"/>
  <c r="S105" i="9"/>
  <c r="G66" i="18"/>
  <c r="M68" i="18" l="1"/>
  <c r="E68" i="18"/>
  <c r="K68" i="18"/>
  <c r="S22" i="17" s="1"/>
  <c r="F68" i="18"/>
  <c r="D68" i="18"/>
  <c r="R22" i="17" s="1"/>
  <c r="L68" i="18"/>
  <c r="T132" i="9"/>
  <c r="O67" i="18"/>
  <c r="S106" i="9"/>
  <c r="G67" i="18"/>
  <c r="T106" i="9"/>
  <c r="N67" i="18"/>
  <c r="S132" i="9"/>
  <c r="H67" i="18"/>
  <c r="D30" i="17" l="1"/>
  <c r="E30" i="17" s="1"/>
  <c r="F30" i="17" s="1"/>
  <c r="D29" i="17"/>
  <c r="E29" i="17" s="1"/>
  <c r="F29" i="17" s="1"/>
  <c r="H68" i="18"/>
  <c r="G68" i="18"/>
  <c r="O68" i="18"/>
  <c r="N68" i="18"/>
  <c r="D30" i="23" l="1"/>
  <c r="E30" i="23" s="1"/>
  <c r="F30" i="23" s="1"/>
  <c r="D29" i="23"/>
  <c r="E29" i="23" s="1"/>
  <c r="F29" i="23" s="1"/>
  <c r="R10" i="23" l="1"/>
  <c r="R13" i="23"/>
  <c r="R16" i="23"/>
  <c r="R19" i="23"/>
  <c r="R22" i="23"/>
  <c r="J71" i="2"/>
  <c r="P29" i="8" s="1"/>
  <c r="P27" i="8" s="1"/>
  <c r="P22" i="8"/>
  <c r="D46" i="22" l="1"/>
  <c r="D40" i="22"/>
  <c r="W22" i="10"/>
  <c r="AB22" i="10" s="1"/>
  <c r="AC22" i="10" s="1"/>
  <c r="AD22" i="10" s="1"/>
  <c r="W28" i="10"/>
  <c r="AB28" i="10" s="1"/>
  <c r="AC28" i="10" s="1"/>
  <c r="AD28" i="10" s="1"/>
  <c r="D43" i="22"/>
  <c r="P24" i="8"/>
  <c r="W16" i="10"/>
  <c r="AB16" i="10" s="1"/>
  <c r="AC16" i="10" s="1"/>
  <c r="AD16" i="10" s="1"/>
  <c r="W25" i="10"/>
  <c r="AB25" i="10" s="1"/>
  <c r="AC25" i="10" s="1"/>
  <c r="AD25" i="10" s="1"/>
  <c r="W19" i="10"/>
  <c r="AB19" i="10" s="1"/>
  <c r="AC19" i="10" s="1"/>
  <c r="AD19" i="10" s="1"/>
  <c r="D52" i="22"/>
  <c r="D49" i="22"/>
  <c r="X22" i="10" l="1"/>
  <c r="D70" i="22" s="1"/>
  <c r="Y22" i="10"/>
  <c r="J70" i="22" s="1"/>
  <c r="Y28" i="10"/>
  <c r="J76" i="22" s="1"/>
  <c r="X28" i="10"/>
  <c r="D76" i="22" s="1"/>
  <c r="Y16" i="10"/>
  <c r="X16" i="10"/>
  <c r="AG16" i="10"/>
  <c r="AG17" i="10" s="1"/>
  <c r="AG18" i="10" s="1"/>
  <c r="Y19" i="10"/>
  <c r="J67" i="22" s="1"/>
  <c r="X19" i="10"/>
  <c r="D67" i="22" s="1"/>
  <c r="X25" i="10"/>
  <c r="D73" i="22" s="1"/>
  <c r="Y25" i="10"/>
  <c r="J73" i="22" s="1"/>
  <c r="AG19" i="10" l="1"/>
  <c r="AG20" i="10" s="1"/>
  <c r="AG21" i="10" s="1"/>
  <c r="AG22" i="10" s="1"/>
  <c r="AG23" i="10" s="1"/>
  <c r="AG24" i="10" s="1"/>
  <c r="AG25" i="10" s="1"/>
  <c r="AG26" i="10" s="1"/>
  <c r="AG27" i="10" s="1"/>
  <c r="AG28" i="10" s="1"/>
  <c r="J8" i="11" s="1"/>
  <c r="J9" i="11" s="1"/>
  <c r="J11" i="11" s="1"/>
  <c r="J13" i="11" s="1"/>
  <c r="J64" i="22"/>
  <c r="AI16" i="10"/>
  <c r="AH16" i="10"/>
  <c r="D64" i="22"/>
  <c r="J10" i="11" l="1"/>
  <c r="H15" i="11" s="1"/>
  <c r="J84" i="22"/>
  <c r="AI17" i="10"/>
  <c r="D84" i="22"/>
  <c r="AH17" i="10"/>
  <c r="E15" i="11" l="1"/>
  <c r="J12" i="11"/>
  <c r="J14" i="11" s="1"/>
  <c r="D15" i="11"/>
  <c r="M15" i="11"/>
  <c r="F15" i="11"/>
  <c r="J15" i="11"/>
  <c r="G15" i="11"/>
  <c r="K15" i="11"/>
  <c r="L15" i="11"/>
  <c r="I15" i="11"/>
  <c r="D85" i="22"/>
  <c r="AH18" i="10"/>
  <c r="J85" i="22"/>
  <c r="AI18" i="10"/>
  <c r="J86" i="22" l="1"/>
  <c r="AI19" i="10"/>
  <c r="D86" i="22"/>
  <c r="AH19" i="10"/>
  <c r="AH20" i="10" l="1"/>
  <c r="D87" i="22"/>
  <c r="J87" i="22"/>
  <c r="AI20" i="10"/>
  <c r="J88" i="22" l="1"/>
  <c r="AI21" i="10"/>
  <c r="D88" i="22"/>
  <c r="AH21" i="10"/>
  <c r="D89" i="22" l="1"/>
  <c r="AH22" i="10"/>
  <c r="AI22" i="10"/>
  <c r="J89" i="22"/>
  <c r="AI23" i="10" l="1"/>
  <c r="J90" i="22"/>
  <c r="D90" i="22"/>
  <c r="AH23" i="10"/>
  <c r="AH24" i="10" l="1"/>
  <c r="D91" i="22"/>
  <c r="AI24" i="10"/>
  <c r="J91" i="22"/>
  <c r="J92" i="22" l="1"/>
  <c r="AI25" i="10"/>
  <c r="AH25" i="10"/>
  <c r="D92" i="22"/>
  <c r="AH26" i="10" l="1"/>
  <c r="D93" i="22"/>
  <c r="AI26" i="10"/>
  <c r="J93" i="22"/>
  <c r="J94" i="22" l="1"/>
  <c r="AI27" i="10"/>
  <c r="AH27" i="10"/>
  <c r="D94" i="22"/>
  <c r="AI28" i="10" l="1"/>
  <c r="J96" i="22" s="1"/>
  <c r="J95" i="22"/>
  <c r="D95" i="22"/>
  <c r="AH28" i="10"/>
  <c r="D96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Cumplido-Marín, Laura</author>
  </authors>
  <commentList>
    <comment ref="C3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https://www.agricentre.basf.co.uk/en/Crop-Solutions/Crop-overview/Maize/economics-of-the-crop.html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Cumplido-Marín, Laura</author>
  </authors>
  <commentList>
    <comment ref="D4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E4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F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G4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H44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Cumplido-Marín, Laura</author>
  </authors>
  <commentList>
    <comment ref="F5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Considering €350 per 1000 seedlings from Dirk</t>
        </r>
      </text>
    </comment>
    <comment ref="G5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Considering seeds at 295€ per 500 g, sowing density 2.5 kg/ha from https://www.energiepflanzen.com/product/durchwachsene-silphie-unbehandeltes-saatgut/</t>
        </r>
      </text>
    </comment>
    <comment ref="F6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Conisdering planting density of 14000 as advised in https://www.energiepflanzen.com/product/sida-im-4x4cm-presstopf/</t>
        </r>
      </text>
    </comment>
    <comment ref="F8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G8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D8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E8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F8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G8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D82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fixed costs'</t>
        </r>
      </text>
    </comment>
    <comment ref="E82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fixed costs'</t>
        </r>
      </text>
    </comment>
    <comment ref="F82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'calculated in 'Energy fixed costs'</t>
        </r>
      </text>
    </comment>
    <comment ref="G82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fixed costs'</t>
        </r>
      </text>
    </comment>
    <comment ref="F83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G83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D8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8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4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5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5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6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6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7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G87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asummed same as miscanthus</t>
        </r>
      </text>
    </comment>
    <comment ref="D90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E90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F90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G90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D91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91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91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91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92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92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D94" authorId="0" shapeId="0" xr:uid="{00000000-0006-0000-0400-000024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94" authorId="0" shapeId="0" xr:uid="{00000000-0006-0000-0400-000025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fixed costs</t>
        </r>
      </text>
    </comment>
    <comment ref="F95" authorId="0" shapeId="0" xr:uid="{00000000-0006-0000-0400-000026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Same as harvesting only of forage maize (ABC, 2019)</t>
        </r>
      </text>
    </comment>
    <comment ref="G97" authorId="0" shapeId="0" xr:uid="{00000000-0006-0000-0400-000027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forage maize</t>
        </r>
      </text>
    </comment>
    <comment ref="D98" authorId="0" shapeId="0" xr:uid="{00000000-0006-0000-0400-000028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P&amp;L Cook &amp; Partners</t>
        </r>
      </text>
    </comment>
    <comment ref="E98" authorId="0" shapeId="0" xr:uid="{00000000-0006-0000-0400-000029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SRC</t>
        </r>
      </text>
    </comment>
    <comment ref="F98" authorId="0" shapeId="0" xr:uid="{00000000-0006-0000-0400-00002A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SRC</t>
        </r>
      </text>
    </comment>
    <comment ref="G98" authorId="0" shapeId="0" xr:uid="{00000000-0006-0000-0400-00002B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SRC</t>
        </r>
      </text>
    </comment>
  </commentList>
</comments>
</file>

<file path=xl/sharedStrings.xml><?xml version="1.0" encoding="utf-8"?>
<sst xmlns="http://schemas.openxmlformats.org/spreadsheetml/2006/main" count="8169" uniqueCount="673">
  <si>
    <t>Straw variable costs</t>
  </si>
  <si>
    <t>Production</t>
  </si>
  <si>
    <t>Main crop</t>
  </si>
  <si>
    <t>Straw</t>
  </si>
  <si>
    <t>Wheat</t>
  </si>
  <si>
    <t>Oats</t>
  </si>
  <si>
    <t>OSR</t>
  </si>
  <si>
    <t>Sugar beet</t>
  </si>
  <si>
    <t>Prices</t>
  </si>
  <si>
    <t>Straw price</t>
  </si>
  <si>
    <t>Single farm payment</t>
  </si>
  <si>
    <t>Output</t>
  </si>
  <si>
    <t>Total</t>
  </si>
  <si>
    <t>Variable costs</t>
  </si>
  <si>
    <t xml:space="preserve">Sub-total </t>
  </si>
  <si>
    <t>Nitrogen price</t>
  </si>
  <si>
    <t>Nitrogen rate</t>
  </si>
  <si>
    <t>Phosphorus price</t>
  </si>
  <si>
    <t>Phosphorus rate</t>
  </si>
  <si>
    <t>Pottassium price</t>
  </si>
  <si>
    <t>Pottassium rate</t>
  </si>
  <si>
    <t>Straw units</t>
  </si>
  <si>
    <t>Fixed costs</t>
  </si>
  <si>
    <t>Main crop operations</t>
  </si>
  <si>
    <t>Straw operations costs</t>
  </si>
  <si>
    <t>Labour cost</t>
  </si>
  <si>
    <t>Labour input (grain)</t>
  </si>
  <si>
    <t>(hr)</t>
  </si>
  <si>
    <t>Labour input (straw)</t>
  </si>
  <si>
    <t>Net margins</t>
  </si>
  <si>
    <t>Breakdown of fixed costs (machinary and labour) for different farming operations (included above)</t>
  </si>
  <si>
    <t>Maize</t>
  </si>
  <si>
    <t>Cultivation</t>
  </si>
  <si>
    <t>Fertiliser</t>
  </si>
  <si>
    <t>Drilling</t>
  </si>
  <si>
    <t>Spraying</t>
  </si>
  <si>
    <t>Total fixed costs</t>
  </si>
  <si>
    <t>Total labour cost</t>
  </si>
  <si>
    <t>Total labour input</t>
  </si>
  <si>
    <t>Fixed cost w/out labour</t>
  </si>
  <si>
    <t>Labour rate</t>
  </si>
  <si>
    <t>Cultivations</t>
  </si>
  <si>
    <t>Multiplier</t>
  </si>
  <si>
    <t>Total cost</t>
  </si>
  <si>
    <t>Hours</t>
  </si>
  <si>
    <t>Cost</t>
  </si>
  <si>
    <t>Stubble raking</t>
  </si>
  <si>
    <t>Total cultivation costs</t>
  </si>
  <si>
    <t>Extra for variable rate application</t>
  </si>
  <si>
    <t>Liquid fertiliser</t>
  </si>
  <si>
    <t>Total fertiliser application costs</t>
  </si>
  <si>
    <t>Grass seed (broadcast)</t>
  </si>
  <si>
    <t>Maize precision drilling</t>
  </si>
  <si>
    <t>Sugar beet drilling</t>
  </si>
  <si>
    <t>De-stoning potato land</t>
  </si>
  <si>
    <t>Potato ridging</t>
  </si>
  <si>
    <t>Potato planting</t>
  </si>
  <si>
    <t>Total drilling costs</t>
  </si>
  <si>
    <t>Extra if less than 50 acres (20ha)</t>
  </si>
  <si>
    <t>Spraying (120-150 l/ha 36 boom)</t>
  </si>
  <si>
    <t>Spraying (based on 200 l/ha &amp; 24m boom)</t>
  </si>
  <si>
    <t>Weed wiping</t>
  </si>
  <si>
    <t>Total spraying costs</t>
  </si>
  <si>
    <t>Forage hasvesting only- first cut</t>
  </si>
  <si>
    <t>Combining cereals</t>
  </si>
  <si>
    <t>Crop drying (inc. intake and pre-cleaning) (per tonne)</t>
  </si>
  <si>
    <t>Grass topping</t>
  </si>
  <si>
    <t>Grass mowing</t>
  </si>
  <si>
    <t>Tedding</t>
  </si>
  <si>
    <t>Raking</t>
  </si>
  <si>
    <t>Grain storage (per tonne per month)</t>
  </si>
  <si>
    <t>Handling into store (per tonne)</t>
  </si>
  <si>
    <t>Handling out of store (per tonne)</t>
  </si>
  <si>
    <t>Schedule</t>
  </si>
  <si>
    <t>Start year</t>
  </si>
  <si>
    <t>Events</t>
  </si>
  <si>
    <t>Average annual summary</t>
  </si>
  <si>
    <t>Yield per harvest</t>
  </si>
  <si>
    <t>Woodchips</t>
  </si>
  <si>
    <t xml:space="preserve">Woodchips sub-total </t>
  </si>
  <si>
    <t>Planting subsidy</t>
  </si>
  <si>
    <t>Product output</t>
  </si>
  <si>
    <t>Establishment costs</t>
  </si>
  <si>
    <t>Cuttings/seedlings</t>
  </si>
  <si>
    <t>Planting Material sub-total</t>
  </si>
  <si>
    <t>Planting</t>
  </si>
  <si>
    <t>Cuttback at the end of the first year</t>
  </si>
  <si>
    <t>Total establishment costs</t>
  </si>
  <si>
    <t>Recurring costs</t>
  </si>
  <si>
    <t>Total recurring costs</t>
  </si>
  <si>
    <t>Total costs</t>
  </si>
  <si>
    <r>
      <t>(odt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</si>
  <si>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</si>
  <si>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</si>
  <si>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SRC</t>
  </si>
  <si>
    <t>Miscanthus</t>
  </si>
  <si>
    <t>Sida</t>
  </si>
  <si>
    <t>Silphie</t>
  </si>
  <si>
    <t>Later barn work</t>
  </si>
  <si>
    <t>Drying</t>
  </si>
  <si>
    <t>Contract rate</t>
  </si>
  <si>
    <t>Farmer rate</t>
  </si>
  <si>
    <t>Deep ploughing (&gt; 30cm)</t>
  </si>
  <si>
    <t>Sub-soiling/Flat lifting</t>
  </si>
  <si>
    <t>Mole-ploughing - single leg</t>
  </si>
  <si>
    <t>Spring-time harrowing</t>
  </si>
  <si>
    <t>Pressing</t>
  </si>
  <si>
    <t>Rolling - flat (grassland)</t>
  </si>
  <si>
    <t>Cultivation (Rexus Twin / Culti-press etc)</t>
  </si>
  <si>
    <t>One-pass tillage train (Solo/Discordon etc)</t>
  </si>
  <si>
    <t>Rape drilling with flatlift/subsoiler</t>
  </si>
  <si>
    <t xml:space="preserve">Cereal drilling - conventional </t>
  </si>
  <si>
    <t>Cereal drilling - Combi-drilling</t>
  </si>
  <si>
    <t>Cereal drilling - Cultivator drill (Vaderstad)</t>
  </si>
  <si>
    <t>Direct drilling</t>
  </si>
  <si>
    <t>Carrot/parsnip/onion precision drilling</t>
  </si>
  <si>
    <t>Grass seeding with harrow (e.g. Opico)</t>
  </si>
  <si>
    <t>Cross drilling grass</t>
  </si>
  <si>
    <t>-</t>
  </si>
  <si>
    <t>Chain harrowing</t>
  </si>
  <si>
    <t>Maize drilling under plastic</t>
  </si>
  <si>
    <t>Ploughing - light land</t>
  </si>
  <si>
    <t>Ploughing - heavy land</t>
  </si>
  <si>
    <t>Ploughing - with furrow press</t>
  </si>
  <si>
    <t>Rotavating - grass</t>
  </si>
  <si>
    <t>Rotavating - ploughed land</t>
  </si>
  <si>
    <t>Discing - Deep</t>
  </si>
  <si>
    <t>Discing- Shallow</t>
  </si>
  <si>
    <t>Power harrowing - deep/on ploughing</t>
  </si>
  <si>
    <t>Power harrowing - shallow/seedbed prep</t>
  </si>
  <si>
    <t>Rolling - ring (seedbeds)</t>
  </si>
  <si>
    <t>Lime spreading (per tonne)</t>
  </si>
  <si>
    <t>Irrigation</t>
  </si>
  <si>
    <t>Irrigating (excl. Water costs) per inch</t>
  </si>
  <si>
    <t>Total Irrigation costs</t>
  </si>
  <si>
    <t>ATV spraying</t>
  </si>
  <si>
    <t>Slug-pelleting</t>
  </si>
  <si>
    <t>Avadex spraying</t>
  </si>
  <si>
    <t>Combining cereals - Extra for straw chopper on combine</t>
  </si>
  <si>
    <t>Combining cereals - Extra for seeding (Autocast)</t>
  </si>
  <si>
    <t>Combining cereals - Extra for yield mapping</t>
  </si>
  <si>
    <t>OSR harvesting - out of window</t>
  </si>
  <si>
    <t>OSR harvesting - direct combining</t>
  </si>
  <si>
    <t>Combining peas/beans</t>
  </si>
  <si>
    <t>Combining grain maize</t>
  </si>
  <si>
    <t>Swathing OSR</t>
  </si>
  <si>
    <t>Grain carting to barn (per hour)</t>
  </si>
  <si>
    <t>Fertilising</t>
  </si>
  <si>
    <t>Forage hasvesting only - other cuts</t>
  </si>
  <si>
    <t>Forage harvesting, cart (3 trailers) and clamping (1st cut)</t>
  </si>
  <si>
    <t>Whole crop forage harvesting, cart (3 trailers) and clamping</t>
  </si>
  <si>
    <t>Complete service - mow, rake, forage harvest, cart (3 trailers) and clamp</t>
  </si>
  <si>
    <t>Extra forage trailer (per hour)</t>
  </si>
  <si>
    <t>Flail topping margings (per hour)</t>
  </si>
  <si>
    <t>Forage box (per hour)</t>
  </si>
  <si>
    <t>Baling</t>
  </si>
  <si>
    <t>Baling (per bale) - 'small'</t>
  </si>
  <si>
    <t>Baling (per bale) - 80cm x 90cm</t>
  </si>
  <si>
    <t>Baling (per bale) - 120cm x 70cm</t>
  </si>
  <si>
    <t>Baling (per bale) - 120cm x 90cm</t>
  </si>
  <si>
    <t>Baling (per bale) - 120cm x 130cm</t>
  </si>
  <si>
    <t>Baling (per bale) - Round 120cm</t>
  </si>
  <si>
    <t>Baling (per bale) - Round 150cm</t>
  </si>
  <si>
    <t>Bale wrapping - Round 120cm (6 layers)</t>
  </si>
  <si>
    <t>Bale wrapping - Round 120cm (with 4 layers)</t>
  </si>
  <si>
    <t>Bale wrapping - Round 120cm (wthout plastic)</t>
  </si>
  <si>
    <t>Bale wrapping - Square 120cm x 70cm (6 layers)</t>
  </si>
  <si>
    <t>Bale wrapping - Square 120cm x 70cm (4 layers)</t>
  </si>
  <si>
    <t>Bale wrapping - Square 120cm x 70cm (without plastic)</t>
  </si>
  <si>
    <t>Bale chaser (per hour)</t>
  </si>
  <si>
    <t>Total baling costs</t>
  </si>
  <si>
    <t>Potato harvesting - harvesting only</t>
  </si>
  <si>
    <t>Potato harvesting - harvesting and carting</t>
  </si>
  <si>
    <t>Sugar beet harvesting - harvesting only</t>
  </si>
  <si>
    <t>Sugar beet harvesting - harvesting and carting</t>
  </si>
  <si>
    <t>Root crops irrigation (25 mm application / ha)</t>
  </si>
  <si>
    <t>FYM spreading - tractor and rear discharge (per hour)</t>
  </si>
  <si>
    <t>FYM spreading - tractor and side discharge spreader (per hour)</t>
  </si>
  <si>
    <t>Slurry spreader- tanker (per hour)</t>
  </si>
  <si>
    <t>Slurry spreader- umbilical (per hour)</t>
  </si>
  <si>
    <t>Slurry spreader- extra pump (per hour)</t>
  </si>
  <si>
    <t>Slurry inyection (per hour)</t>
  </si>
  <si>
    <t>Harvesting</t>
  </si>
  <si>
    <t>Total harvesting costs</t>
  </si>
  <si>
    <t>Forage maize harvesting incl carting (3 trailers) and clamping</t>
  </si>
  <si>
    <t>Grass and Forage management</t>
  </si>
  <si>
    <t>Total grass and forage management costs</t>
  </si>
  <si>
    <t>Drilling/planting</t>
  </si>
  <si>
    <t>General maintenance</t>
  </si>
  <si>
    <t>Quad bike (including man)</t>
  </si>
  <si>
    <t>Hedge cutting - flail (per hour)</t>
  </si>
  <si>
    <t>Hedge cutting - saw-blade (per hour)</t>
  </si>
  <si>
    <t>Hedge laying (per metre)</t>
  </si>
  <si>
    <t>Fence erection (with materials) - post and 4 Barb (per metre)</t>
  </si>
  <si>
    <t>Fence erection (with materials) - post, stock  net, and 2 Barb (per metre)</t>
  </si>
  <si>
    <t>Fence erection (with materials) - post and 3 rails (per metre)</t>
  </si>
  <si>
    <t>Tractor + Post Knocker + Man (per hour)</t>
  </si>
  <si>
    <t>Ditching using 360 deg digger (per hour)</t>
  </si>
  <si>
    <t>Tractor + Trailer + Man (per hour)</t>
  </si>
  <si>
    <t>100 - 150 hp Tractor + man (per hour)</t>
  </si>
  <si>
    <t>150 - 220 hp Tractor + man (per hour)</t>
  </si>
  <si>
    <t>220 - 300 hp Tractor + man (per hour)</t>
  </si>
  <si>
    <t>300 hp Tractor + man (per hour)</t>
  </si>
  <si>
    <t>Forklift/Telehandler + man (per hour)</t>
  </si>
  <si>
    <t>Total general maintenance costs</t>
  </si>
  <si>
    <t>Total crop drying costs</t>
  </si>
  <si>
    <t>Fertliser distribution</t>
  </si>
  <si>
    <t>Cart</t>
  </si>
  <si>
    <t>Barn work</t>
  </si>
  <si>
    <t>Grass and Forage mngmnt</t>
  </si>
  <si>
    <t>General mntnance</t>
  </si>
  <si>
    <t>Main crop fixed costs</t>
  </si>
  <si>
    <t>Straw fixed costs</t>
  </si>
  <si>
    <t>Redman (2018)</t>
  </si>
  <si>
    <t>ABC (2018)</t>
  </si>
  <si>
    <t>Labour input grain</t>
  </si>
  <si>
    <t>Labour input straw</t>
  </si>
  <si>
    <t>h</t>
  </si>
  <si>
    <t>General</t>
  </si>
  <si>
    <t>Basic payment scheme</t>
  </si>
  <si>
    <t>Land rent</t>
  </si>
  <si>
    <t>Other overheads</t>
  </si>
  <si>
    <t>Grain/whole plant</t>
  </si>
  <si>
    <t>Commodity output prices (at the "farm gate")</t>
  </si>
  <si>
    <t>Grain</t>
  </si>
  <si>
    <t>Input prices: paid by farmers</t>
  </si>
  <si>
    <t>labour wage rate:</t>
  </si>
  <si>
    <t>Agrochemical prices</t>
  </si>
  <si>
    <t>N</t>
  </si>
  <si>
    <t>Sprays (pesticides, herbicides, etc)</t>
  </si>
  <si>
    <t>Straw variable costs (baling string)</t>
  </si>
  <si>
    <t>Physical inputs by crop: Quantities/ha</t>
  </si>
  <si>
    <t>Coming from Arable fixed costs</t>
  </si>
  <si>
    <t>Calculated/assumed value from Redman (2018)</t>
  </si>
  <si>
    <t>Fixed costs (machine costs)</t>
  </si>
  <si>
    <t>Sub-Total</t>
  </si>
  <si>
    <t>Fixed costs (labour)</t>
  </si>
  <si>
    <t>Main crop labour</t>
  </si>
  <si>
    <t>Summary of variable costs</t>
  </si>
  <si>
    <t>Staw labour</t>
  </si>
  <si>
    <t>Other fixed costs</t>
  </si>
  <si>
    <t>Summary of fixed costs</t>
  </si>
  <si>
    <t>way: 1=contract cost, 2=farmer cost</t>
  </si>
  <si>
    <t>way</t>
  </si>
  <si>
    <t>Drying (per tonne)</t>
  </si>
  <si>
    <t>Rotations and harvests</t>
  </si>
  <si>
    <t xml:space="preserve">Sida </t>
  </si>
  <si>
    <t>Physical production</t>
  </si>
  <si>
    <t>Input prices</t>
  </si>
  <si>
    <t>Planting material</t>
  </si>
  <si>
    <t>Output prices (at the "farm gate")</t>
  </si>
  <si>
    <t>Biomass</t>
  </si>
  <si>
    <t>Field operations: costs (labour and machinery):</t>
  </si>
  <si>
    <t>Establishment operations:</t>
  </si>
  <si>
    <t>Ground preparation</t>
  </si>
  <si>
    <t>Mechanical weeding</t>
  </si>
  <si>
    <t>Recurring operations:</t>
  </si>
  <si>
    <t>Decommissioning</t>
  </si>
  <si>
    <t>(years)</t>
  </si>
  <si>
    <t>Note:  Biomass is woodchips for SRC and Sida, straw for miscanthus, silage por maize and Silphie</t>
  </si>
  <si>
    <t>Forage maize</t>
  </si>
  <si>
    <t>Note:  Biomass is woodchips for SRC and Sida, straw for miscanthus, silage for maize and Silphie</t>
  </si>
  <si>
    <t>Note:  ODT = oven dried tonne</t>
  </si>
  <si>
    <t>End year</t>
  </si>
  <si>
    <t>Frequency</t>
  </si>
  <si>
    <t>16 years summary of prices and costs</t>
  </si>
  <si>
    <t>Decommissioning costs</t>
  </si>
  <si>
    <t>Total decommissioning costs</t>
  </si>
  <si>
    <t>Nitrogen sub-total</t>
  </si>
  <si>
    <t>Phosphorus sub-total</t>
  </si>
  <si>
    <t>Potassium sub-total</t>
  </si>
  <si>
    <t>Crop revenue</t>
  </si>
  <si>
    <t>Total revenue (crop and single farm payment)</t>
  </si>
  <si>
    <t>Net margins (without single farm payment)</t>
  </si>
  <si>
    <t>Net margin (with single farm payment)</t>
  </si>
  <si>
    <t>Net margins (without subsidies)</t>
  </si>
  <si>
    <t>Net margins (with subsidies)</t>
  </si>
  <si>
    <t>Coming from Energy basic inputs</t>
  </si>
  <si>
    <t>Single Farm Payment</t>
  </si>
  <si>
    <t xml:space="preserve">Discounted </t>
  </si>
  <si>
    <t>Discounted Cumulative</t>
  </si>
  <si>
    <t>Years</t>
  </si>
  <si>
    <t>Crop</t>
  </si>
  <si>
    <t>Crop Revenue (without single farm payment)</t>
  </si>
  <si>
    <t>Crop Revenue (with single farm payment)</t>
  </si>
  <si>
    <t>Total Variable Cost</t>
  </si>
  <si>
    <t>Total Fixed Costs</t>
  </si>
  <si>
    <t>Total Costs</t>
  </si>
  <si>
    <t>Annual net margin without single farm payment</t>
  </si>
  <si>
    <t>Annual net margin with single farm payment</t>
  </si>
  <si>
    <t>Discounted Crop Revenue</t>
  </si>
  <si>
    <t>Discounted Single Farm payment</t>
  </si>
  <si>
    <t>Discounted Total Cost</t>
  </si>
  <si>
    <t>Discounted net margin without single farm payment</t>
  </si>
  <si>
    <t>Discounted net margin with sigle farm payment</t>
  </si>
  <si>
    <t>Discounted Cumulative Crop Revenue</t>
  </si>
  <si>
    <t>Discounted Cumulative Single Farm payment</t>
  </si>
  <si>
    <t>Discounted Cumulative Total Cost</t>
  </si>
  <si>
    <t>Discounted Cumulative net margin without single farm payment</t>
  </si>
  <si>
    <t>Discounted Cumulative net margin with sigle farm payment</t>
  </si>
  <si>
    <t>Total Variable Costs</t>
  </si>
  <si>
    <t>Discount rate</t>
  </si>
  <si>
    <t>Sugar Beet</t>
  </si>
  <si>
    <t>Rotation</t>
  </si>
  <si>
    <t>Year</t>
  </si>
  <si>
    <t>Total Establishment Costs</t>
  </si>
  <si>
    <t>Total Recurring Costs</t>
  </si>
  <si>
    <t xml:space="preserve">Yield               </t>
  </si>
  <si>
    <t xml:space="preserve">Price               </t>
  </si>
  <si>
    <t>Total Decomm. Costs</t>
  </si>
  <si>
    <r>
      <t>NPV</t>
    </r>
    <r>
      <rPr>
        <vertAlign val="subscript"/>
        <sz val="10"/>
        <rFont val="Arial"/>
        <family val="2"/>
      </rPr>
      <t>Infinite</t>
    </r>
    <r>
      <rPr>
        <sz val="10"/>
        <rFont val="Arial"/>
        <family val="2"/>
      </rPr>
      <t xml:space="preserve"> without single farm payment </t>
    </r>
  </si>
  <si>
    <r>
      <t>NPV</t>
    </r>
    <r>
      <rPr>
        <vertAlign val="subscript"/>
        <sz val="10"/>
        <rFont val="Arial"/>
        <family val="2"/>
      </rPr>
      <t>Infinite</t>
    </r>
    <r>
      <rPr>
        <sz val="10"/>
        <rFont val="Arial"/>
        <family val="2"/>
      </rPr>
      <t xml:space="preserve"> with single farm payment</t>
    </r>
  </si>
  <si>
    <t xml:space="preserve">Discounted Total Costs </t>
  </si>
  <si>
    <t>Discounted Total Single Farm Payment</t>
  </si>
  <si>
    <t>Discounted Total Revenue</t>
  </si>
  <si>
    <t>Discounted Total Costs</t>
  </si>
  <si>
    <t>Discounted Cumulative Total Costs</t>
  </si>
  <si>
    <t>discount rate</t>
  </si>
  <si>
    <t>Equivalent Annual Value without single farm payment</t>
  </si>
  <si>
    <t>Equivalent Annual Value with single farm payment</t>
  </si>
  <si>
    <t>Relative changes (%) in inputs parameters</t>
  </si>
  <si>
    <t>Range</t>
  </si>
  <si>
    <t>Rank</t>
  </si>
  <si>
    <t>Yield</t>
  </si>
  <si>
    <t>Costs</t>
  </si>
  <si>
    <t>%</t>
  </si>
  <si>
    <t>Discounted</t>
  </si>
  <si>
    <t>Price +50%</t>
  </si>
  <si>
    <t>Sida 0%</t>
  </si>
  <si>
    <t>Sida +50%</t>
  </si>
  <si>
    <t>Sida -50%</t>
  </si>
  <si>
    <t>Sida +100%</t>
  </si>
  <si>
    <t>Sida -100%</t>
  </si>
  <si>
    <t>Price -50%</t>
  </si>
  <si>
    <t>Price +100%</t>
  </si>
  <si>
    <t>Price -100%</t>
  </si>
  <si>
    <t>Yield +50%</t>
  </si>
  <si>
    <t>Yield -50%</t>
  </si>
  <si>
    <t>Yield +100%</t>
  </si>
  <si>
    <t>Yield -100%</t>
  </si>
  <si>
    <t>Costs +50%</t>
  </si>
  <si>
    <t>Costs -50%</t>
  </si>
  <si>
    <t>Costs +100%</t>
  </si>
  <si>
    <t>Costs -100%</t>
  </si>
  <si>
    <t>PRICE</t>
  </si>
  <si>
    <t>NPV without single farm payment</t>
  </si>
  <si>
    <t>NPV with Single Farm Payment</t>
  </si>
  <si>
    <r>
      <t>NPV</t>
    </r>
    <r>
      <rPr>
        <vertAlign val="subscript"/>
        <sz val="8"/>
        <rFont val="Arial"/>
        <family val="2"/>
      </rPr>
      <t>Infinite</t>
    </r>
    <r>
      <rPr>
        <sz val="8"/>
        <rFont val="Arial"/>
        <family val="2"/>
      </rPr>
      <t xml:space="preserve"> without Single Farm Payment </t>
    </r>
  </si>
  <si>
    <r>
      <t>NPV</t>
    </r>
    <r>
      <rPr>
        <vertAlign val="subscript"/>
        <sz val="8"/>
        <rFont val="Arial"/>
        <family val="2"/>
      </rPr>
      <t>Infinite</t>
    </r>
    <r>
      <rPr>
        <sz val="8"/>
        <rFont val="Arial"/>
        <family val="2"/>
      </rPr>
      <t xml:space="preserve"> with Single Farm Payment</t>
    </r>
  </si>
  <si>
    <t>Equivalent Annual Value without Single Farm Payment</t>
  </si>
  <si>
    <t>Equivalent Annual Value with Single Farm Payment</t>
  </si>
  <si>
    <t>YIELD</t>
  </si>
  <si>
    <t>COSTS</t>
  </si>
  <si>
    <t>Price</t>
  </si>
  <si>
    <t>Variable Costs</t>
  </si>
  <si>
    <t>Fixed Costs</t>
  </si>
  <si>
    <r>
      <t>(t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</si>
  <si>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t ha</t>
    </r>
    <r>
      <rPr>
        <vertAlign val="superscript"/>
        <sz val="8"/>
        <rFont val="Arial"/>
        <family val="2"/>
      </rPr>
      <t>-1</t>
    </r>
  </si>
  <si>
    <r>
      <t>app. ha</t>
    </r>
    <r>
      <rPr>
        <vertAlign val="superscript"/>
        <sz val="8"/>
        <rFont val="Arial"/>
        <family val="2"/>
      </rPr>
      <t>-1</t>
    </r>
  </si>
  <si>
    <t>ARABLE</t>
  </si>
  <si>
    <t>ENERGY</t>
  </si>
  <si>
    <t>Coming from Arable margins</t>
  </si>
  <si>
    <t>Coming from Energy margins</t>
  </si>
  <si>
    <t>SENSITIVITY ANALYSIS: PRICE</t>
  </si>
  <si>
    <t>SENSITIVITY ANALYSIS: YIELD</t>
  </si>
  <si>
    <t>SENSITIVITY ANALYSIS: COSTS</t>
  </si>
  <si>
    <t>SENSITIVITY ANALYSIS: DISC. RATE</t>
  </si>
  <si>
    <t>Crop revenue with SFP</t>
  </si>
  <si>
    <t>Crop revenue without SFP</t>
  </si>
  <si>
    <t>Arable system with grants</t>
  </si>
  <si>
    <t>Arable system without grants</t>
  </si>
  <si>
    <t xml:space="preserve">Net present value at 0% discount rate    </t>
  </si>
  <si>
    <r>
      <t>NPV16</t>
    </r>
    <r>
      <rPr>
        <vertAlign val="subscript"/>
        <sz val="8"/>
        <color theme="1"/>
        <rFont val="Arial"/>
        <family val="2"/>
      </rPr>
      <t xml:space="preserve"> years</t>
    </r>
    <r>
      <rPr>
        <sz val="8"/>
        <color theme="1"/>
        <rFont val="Arial"/>
        <family val="2"/>
      </rPr>
      <t xml:space="preserve"> </t>
    </r>
  </si>
  <si>
    <r>
      <t>NPV</t>
    </r>
    <r>
      <rPr>
        <vertAlign val="subscript"/>
        <sz val="8"/>
        <color theme="1"/>
        <rFont val="Arial"/>
        <family val="2"/>
      </rPr>
      <t>infinite</t>
    </r>
    <r>
      <rPr>
        <sz val="8"/>
        <color theme="1"/>
        <rFont val="Arial"/>
        <family val="2"/>
      </rPr>
      <t xml:space="preserve"> </t>
    </r>
  </si>
  <si>
    <t xml:space="preserve">Equivalent Annual Value </t>
  </si>
  <si>
    <t>Discount Rate</t>
  </si>
  <si>
    <t>SFP</t>
  </si>
  <si>
    <t>Output cells are coloured in green</t>
  </si>
  <si>
    <t>INSTRUCTIONS FOR USE</t>
  </si>
  <si>
    <t>Default information was obtained from Redman (2018), with some exceptions:</t>
  </si>
  <si>
    <t xml:space="preserve">This excel file has been developed to perform a financial analysis of arable and energy crops in the UK. </t>
  </si>
  <si>
    <t>INTRODUCTION / EXECUTIVE SUMMARY</t>
  </si>
  <si>
    <t xml:space="preserve">SidaTim </t>
  </si>
  <si>
    <t>Coming from Inputs</t>
  </si>
  <si>
    <t>Price of cart and later barn work, same as tractor+trailer+man</t>
  </si>
  <si>
    <t>42.05, 35.63</t>
  </si>
  <si>
    <t>Arable Inputs</t>
  </si>
  <si>
    <t>Arable Fixed Costs</t>
  </si>
  <si>
    <t>Energy Inputs</t>
  </si>
  <si>
    <t>Price of straw from OSR</t>
  </si>
  <si>
    <t>Year of first harvest</t>
  </si>
  <si>
    <t>Interval between harvest</t>
  </si>
  <si>
    <t>Data calculated from literature review sources</t>
  </si>
  <si>
    <t>SidaTim project</t>
  </si>
  <si>
    <t>The following assumptions were made</t>
  </si>
  <si>
    <t>AHDB (2017)</t>
  </si>
  <si>
    <t>Decommissioning cost SRC (updated to 2019)</t>
  </si>
  <si>
    <t>Coming from Arable Inputs</t>
  </si>
  <si>
    <t>Coming from Energy Inputs</t>
  </si>
  <si>
    <t>Title of model:</t>
  </si>
  <si>
    <t>Version number:</t>
  </si>
  <si>
    <t>The model requires all cells coloured in cream on the "Arable Inputs" and "Energy Inputs" sheets to be completed by the user</t>
  </si>
  <si>
    <t>All other cells are locked and cannot be modified</t>
  </si>
  <si>
    <t>Establishment Costs</t>
  </si>
  <si>
    <r>
      <t>(t ha</t>
    </r>
    <r>
      <rPr>
        <vertAlign val="superscript"/>
        <sz val="8"/>
        <rFont val="Arial"/>
        <family val="2"/>
      </rPr>
      <t>-1)</t>
    </r>
  </si>
  <si>
    <t>Recurring Costs</t>
  </si>
  <si>
    <t>Decommissioning Costs</t>
  </si>
  <si>
    <t>Price 0</t>
  </si>
  <si>
    <t>Price +50</t>
  </si>
  <si>
    <t>Price -50</t>
  </si>
  <si>
    <t>Price +100</t>
  </si>
  <si>
    <t>Price -100</t>
  </si>
  <si>
    <t>Rotation 0%</t>
  </si>
  <si>
    <t>Rotation +50%</t>
  </si>
  <si>
    <t>Rotation -50%</t>
  </si>
  <si>
    <t>Rotation +100%</t>
  </si>
  <si>
    <t>Rotation -100%</t>
  </si>
  <si>
    <t>Exchnage rate</t>
  </si>
  <si>
    <t>% change</t>
  </si>
  <si>
    <t>Discount Rate +50%</t>
  </si>
  <si>
    <t>Discount Rate -50%</t>
  </si>
  <si>
    <t>Discount Rate +100%</t>
  </si>
  <si>
    <t>Discount Rate -100%</t>
  </si>
  <si>
    <t>Yield +50</t>
  </si>
  <si>
    <t>Yield -50</t>
  </si>
  <si>
    <t>Yield +100</t>
  </si>
  <si>
    <t>Yield -100</t>
  </si>
  <si>
    <t>Costs 0</t>
  </si>
  <si>
    <t>Costs +50</t>
  </si>
  <si>
    <t>Costs -50</t>
  </si>
  <si>
    <t>Costs +100</t>
  </si>
  <si>
    <t>Yield 0</t>
  </si>
  <si>
    <t>Dis. rate:</t>
  </si>
  <si>
    <t>Dis. rate 0</t>
  </si>
  <si>
    <t>Dis. rate +50</t>
  </si>
  <si>
    <t>Dis. rate -50</t>
  </si>
  <si>
    <t>Dis. rate +100</t>
  </si>
  <si>
    <t>Dis. rate -100</t>
  </si>
  <si>
    <t>Dis. rate -100%</t>
  </si>
  <si>
    <t>Dis. rate +100%</t>
  </si>
  <si>
    <t>Dis. rate -50%</t>
  </si>
  <si>
    <t>Dis. rate +50%</t>
  </si>
  <si>
    <t>Costs-50%</t>
  </si>
  <si>
    <t>SRC 0%</t>
  </si>
  <si>
    <t>SRC +50%</t>
  </si>
  <si>
    <t>SRC -50%</t>
  </si>
  <si>
    <t>SRC +100%</t>
  </si>
  <si>
    <t>SRC -100%</t>
  </si>
  <si>
    <t>Miscanthus 0%</t>
  </si>
  <si>
    <t>Miscanthus +50%</t>
  </si>
  <si>
    <t>Miscanthus -50%</t>
  </si>
  <si>
    <t>Miscanthus +100%</t>
  </si>
  <si>
    <t>Miscanthus -100%</t>
  </si>
  <si>
    <t>ARABLE BASIC INPUTS (£)</t>
  </si>
  <si>
    <t>ENERGY BASIC INPUTS (£)</t>
  </si>
  <si>
    <t>(£ ha-1)</t>
  </si>
  <si>
    <r>
      <t>£ t</t>
    </r>
    <r>
      <rPr>
        <vertAlign val="superscript"/>
        <sz val="8"/>
        <rFont val="Arial"/>
        <family val="2"/>
      </rPr>
      <t>-1</t>
    </r>
  </si>
  <si>
    <r>
      <t>£ h</t>
    </r>
    <r>
      <rPr>
        <vertAlign val="superscript"/>
        <sz val="8"/>
        <rFont val="Arial"/>
        <family val="2"/>
      </rPr>
      <t>-1</t>
    </r>
  </si>
  <si>
    <r>
      <t>£ kg</t>
    </r>
    <r>
      <rPr>
        <vertAlign val="superscript"/>
        <sz val="8"/>
        <rFont val="Arial"/>
        <family val="2"/>
      </rPr>
      <t>-1</t>
    </r>
  </si>
  <si>
    <r>
      <t>ARABLE FIXED COSTS (£ ha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</si>
  <si>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(£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</si>
  <si>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ARABLE MARGINS (£ ha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</si>
  <si>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(£ t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</si>
  <si>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(£ kg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/ unit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 xml:space="preserve"> )</t>
    </r>
  </si>
  <si>
    <r>
      <t>(£ kg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</si>
  <si>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(£ app.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</si>
  <si>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(£ h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</si>
  <si>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(£ kg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 xml:space="preserve"> / unit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</si>
  <si>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(£ ODT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</si>
  <si>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ENERGY CULTIVATION COSTS (£ ha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</si>
  <si>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ENERGY MARGINS (£ ha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</si>
  <si>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(£ ha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</si>
  <si>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MARGINS SUMMARY (£ ha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</si>
  <si>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ARABLE NPV (£ ha</t>
    </r>
    <r>
      <rPr>
        <b/>
        <vertAlign val="superscript"/>
        <sz val="8"/>
        <color theme="1"/>
        <rFont val="Arial"/>
        <family val="2"/>
      </rPr>
      <t>-1</t>
    </r>
    <r>
      <rPr>
        <b/>
        <sz val="8"/>
        <color theme="1"/>
        <rFont val="Arial"/>
        <family val="2"/>
      </rPr>
      <t>)</t>
    </r>
  </si>
  <si>
    <r>
      <t>(£ ha</t>
    </r>
    <r>
      <rPr>
        <vertAlign val="superscript"/>
        <sz val="8"/>
        <color theme="1"/>
        <rFont val="Calibri"/>
        <family val="2"/>
      </rPr>
      <t>-1</t>
    </r>
    <r>
      <rPr>
        <sz val="8"/>
        <color theme="1"/>
        <rFont val="Calibri"/>
        <family val="2"/>
      </rPr>
      <t>)</t>
    </r>
  </si>
  <si>
    <r>
      <t>ENERGY NPV (£ ha</t>
    </r>
    <r>
      <rPr>
        <b/>
        <vertAlign val="superscript"/>
        <sz val="8"/>
        <color theme="1"/>
        <rFont val="Arial"/>
        <family val="2"/>
      </rPr>
      <t>-1</t>
    </r>
    <r>
      <rPr>
        <b/>
        <sz val="8"/>
        <color theme="1"/>
        <rFont val="Arial"/>
        <family val="2"/>
      </rPr>
      <t>)</t>
    </r>
  </si>
  <si>
    <r>
      <t>(£ t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</si>
  <si>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(£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</si>
  <si>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SUMMARY NPV (£ ha</t>
    </r>
    <r>
      <rPr>
        <b/>
        <vertAlign val="superscript"/>
        <sz val="8"/>
        <color theme="1"/>
        <rFont val="Arial"/>
        <family val="2"/>
      </rPr>
      <t>-1</t>
    </r>
    <r>
      <rPr>
        <b/>
        <sz val="8"/>
        <color theme="1"/>
        <rFont val="Arial"/>
        <family val="2"/>
      </rPr>
      <t>)</t>
    </r>
  </si>
  <si>
    <r>
      <t>(£ ha</t>
    </r>
    <r>
      <rPr>
        <vertAlign val="superscript"/>
        <sz val="10"/>
        <rFont val="Arial"/>
        <family val="2"/>
      </rPr>
      <t>-1</t>
    </r>
    <r>
      <rPr>
        <sz val="10"/>
        <rFont val="Arial"/>
        <family val="2"/>
      </rPr>
      <t>)</t>
    </r>
  </si>
  <si>
    <r>
      <t>(£ ha</t>
    </r>
    <r>
      <rPr>
        <vertAlign val="superscript"/>
        <sz val="10"/>
        <rFont val="Arial"/>
        <family val="2"/>
      </rPr>
      <t>-1</t>
    </r>
    <r>
      <rPr>
        <sz val="10"/>
        <rFont val="Arial"/>
        <family val="2"/>
      </rPr>
      <t xml:space="preserve"> y</t>
    </r>
    <r>
      <rPr>
        <vertAlign val="superscript"/>
        <sz val="10"/>
        <rFont val="Arial"/>
        <family val="2"/>
      </rPr>
      <t>-1</t>
    </r>
    <r>
      <rPr>
        <sz val="10"/>
        <rFont val="Arial"/>
        <family val="2"/>
      </rPr>
      <t>)</t>
    </r>
  </si>
  <si>
    <r>
      <t>£ ha</t>
    </r>
    <r>
      <rPr>
        <vertAlign val="superscript"/>
        <sz val="8"/>
        <rFont val="Arial"/>
        <family val="2"/>
      </rPr>
      <t>-1</t>
    </r>
  </si>
  <si>
    <r>
      <t>Discounted net margin without SFP (£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</si>
  <si>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Discounted net margin with SFP (£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</si>
  <si>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Discounted cumulative net margin without SFP (£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</si>
  <si>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(£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 xml:space="preserve"> yr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</si>
  <si>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 xml:space="preserve"> (£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</si>
  <si>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(£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 xml:space="preserve"> y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</si>
  <si>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DISCOUNT RATE</t>
  </si>
  <si>
    <r>
      <t>Sensitivity Analysis (£ ha</t>
    </r>
    <r>
      <rPr>
        <b/>
        <vertAlign val="superscript"/>
        <sz val="11"/>
        <rFont val="Arial"/>
        <family val="2"/>
      </rPr>
      <t>-1</t>
    </r>
    <r>
      <rPr>
        <b/>
        <sz val="11"/>
        <rFont val="Arial"/>
        <family val="2"/>
      </rPr>
      <t>)</t>
    </r>
  </si>
  <si>
    <t>P&amp;L Cook and Partners (2007)</t>
  </si>
  <si>
    <t>Exchange rate</t>
  </si>
  <si>
    <t>3.9, 3.5, 2.6</t>
  </si>
  <si>
    <t>Wheat, oats, and OSR straw yield</t>
  </si>
  <si>
    <t>DEFRA (2019)</t>
  </si>
  <si>
    <t>Costs -100</t>
  </si>
  <si>
    <t>Energy system without grants</t>
  </si>
  <si>
    <t>Energy system with grants</t>
  </si>
  <si>
    <t>Silphium</t>
  </si>
  <si>
    <r>
      <t>(£ ha</t>
    </r>
    <r>
      <rPr>
        <b/>
        <vertAlign val="superscript"/>
        <sz val="10"/>
        <rFont val="Arial"/>
        <family val="2"/>
      </rPr>
      <t>-1</t>
    </r>
    <r>
      <rPr>
        <b/>
        <sz val="10"/>
        <rFont val="Arial"/>
        <family val="2"/>
      </rPr>
      <t>)</t>
    </r>
  </si>
  <si>
    <t>NPV with single farm payment</t>
  </si>
  <si>
    <t>Crop revenue without grants</t>
  </si>
  <si>
    <t>Crop revenue with grants</t>
  </si>
  <si>
    <t>Net margin without grants</t>
  </si>
  <si>
    <t>Net margin with grants</t>
  </si>
  <si>
    <t>Cumulative net margin without grants</t>
  </si>
  <si>
    <t>Cumulative net margin with grants</t>
  </si>
  <si>
    <t>Discounted net margin without grants</t>
  </si>
  <si>
    <t>Discounted net margin with grants</t>
  </si>
  <si>
    <t>Discounted Cumulative net margin without grants</t>
  </si>
  <si>
    <t>Discounted Cumulative net margin with grants</t>
  </si>
  <si>
    <r>
      <t>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</si>
  <si>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</si>
  <si>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r>
      <t>single superphosphate 20% 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</si>
  <si>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muriate of potash 60% 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</si>
  <si>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t>Fertilisers cost</t>
  </si>
  <si>
    <t>Spray cost</t>
  </si>
  <si>
    <t>Seed cost</t>
  </si>
  <si>
    <t xml:space="preserve">Seed </t>
  </si>
  <si>
    <t>Weeding</t>
  </si>
  <si>
    <t>Planting material cost</t>
  </si>
  <si>
    <t>Main product</t>
  </si>
  <si>
    <t>Plastic</t>
  </si>
  <si>
    <t>Cutback 1st year</t>
  </si>
  <si>
    <t xml:space="preserve">Mowing and baling </t>
  </si>
  <si>
    <t>Harvesting, carting and clamping</t>
  </si>
  <si>
    <t>Fertiliser application</t>
  </si>
  <si>
    <t>Mowing and baling</t>
  </si>
  <si>
    <t>Harvesting, carting, and clamping</t>
  </si>
  <si>
    <t>Hadling and storage</t>
  </si>
  <si>
    <t>Material costs:</t>
  </si>
  <si>
    <t>Fertilising (after harvest)</t>
  </si>
  <si>
    <t>Fertilising (establishment)</t>
  </si>
  <si>
    <t>Ground prep</t>
  </si>
  <si>
    <t>Cutback</t>
  </si>
  <si>
    <t>Cut back</t>
  </si>
  <si>
    <t>Cut back first year</t>
  </si>
  <si>
    <t>Mechical weeding</t>
  </si>
  <si>
    <t>Total Fixed costs (machinary)</t>
  </si>
  <si>
    <t>Total Establishment costs (machinery)</t>
  </si>
  <si>
    <t>RECURRING OPERATIONS</t>
  </si>
  <si>
    <t>ESTABLISHMENT OPERATIONS</t>
  </si>
  <si>
    <t>Harvesting SRC</t>
  </si>
  <si>
    <t>Harvesting and clamping</t>
  </si>
  <si>
    <t>Labour input (establishment)</t>
  </si>
  <si>
    <t>Recurring costs (machinary)</t>
  </si>
  <si>
    <t>Labour input (recurring)</t>
  </si>
  <si>
    <t>Price of biomass: SRC and Miscanthus</t>
  </si>
  <si>
    <t>Price of biomass: Sida and Silphium same as SRC and forage maize respectively</t>
  </si>
  <si>
    <t>55.0, 40.7</t>
  </si>
  <si>
    <t>200.0, 180.0</t>
  </si>
  <si>
    <t>Cost of ground preparation Sida and Silphium: same as Miscanthus</t>
  </si>
  <si>
    <t>Cost of sprays SRC and Miscanthus</t>
  </si>
  <si>
    <t>Cost of ground preparation SRC and Miscanthus</t>
  </si>
  <si>
    <t>200.0, 120.0</t>
  </si>
  <si>
    <t>750.0, 1190.0</t>
  </si>
  <si>
    <t>Energiepflanzen.com</t>
  </si>
  <si>
    <t>Energy inputs</t>
  </si>
  <si>
    <t>Planting density Sida</t>
  </si>
  <si>
    <t>Sowing density Silphium</t>
  </si>
  <si>
    <t>Cost of seeds Silphium (€295 per 500g)</t>
  </si>
  <si>
    <t>Cost of planting material SRC and Miscanthus</t>
  </si>
  <si>
    <t>Cost of planting SRC and Miscanthus</t>
  </si>
  <si>
    <t>300.0, 350.0</t>
  </si>
  <si>
    <t>Cost of planting Sida: calculated using cost of potato planting</t>
  </si>
  <si>
    <t>Cost of sowing Silphium: assumed same as forage maize</t>
  </si>
  <si>
    <t>Cost of cutback first year SRC</t>
  </si>
  <si>
    <t>Cost of cutback first year Sida and Silphium: assumed same as Miscanthus</t>
  </si>
  <si>
    <t xml:space="preserve">Cost of mechanical weeding Sida and Silphium: calculated using cost of tractor + post knocker + man (per hour) </t>
  </si>
  <si>
    <t>Cost of harvesting SRC</t>
  </si>
  <si>
    <t>Costs of mowing and baling Miscanthus</t>
  </si>
  <si>
    <t>100, 92, 84</t>
  </si>
  <si>
    <t>120, 92, 90</t>
  </si>
  <si>
    <t>Cost of harvesting Sida: assumed same as harvesting only of forage maize</t>
  </si>
  <si>
    <t>Cost of harvesting Silphium: assumed sae as forage maize</t>
  </si>
  <si>
    <t>Spray cost forage maize</t>
  </si>
  <si>
    <t>Number of spray applications forage maize</t>
  </si>
  <si>
    <t>Cost of full harvesting, carting and clamping forage maize</t>
  </si>
  <si>
    <t>P&amp;L Cook &amp; Partners (2007)</t>
  </si>
  <si>
    <t>Cost of decommissioning Miscanthus, Sida, and Silphium</t>
  </si>
  <si>
    <r>
      <t>Fertilisers 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</si>
  <si>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Fertilisers (establish.) sub-total</t>
  </si>
  <si>
    <t>Fertilisers (recurring) sub-total</t>
  </si>
  <si>
    <t xml:space="preserve">Fertilisers </t>
  </si>
  <si>
    <t>Sprays</t>
  </si>
  <si>
    <t xml:space="preserve">N </t>
  </si>
  <si>
    <r>
      <t>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/>
    </r>
  </si>
  <si>
    <r>
      <t>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</si>
  <si>
    <t xml:space="preserve">Fertilisers Sub-total </t>
  </si>
  <si>
    <t>90,55,72 - 84,14,120</t>
  </si>
  <si>
    <t>Fertiliser needs for SRC and Miscanthus (nitrogen,phosphate,potash)</t>
  </si>
  <si>
    <t>Cumplido-Marin et al, 2020</t>
  </si>
  <si>
    <t>Cost of fertilisers: arable crops</t>
  </si>
  <si>
    <t>274.8, 195.0, 238.6, 340.8, 277.3</t>
  </si>
  <si>
    <t>Cost of fertilisers (establishment): energy crops</t>
  </si>
  <si>
    <t>Cost of fertilisers (recurring): energy crops</t>
  </si>
  <si>
    <t>Spays</t>
  </si>
  <si>
    <t>Spay application</t>
  </si>
  <si>
    <t>Spray application</t>
  </si>
  <si>
    <t>39.5, 110.4, 151.8, 166.6</t>
  </si>
  <si>
    <t>126.3, 117.7, 162.0, 177.7</t>
  </si>
  <si>
    <t>Cost of sprays (establishment) of Sida and Silphium: same as Miscanthus</t>
  </si>
  <si>
    <t>100, 60</t>
  </si>
  <si>
    <t>Cost of sprays (recurring) of SRC and Miscanthus: assumed half of the cost of sprays in establishment</t>
  </si>
  <si>
    <t>F. maize 0%</t>
  </si>
  <si>
    <t>F. maize +50%</t>
  </si>
  <si>
    <t>F. maize -50%</t>
  </si>
  <si>
    <t>F. maize +100%</t>
  </si>
  <si>
    <t>F. maize -100%</t>
  </si>
  <si>
    <t>100, 85, 205</t>
  </si>
  <si>
    <t xml:space="preserve">             </t>
  </si>
  <si>
    <t>BASF Agricultural Solutions UK</t>
  </si>
  <si>
    <t>Arable inputs</t>
  </si>
  <si>
    <t>Price of forage maize (considering price £35-40 per FM tonne and dry matter 35%)</t>
  </si>
  <si>
    <t>Forage maize yield</t>
  </si>
  <si>
    <t>Yield profile co-efficient</t>
  </si>
  <si>
    <t>(proportion)</t>
  </si>
  <si>
    <t>Yield profile</t>
  </si>
  <si>
    <t>Yield profile coefficient over rotation</t>
  </si>
  <si>
    <t>(Year)</t>
  </si>
  <si>
    <t>Note: Yield profiles developed from combined published data sources</t>
  </si>
  <si>
    <t>Nitrogen</t>
  </si>
  <si>
    <t>F to m</t>
  </si>
  <si>
    <t>G to n</t>
  </si>
  <si>
    <t>H to o</t>
  </si>
  <si>
    <t>E to l</t>
  </si>
  <si>
    <t>M to t</t>
  </si>
  <si>
    <t>N to u</t>
  </si>
  <si>
    <t>O to v</t>
  </si>
  <si>
    <t>L to S</t>
  </si>
  <si>
    <t>T to aa</t>
  </si>
  <si>
    <t>U to ab</t>
  </si>
  <si>
    <t>V to ac</t>
  </si>
  <si>
    <t>S to Z</t>
  </si>
  <si>
    <t>New</t>
  </si>
  <si>
    <t>Average established dry biomass yield</t>
  </si>
  <si>
    <t>Sida and Silphium yield</t>
  </si>
  <si>
    <t>Witzel and Finger (2016)</t>
  </si>
  <si>
    <t>Miscanthus average and profile yield</t>
  </si>
  <si>
    <t>Wtizel and Finger (2016) and ADAS (2003)</t>
  </si>
  <si>
    <t>Fertiliser needs of forage maize (nitrogen, phosphate, potash)</t>
  </si>
  <si>
    <t>Seed cost forage maize</t>
  </si>
  <si>
    <t>Variable costs OSR straw: assumed same as wheat and oats</t>
  </si>
  <si>
    <t>11.6, 16.3</t>
  </si>
  <si>
    <t>Potash</t>
  </si>
  <si>
    <t>Phosphate</t>
  </si>
  <si>
    <t>Silphium 0%</t>
  </si>
  <si>
    <t>Silphium +50%</t>
  </si>
  <si>
    <t>Silphium -50%</t>
  </si>
  <si>
    <t>Silphium +100%</t>
  </si>
  <si>
    <t>Silphium -100%</t>
  </si>
  <si>
    <t>Cost of Sida seedlings (from Dirk €350 per 1,000 seedlings)</t>
  </si>
  <si>
    <t xml:space="preserve">Straw yield               </t>
  </si>
  <si>
    <t xml:space="preserve">Straw price               </t>
  </si>
  <si>
    <t>Model developed for the SidaTim project by Laura Cumplido-Marin and Dr. Anil Graves (2017-2020), based on economic model developed for EPOBIO project by Anil Graves (2004-2007)</t>
  </si>
  <si>
    <t>final</t>
  </si>
  <si>
    <r>
      <t>₤ t</t>
    </r>
    <r>
      <rPr>
        <vertAlign val="superscript"/>
        <sz val="8"/>
        <color theme="1"/>
        <rFont val="Calibri"/>
        <family val="2"/>
        <scheme val="minor"/>
      </rPr>
      <t>-1</t>
    </r>
  </si>
  <si>
    <r>
      <t>t ha</t>
    </r>
    <r>
      <rPr>
        <vertAlign val="superscript"/>
        <sz val="8"/>
        <color theme="1"/>
        <rFont val="Calibri"/>
        <family val="2"/>
        <scheme val="minor"/>
      </rPr>
      <t>-1</t>
    </r>
  </si>
  <si>
    <r>
      <t>₤ ha</t>
    </r>
    <r>
      <rPr>
        <vertAlign val="superscript"/>
        <sz val="8"/>
        <color theme="1"/>
        <rFont val="Calibri"/>
        <family val="2"/>
        <scheme val="minor"/>
      </rPr>
      <t>-1</t>
    </r>
  </si>
  <si>
    <r>
      <t>application ha</t>
    </r>
    <r>
      <rPr>
        <vertAlign val="superscript"/>
        <sz val="8"/>
        <color theme="1"/>
        <rFont val="Calibri"/>
        <family val="2"/>
        <scheme val="minor"/>
      </rPr>
      <t>-1</t>
    </r>
  </si>
  <si>
    <r>
      <t>£ t</t>
    </r>
    <r>
      <rPr>
        <vertAlign val="superscript"/>
        <sz val="8"/>
        <color theme="1"/>
        <rFont val="Calibri"/>
        <family val="2"/>
        <scheme val="minor"/>
      </rPr>
      <t>-1</t>
    </r>
  </si>
  <si>
    <r>
      <t>seedlings ha</t>
    </r>
    <r>
      <rPr>
        <vertAlign val="superscript"/>
        <sz val="8"/>
        <color theme="1"/>
        <rFont val="Calibri"/>
        <family val="2"/>
        <scheme val="minor"/>
      </rPr>
      <t>-1</t>
    </r>
  </si>
  <si>
    <r>
      <t>kg ha</t>
    </r>
    <r>
      <rPr>
        <vertAlign val="superscript"/>
        <sz val="8"/>
        <color theme="1"/>
        <rFont val="Calibri"/>
        <family val="2"/>
        <scheme val="minor"/>
      </rPr>
      <t>-1</t>
    </r>
  </si>
  <si>
    <r>
      <t>£ kg</t>
    </r>
    <r>
      <rPr>
        <vertAlign val="superscript"/>
        <sz val="8"/>
        <color theme="1"/>
        <rFont val="Calibri"/>
        <family val="2"/>
        <scheme val="minor"/>
      </rPr>
      <t>-1</t>
    </r>
  </si>
  <si>
    <r>
      <t xml:space="preserve"> t ha</t>
    </r>
    <r>
      <rPr>
        <vertAlign val="superscript"/>
        <sz val="8"/>
        <color theme="1"/>
        <rFont val="Calibri"/>
        <family val="2"/>
        <scheme val="minor"/>
      </rPr>
      <t>-1</t>
    </r>
  </si>
  <si>
    <r>
      <t>£ seedling</t>
    </r>
    <r>
      <rPr>
        <vertAlign val="superscript"/>
        <sz val="8"/>
        <color theme="1"/>
        <rFont val="Calibri"/>
        <family val="2"/>
        <scheme val="minor"/>
      </rPr>
      <t>-1</t>
    </r>
  </si>
  <si>
    <r>
      <t>Calculated price of N, P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, K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 from Redman (2018)</t>
    </r>
  </si>
  <si>
    <r>
      <t>Fertiliser needs of Sida (N, P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O</t>
    </r>
    <r>
      <rPr>
        <vertAlign val="subscript"/>
        <sz val="8"/>
        <rFont val="Calibri"/>
        <family val="2"/>
        <scheme val="minor"/>
      </rPr>
      <t>5</t>
    </r>
    <r>
      <rPr>
        <sz val="8"/>
        <rFont val="Calibri"/>
        <family val="2"/>
        <scheme val="minor"/>
      </rPr>
      <t>, K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O)</t>
    </r>
  </si>
  <si>
    <r>
      <t>Fertiliser needs of Silphium (N, P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O</t>
    </r>
    <r>
      <rPr>
        <vertAlign val="subscript"/>
        <sz val="8"/>
        <rFont val="Calibri"/>
        <family val="2"/>
        <scheme val="minor"/>
      </rPr>
      <t>5</t>
    </r>
    <r>
      <rPr>
        <sz val="8"/>
        <rFont val="Calibri"/>
        <family val="2"/>
        <scheme val="minor"/>
      </rPr>
      <t>, K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O)</t>
    </r>
  </si>
  <si>
    <r>
      <t>₤ ha</t>
    </r>
    <r>
      <rPr>
        <vertAlign val="superscript"/>
        <sz val="8"/>
        <rFont val="Calibri"/>
        <family val="2"/>
        <scheme val="minor"/>
      </rPr>
      <t>-1</t>
    </r>
  </si>
  <si>
    <r>
      <t>₤ odt</t>
    </r>
    <r>
      <rPr>
        <vertAlign val="superscript"/>
        <sz val="8"/>
        <color theme="1"/>
        <rFont val="Calibri"/>
        <family val="2"/>
        <scheme val="minor"/>
      </rPr>
      <t>-1</t>
    </r>
  </si>
  <si>
    <t>Sida hermaphrodita</t>
  </si>
  <si>
    <t>Silphium perfoliatum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</si>
</sst>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_)"/>
    <numFmt numFmtId="166" formatCode="0_)"/>
    <numFmt numFmtId="167" formatCode="0.000"/>
    <numFmt numFmtId="168" formatCode="0.0_)"/>
  </numFmts>
  <fonts count="51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vertAlign val="superscript"/>
      <sz val="8"/>
      <name val="Arial"/>
      <family val="2"/>
    </font>
    <font>
      <b/>
      <sz val="8"/>
      <color indexed="8"/>
      <name val="Arial"/>
      <family val="2"/>
    </font>
    <font>
      <i/>
      <sz val="8"/>
      <name val="Arial"/>
      <family val="2"/>
    </font>
    <font>
      <b/>
      <vertAlign val="superscript"/>
      <sz val="8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sz val="12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8"/>
      <name val="Times New Roman"/>
      <family val="1"/>
    </font>
    <font>
      <vertAlign val="subscript"/>
      <sz val="8"/>
      <name val="Arial"/>
      <family val="2"/>
    </font>
    <font>
      <sz val="10"/>
      <name val="Arial"/>
      <family val="2"/>
    </font>
    <font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vertAlign val="subscript"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8"/>
      <color theme="4"/>
      <name val="Arial"/>
      <family val="2"/>
    </font>
    <font>
      <vertAlign val="subscript"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10"/>
      <name val="Arial"/>
      <family val="2"/>
    </font>
    <font>
      <vertAlign val="superscript"/>
      <sz val="8"/>
      <color theme="1"/>
      <name val="Calibri"/>
      <family val="2"/>
    </font>
    <font>
      <sz val="10"/>
      <color theme="1"/>
      <name val="Arial"/>
      <family val="2"/>
    </font>
    <font>
      <b/>
      <vertAlign val="superscript"/>
      <sz val="11"/>
      <name val="Arial"/>
      <family val="2"/>
    </font>
    <font>
      <b/>
      <vertAlign val="superscript"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9"/>
      <name val="Arial"/>
      <family val="2"/>
    </font>
    <font>
      <sz val="8"/>
      <color rgb="FFFF0000"/>
      <name val="Arial"/>
      <family val="2"/>
    </font>
    <font>
      <sz val="8"/>
      <color theme="5"/>
      <name val="Arial"/>
      <family val="2"/>
    </font>
    <font>
      <sz val="11"/>
      <color rgb="FFFF0000"/>
      <name val="Arial"/>
      <family val="2"/>
    </font>
    <font>
      <sz val="11"/>
      <color theme="7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5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vertAlign val="subscript"/>
      <sz val="8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1141">
    <xf numFmtId="0" fontId="0" fillId="0" borderId="0" xfId="0"/>
    <xf numFmtId="0" fontId="1" fillId="0" borderId="0" xfId="0" applyFont="1"/>
    <xf numFmtId="0" fontId="0" fillId="0" borderId="0" xfId="0" applyFont="1"/>
    <xf numFmtId="164" fontId="3" fillId="0" borderId="16" xfId="0" applyNumberFormat="1" applyFont="1" applyFill="1" applyBorder="1" applyProtection="1">
      <protection locked="0"/>
    </xf>
    <xf numFmtId="0" fontId="3" fillId="2" borderId="9" xfId="0" applyFont="1" applyFill="1" applyBorder="1" applyAlignment="1" applyProtection="1"/>
    <xf numFmtId="0" fontId="3" fillId="2" borderId="13" xfId="0" applyFont="1" applyFill="1" applyBorder="1" applyAlignment="1" applyProtection="1"/>
    <xf numFmtId="0" fontId="4" fillId="0" borderId="8" xfId="0" applyFont="1" applyFill="1" applyBorder="1" applyProtection="1"/>
    <xf numFmtId="0" fontId="4" fillId="0" borderId="3" xfId="0" applyFont="1" applyFill="1" applyBorder="1" applyProtection="1"/>
    <xf numFmtId="165" fontId="8" fillId="0" borderId="3" xfId="0" applyNumberFormat="1" applyFont="1" applyFill="1" applyBorder="1" applyAlignment="1" applyProtection="1"/>
    <xf numFmtId="0" fontId="3" fillId="0" borderId="3" xfId="0" applyFont="1" applyFill="1" applyBorder="1" applyAlignment="1" applyProtection="1"/>
    <xf numFmtId="0" fontId="3" fillId="0" borderId="3" xfId="0" applyFont="1" applyFill="1" applyBorder="1" applyProtection="1"/>
    <xf numFmtId="0" fontId="4" fillId="2" borderId="10" xfId="0" applyFont="1" applyFill="1" applyBorder="1" applyProtection="1"/>
    <xf numFmtId="0" fontId="3" fillId="2" borderId="3" xfId="0" applyFont="1" applyFill="1" applyBorder="1" applyProtection="1"/>
    <xf numFmtId="0" fontId="4" fillId="2" borderId="3" xfId="0" applyFont="1" applyFill="1" applyBorder="1" applyProtection="1"/>
    <xf numFmtId="0" fontId="3" fillId="2" borderId="14" xfId="0" applyFont="1" applyFill="1" applyBorder="1" applyProtection="1"/>
    <xf numFmtId="165" fontId="8" fillId="0" borderId="8" xfId="0" applyNumberFormat="1" applyFont="1" applyFill="1" applyBorder="1" applyProtection="1"/>
    <xf numFmtId="0" fontId="3" fillId="0" borderId="16" xfId="0" applyFont="1" applyFill="1" applyBorder="1" applyProtection="1"/>
    <xf numFmtId="0" fontId="3" fillId="0" borderId="16" xfId="0" applyFont="1" applyFill="1" applyBorder="1" applyAlignment="1" applyProtection="1">
      <alignment horizontal="left" vertical="top"/>
    </xf>
    <xf numFmtId="0" fontId="3" fillId="0" borderId="9" xfId="0" applyFont="1" applyFill="1" applyBorder="1" applyAlignment="1" applyProtection="1"/>
    <xf numFmtId="165" fontId="8" fillId="0" borderId="0" xfId="0" applyNumberFormat="1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/>
    <xf numFmtId="0" fontId="0" fillId="0" borderId="0" xfId="0" applyFont="1" applyFill="1" applyBorder="1"/>
    <xf numFmtId="0" fontId="3" fillId="0" borderId="11" xfId="0" applyFont="1" applyFill="1" applyBorder="1" applyProtection="1"/>
    <xf numFmtId="0" fontId="3" fillId="0" borderId="13" xfId="0" applyFont="1" applyFill="1" applyBorder="1" applyAlignment="1" applyProtection="1"/>
    <xf numFmtId="0" fontId="12" fillId="0" borderId="0" xfId="0" applyFont="1"/>
    <xf numFmtId="0" fontId="0" fillId="0" borderId="0" xfId="0" applyFont="1" applyFill="1"/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left" vertical="top"/>
    </xf>
    <xf numFmtId="0" fontId="9" fillId="0" borderId="10" xfId="0" applyFont="1" applyFill="1" applyBorder="1" applyAlignment="1" applyProtection="1">
      <alignment horizontal="right" vertical="top" wrapText="1"/>
    </xf>
    <xf numFmtId="0" fontId="9" fillId="0" borderId="16" xfId="0" applyFont="1" applyFill="1" applyBorder="1" applyAlignment="1" applyProtection="1">
      <alignment horizontal="right" vertical="top" wrapText="1"/>
    </xf>
    <xf numFmtId="0" fontId="3" fillId="0" borderId="0" xfId="0" applyFont="1" applyFill="1" applyBorder="1" applyAlignment="1" applyProtection="1"/>
    <xf numFmtId="0" fontId="9" fillId="0" borderId="14" xfId="0" applyFont="1" applyFill="1" applyBorder="1" applyAlignment="1" applyProtection="1">
      <alignment horizontal="right" vertical="top" wrapText="1"/>
    </xf>
    <xf numFmtId="165" fontId="5" fillId="0" borderId="16" xfId="0" applyNumberFormat="1" applyFont="1" applyFill="1" applyBorder="1" applyAlignment="1" applyProtection="1">
      <alignment horizontal="left" vertical="top" wrapText="1"/>
    </xf>
    <xf numFmtId="0" fontId="3" fillId="0" borderId="16" xfId="0" applyFont="1" applyFill="1" applyBorder="1" applyAlignment="1" applyProtection="1">
      <alignment horizontal="left" vertical="top" wrapText="1"/>
    </xf>
    <xf numFmtId="0" fontId="3" fillId="0" borderId="19" xfId="0" applyFont="1" applyFill="1" applyBorder="1" applyAlignment="1" applyProtection="1"/>
    <xf numFmtId="165" fontId="5" fillId="0" borderId="9" xfId="0" applyNumberFormat="1" applyFont="1" applyFill="1" applyBorder="1" applyAlignment="1" applyProtection="1">
      <alignment horizontal="left" vertical="top" wrapText="1"/>
    </xf>
    <xf numFmtId="165" fontId="5" fillId="0" borderId="13" xfId="0" applyNumberFormat="1" applyFont="1" applyFill="1" applyBorder="1" applyAlignment="1" applyProtection="1">
      <alignment horizontal="left" vertical="top" wrapText="1"/>
    </xf>
    <xf numFmtId="165" fontId="5" fillId="0" borderId="18" xfId="0" applyNumberFormat="1" applyFont="1" applyFill="1" applyBorder="1" applyAlignment="1" applyProtection="1">
      <alignment horizontal="left" vertical="top" wrapText="1"/>
    </xf>
    <xf numFmtId="0" fontId="3" fillId="0" borderId="6" xfId="0" applyFont="1" applyFill="1" applyBorder="1" applyAlignment="1" applyProtection="1"/>
    <xf numFmtId="0" fontId="0" fillId="0" borderId="0" xfId="0" applyFill="1"/>
    <xf numFmtId="2" fontId="3" fillId="0" borderId="16" xfId="0" applyNumberFormat="1" applyFont="1" applyFill="1" applyBorder="1" applyProtection="1">
      <protection locked="0"/>
    </xf>
    <xf numFmtId="0" fontId="3" fillId="0" borderId="16" xfId="0" applyFont="1" applyFill="1" applyBorder="1"/>
    <xf numFmtId="0" fontId="4" fillId="0" borderId="18" xfId="0" applyFont="1" applyFill="1" applyBorder="1"/>
    <xf numFmtId="0" fontId="4" fillId="0" borderId="6" xfId="0" applyFont="1" applyFill="1" applyBorder="1" applyAlignment="1">
      <alignment wrapText="1"/>
    </xf>
    <xf numFmtId="0" fontId="3" fillId="0" borderId="6" xfId="0" applyFont="1" applyFill="1" applyBorder="1"/>
    <xf numFmtId="0" fontId="4" fillId="0" borderId="16" xfId="0" applyFont="1" applyFill="1" applyBorder="1" applyAlignment="1">
      <alignment horizontal="left"/>
    </xf>
    <xf numFmtId="0" fontId="3" fillId="0" borderId="14" xfId="0" applyFont="1" applyFill="1" applyBorder="1"/>
    <xf numFmtId="0" fontId="3" fillId="0" borderId="13" xfId="0" applyFont="1" applyFill="1" applyBorder="1"/>
    <xf numFmtId="0" fontId="3" fillId="0" borderId="21" xfId="0" applyFont="1" applyFill="1" applyBorder="1"/>
    <xf numFmtId="0" fontId="4" fillId="0" borderId="10" xfId="0" applyFont="1" applyFill="1" applyBorder="1"/>
    <xf numFmtId="0" fontId="4" fillId="0" borderId="6" xfId="0" applyFont="1" applyFill="1" applyBorder="1" applyAlignment="1">
      <alignment horizontal="center" wrapText="1"/>
    </xf>
    <xf numFmtId="0" fontId="4" fillId="0" borderId="6" xfId="0" applyFont="1" applyFill="1" applyBorder="1"/>
    <xf numFmtId="0" fontId="4" fillId="0" borderId="16" xfId="0" applyFont="1" applyFill="1" applyBorder="1"/>
    <xf numFmtId="0" fontId="3" fillId="0" borderId="0" xfId="0" applyFont="1" applyFill="1"/>
    <xf numFmtId="0" fontId="3" fillId="0" borderId="22" xfId="0" applyFont="1" applyFill="1" applyBorder="1"/>
    <xf numFmtId="0" fontId="0" fillId="0" borderId="14" xfId="0" applyBorder="1"/>
    <xf numFmtId="0" fontId="4" fillId="0" borderId="6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wrapText="1"/>
    </xf>
    <xf numFmtId="0" fontId="4" fillId="0" borderId="5" xfId="0" applyFont="1" applyFill="1" applyBorder="1" applyAlignment="1">
      <alignment horizontal="center" wrapText="1"/>
    </xf>
    <xf numFmtId="2" fontId="3" fillId="3" borderId="3" xfId="0" applyNumberFormat="1" applyFont="1" applyFill="1" applyBorder="1" applyAlignment="1">
      <alignment horizontal="center"/>
    </xf>
    <xf numFmtId="2" fontId="3" fillId="3" borderId="11" xfId="0" applyNumberFormat="1" applyFont="1" applyFill="1" applyBorder="1" applyAlignment="1">
      <alignment horizontal="center"/>
    </xf>
    <xf numFmtId="2" fontId="3" fillId="3" borderId="16" xfId="0" applyNumberFormat="1" applyFont="1" applyFill="1" applyBorder="1" applyAlignment="1">
      <alignment horizontal="center"/>
    </xf>
    <xf numFmtId="0" fontId="3" fillId="0" borderId="10" xfId="0" applyFont="1" applyFill="1" applyBorder="1"/>
    <xf numFmtId="0" fontId="0" fillId="0" borderId="0" xfId="0" applyBorder="1"/>
    <xf numFmtId="0" fontId="0" fillId="0" borderId="16" xfId="0" applyBorder="1"/>
    <xf numFmtId="0" fontId="3" fillId="0" borderId="23" xfId="0" applyFont="1" applyFill="1" applyBorder="1"/>
    <xf numFmtId="2" fontId="4" fillId="0" borderId="21" xfId="0" applyNumberFormat="1" applyFont="1" applyFill="1" applyBorder="1"/>
    <xf numFmtId="2" fontId="4" fillId="0" borderId="6" xfId="0" applyNumberFormat="1" applyFont="1" applyFill="1" applyBorder="1"/>
    <xf numFmtId="0" fontId="0" fillId="5" borderId="0" xfId="0" applyFill="1"/>
    <xf numFmtId="2" fontId="3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0" fontId="4" fillId="0" borderId="13" xfId="0" applyFont="1" applyFill="1" applyBorder="1" applyAlignment="1">
      <alignment wrapText="1"/>
    </xf>
    <xf numFmtId="0" fontId="4" fillId="0" borderId="23" xfId="0" applyFont="1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165" fontId="8" fillId="0" borderId="0" xfId="0" applyNumberFormat="1" applyFont="1" applyFill="1" applyBorder="1" applyProtection="1"/>
    <xf numFmtId="0" fontId="0" fillId="0" borderId="13" xfId="0" applyFont="1" applyFill="1" applyBorder="1"/>
    <xf numFmtId="165" fontId="5" fillId="0" borderId="8" xfId="0" applyNumberFormat="1" applyFont="1" applyFill="1" applyBorder="1" applyProtection="1"/>
    <xf numFmtId="0" fontId="3" fillId="0" borderId="14" xfId="0" applyFont="1" applyFill="1" applyBorder="1" applyProtection="1"/>
    <xf numFmtId="0" fontId="14" fillId="0" borderId="0" xfId="0" applyFont="1"/>
    <xf numFmtId="0" fontId="3" fillId="0" borderId="22" xfId="0" applyFont="1" applyFill="1" applyBorder="1" applyAlignment="1" applyProtection="1"/>
    <xf numFmtId="0" fontId="3" fillId="0" borderId="23" xfId="0" applyFont="1" applyFill="1" applyBorder="1" applyAlignment="1" applyProtection="1"/>
    <xf numFmtId="165" fontId="5" fillId="0" borderId="10" xfId="0" applyNumberFormat="1" applyFont="1" applyFill="1" applyBorder="1" applyAlignment="1" applyProtection="1">
      <alignment horizontal="left" vertical="top" wrapText="1"/>
    </xf>
    <xf numFmtId="165" fontId="5" fillId="0" borderId="14" xfId="0" applyNumberFormat="1" applyFont="1" applyFill="1" applyBorder="1" applyAlignment="1" applyProtection="1">
      <alignment horizontal="left" vertical="top" wrapText="1"/>
    </xf>
    <xf numFmtId="0" fontId="3" fillId="0" borderId="24" xfId="0" applyFont="1" applyFill="1" applyBorder="1" applyAlignment="1" applyProtection="1"/>
    <xf numFmtId="2" fontId="3" fillId="0" borderId="5" xfId="0" applyNumberFormat="1" applyFont="1" applyFill="1" applyBorder="1" applyProtection="1"/>
    <xf numFmtId="0" fontId="0" fillId="3" borderId="0" xfId="0" applyFill="1"/>
    <xf numFmtId="0" fontId="12" fillId="0" borderId="5" xfId="0" applyFont="1" applyBorder="1"/>
    <xf numFmtId="0" fontId="3" fillId="0" borderId="6" xfId="0" applyFont="1" applyFill="1" applyBorder="1" applyAlignment="1" applyProtection="1">
      <alignment horizontal="left" vertical="top" wrapText="1"/>
    </xf>
    <xf numFmtId="0" fontId="12" fillId="0" borderId="6" xfId="0" applyFont="1" applyBorder="1"/>
    <xf numFmtId="0" fontId="3" fillId="0" borderId="21" xfId="0" applyFont="1" applyFill="1" applyBorder="1" applyAlignment="1" applyProtection="1"/>
    <xf numFmtId="2" fontId="0" fillId="0" borderId="0" xfId="0" applyNumberFormat="1" applyFont="1"/>
    <xf numFmtId="0" fontId="4" fillId="0" borderId="5" xfId="0" applyFont="1" applyFill="1" applyBorder="1" applyProtection="1"/>
    <xf numFmtId="1" fontId="3" fillId="0" borderId="21" xfId="0" applyNumberFormat="1" applyFont="1" applyFill="1" applyBorder="1" applyProtection="1"/>
    <xf numFmtId="0" fontId="3" fillId="0" borderId="18" xfId="0" applyFont="1" applyFill="1" applyBorder="1" applyAlignment="1" applyProtection="1">
      <alignment horizontal="left" vertical="top"/>
    </xf>
    <xf numFmtId="165" fontId="8" fillId="0" borderId="16" xfId="0" applyNumberFormat="1" applyFont="1" applyFill="1" applyBorder="1" applyAlignment="1" applyProtection="1"/>
    <xf numFmtId="165" fontId="8" fillId="0" borderId="16" xfId="0" applyNumberFormat="1" applyFont="1" applyFill="1" applyBorder="1" applyAlignment="1" applyProtection="1">
      <alignment horizontal="left" vertical="top" wrapText="1"/>
    </xf>
    <xf numFmtId="0" fontId="4" fillId="0" borderId="16" xfId="0" applyFont="1" applyFill="1" applyBorder="1" applyProtection="1"/>
    <xf numFmtId="165" fontId="8" fillId="0" borderId="8" xfId="0" applyNumberFormat="1" applyFont="1" applyFill="1" applyBorder="1" applyAlignment="1" applyProtection="1"/>
    <xf numFmtId="0" fontId="0" fillId="0" borderId="0" xfId="0" applyFill="1" applyBorder="1"/>
    <xf numFmtId="1" fontId="4" fillId="0" borderId="8" xfId="0" applyNumberFormat="1" applyFont="1" applyFill="1" applyBorder="1" applyProtection="1"/>
    <xf numFmtId="1" fontId="4" fillId="0" borderId="11" xfId="0" applyNumberFormat="1" applyFont="1" applyFill="1" applyBorder="1" applyProtection="1"/>
    <xf numFmtId="0" fontId="0" fillId="0" borderId="22" xfId="0" applyFont="1" applyFill="1" applyBorder="1"/>
    <xf numFmtId="0" fontId="12" fillId="0" borderId="0" xfId="0" applyFont="1" applyFill="1"/>
    <xf numFmtId="0" fontId="0" fillId="0" borderId="10" xfId="0" applyBorder="1"/>
    <xf numFmtId="2" fontId="0" fillId="0" borderId="0" xfId="0" applyNumberFormat="1"/>
    <xf numFmtId="0" fontId="0" fillId="0" borderId="3" xfId="0" applyBorder="1"/>
    <xf numFmtId="0" fontId="0" fillId="0" borderId="11" xfId="0" applyBorder="1"/>
    <xf numFmtId="2" fontId="12" fillId="0" borderId="8" xfId="0" applyNumberFormat="1" applyFont="1" applyBorder="1"/>
    <xf numFmtId="2" fontId="12" fillId="0" borderId="3" xfId="0" applyNumberFormat="1" applyFont="1" applyBorder="1"/>
    <xf numFmtId="2" fontId="4" fillId="0" borderId="8" xfId="0" applyNumberFormat="1" applyFont="1" applyFill="1" applyBorder="1" applyAlignment="1" applyProtection="1">
      <alignment horizontal="right"/>
    </xf>
    <xf numFmtId="2" fontId="4" fillId="0" borderId="3" xfId="0" applyNumberFormat="1" applyFont="1" applyFill="1" applyBorder="1" applyAlignment="1" applyProtection="1">
      <alignment horizontal="right"/>
    </xf>
    <xf numFmtId="2" fontId="4" fillId="0" borderId="5" xfId="0" applyNumberFormat="1" applyFont="1" applyFill="1" applyBorder="1" applyAlignment="1" applyProtection="1">
      <alignment horizontal="right"/>
    </xf>
    <xf numFmtId="0" fontId="3" fillId="0" borderId="10" xfId="0" applyFont="1" applyFill="1" applyBorder="1" applyAlignment="1" applyProtection="1">
      <alignment horizontal="left" vertical="top"/>
    </xf>
    <xf numFmtId="0" fontId="3" fillId="0" borderId="24" xfId="0" applyFont="1" applyFill="1" applyBorder="1" applyAlignment="1" applyProtection="1">
      <alignment horizontal="left" vertical="top"/>
    </xf>
    <xf numFmtId="0" fontId="3" fillId="0" borderId="23" xfId="0" applyFont="1" applyFill="1" applyBorder="1" applyAlignment="1" applyProtection="1">
      <alignment horizontal="left" vertical="top"/>
    </xf>
    <xf numFmtId="165" fontId="5" fillId="2" borderId="10" xfId="0" applyNumberFormat="1" applyFont="1" applyFill="1" applyBorder="1" applyAlignment="1" applyProtection="1">
      <alignment horizontal="left" vertical="top" wrapText="1"/>
    </xf>
    <xf numFmtId="165" fontId="5" fillId="2" borderId="14" xfId="0" applyNumberFormat="1" applyFont="1" applyFill="1" applyBorder="1" applyAlignment="1" applyProtection="1">
      <alignment horizontal="left" vertical="top" wrapText="1"/>
    </xf>
    <xf numFmtId="0" fontId="3" fillId="2" borderId="24" xfId="0" applyFont="1" applyFill="1" applyBorder="1" applyAlignment="1" applyProtection="1"/>
    <xf numFmtId="0" fontId="3" fillId="2" borderId="23" xfId="0" applyFont="1" applyFill="1" applyBorder="1" applyAlignment="1" applyProtection="1"/>
    <xf numFmtId="1" fontId="4" fillId="0" borderId="0" xfId="0" applyNumberFormat="1" applyFont="1" applyFill="1" applyBorder="1" applyProtection="1"/>
    <xf numFmtId="165" fontId="5" fillId="0" borderId="14" xfId="0" applyNumberFormat="1" applyFont="1" applyFill="1" applyBorder="1" applyAlignment="1" applyProtection="1">
      <alignment horizontal="right" vertical="top" wrapText="1"/>
    </xf>
    <xf numFmtId="165" fontId="5" fillId="0" borderId="18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left" vertical="top" wrapText="1"/>
    </xf>
    <xf numFmtId="0" fontId="4" fillId="2" borderId="10" xfId="0" applyFont="1" applyFill="1" applyBorder="1" applyAlignment="1" applyProtection="1">
      <alignment horizontal="left" vertical="top" wrapText="1"/>
    </xf>
    <xf numFmtId="0" fontId="3" fillId="0" borderId="14" xfId="0" applyFont="1" applyFill="1" applyBorder="1" applyAlignment="1" applyProtection="1">
      <alignment horizontal="left" vertical="top" wrapText="1"/>
    </xf>
    <xf numFmtId="0" fontId="9" fillId="0" borderId="18" xfId="0" applyFont="1" applyFill="1" applyBorder="1" applyAlignment="1" applyProtection="1">
      <alignment horizontal="right" vertical="top" wrapText="1"/>
    </xf>
    <xf numFmtId="0" fontId="3" fillId="0" borderId="22" xfId="0" applyFont="1" applyFill="1" applyBorder="1" applyAlignment="1" applyProtection="1">
      <alignment horizontal="left" vertical="top"/>
    </xf>
    <xf numFmtId="0" fontId="2" fillId="0" borderId="0" xfId="0" applyFont="1" applyBorder="1"/>
    <xf numFmtId="0" fontId="3" fillId="0" borderId="5" xfId="0" applyFont="1" applyFill="1" applyBorder="1" applyAlignment="1">
      <alignment horizontal="right"/>
    </xf>
    <xf numFmtId="2" fontId="3" fillId="0" borderId="5" xfId="0" applyNumberFormat="1" applyFont="1" applyFill="1" applyBorder="1"/>
    <xf numFmtId="2" fontId="3" fillId="3" borderId="0" xfId="0" applyNumberFormat="1" applyFont="1" applyFill="1" applyBorder="1" applyAlignment="1">
      <alignment horizontal="center"/>
    </xf>
    <xf numFmtId="2" fontId="3" fillId="0" borderId="9" xfId="0" applyNumberFormat="1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0" fontId="4" fillId="0" borderId="18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29" xfId="0" applyFont="1" applyFill="1" applyBorder="1" applyAlignment="1">
      <alignment horizontal="center"/>
    </xf>
    <xf numFmtId="0" fontId="3" fillId="0" borderId="20" xfId="0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9" xfId="0" applyFont="1" applyFill="1" applyBorder="1"/>
    <xf numFmtId="2" fontId="3" fillId="0" borderId="26" xfId="0" applyNumberFormat="1" applyFont="1" applyFill="1" applyBorder="1" applyAlignment="1">
      <alignment horizontal="left"/>
    </xf>
    <xf numFmtId="2" fontId="3" fillId="0" borderId="2" xfId="0" applyNumberFormat="1" applyFont="1" applyFill="1" applyBorder="1" applyAlignment="1">
      <alignment horizontal="left"/>
    </xf>
    <xf numFmtId="2" fontId="3" fillId="0" borderId="20" xfId="0" applyNumberFormat="1" applyFont="1" applyFill="1" applyBorder="1" applyAlignment="1">
      <alignment horizontal="left"/>
    </xf>
    <xf numFmtId="0" fontId="4" fillId="0" borderId="20" xfId="0" applyFont="1" applyFill="1" applyBorder="1" applyAlignment="1">
      <alignment wrapText="1"/>
    </xf>
    <xf numFmtId="0" fontId="4" fillId="0" borderId="20" xfId="0" applyFont="1" applyFill="1" applyBorder="1" applyAlignment="1">
      <alignment horizontal="center" wrapText="1"/>
    </xf>
    <xf numFmtId="1" fontId="4" fillId="0" borderId="29" xfId="0" applyNumberFormat="1" applyFont="1" applyFill="1" applyBorder="1" applyAlignment="1">
      <alignment horizontal="center"/>
    </xf>
    <xf numFmtId="0" fontId="3" fillId="0" borderId="18" xfId="0" applyFont="1" applyFill="1" applyBorder="1"/>
    <xf numFmtId="0" fontId="3" fillId="0" borderId="21" xfId="0" applyFont="1" applyFill="1" applyBorder="1" applyAlignment="1">
      <alignment horizontal="left"/>
    </xf>
    <xf numFmtId="0" fontId="12" fillId="0" borderId="9" xfId="0" applyFont="1" applyFill="1" applyBorder="1"/>
    <xf numFmtId="1" fontId="3" fillId="0" borderId="0" xfId="0" applyNumberFormat="1" applyFont="1" applyFill="1" applyBorder="1"/>
    <xf numFmtId="0" fontId="3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2" fillId="0" borderId="6" xfId="0" applyFont="1" applyFill="1" applyBorder="1"/>
    <xf numFmtId="1" fontId="3" fillId="0" borderId="11" xfId="0" applyNumberFormat="1" applyFont="1" applyFill="1" applyBorder="1" applyProtection="1"/>
    <xf numFmtId="164" fontId="3" fillId="0" borderId="5" xfId="0" applyNumberFormat="1" applyFont="1" applyFill="1" applyBorder="1" applyProtection="1"/>
    <xf numFmtId="1" fontId="3" fillId="0" borderId="5" xfId="0" applyNumberFormat="1" applyFont="1" applyFill="1" applyBorder="1" applyProtection="1"/>
    <xf numFmtId="164" fontId="3" fillId="0" borderId="31" xfId="0" applyNumberFormat="1" applyFont="1" applyFill="1" applyBorder="1" applyProtection="1"/>
    <xf numFmtId="0" fontId="3" fillId="0" borderId="27" xfId="0" applyFont="1" applyFill="1" applyBorder="1" applyAlignment="1" applyProtection="1"/>
    <xf numFmtId="0" fontId="0" fillId="0" borderId="9" xfId="0" applyBorder="1"/>
    <xf numFmtId="0" fontId="3" fillId="0" borderId="28" xfId="0" applyFont="1" applyFill="1" applyBorder="1" applyAlignment="1" applyProtection="1">
      <alignment horizontal="left" vertical="top"/>
    </xf>
    <xf numFmtId="0" fontId="3" fillId="0" borderId="28" xfId="0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top" wrapText="1"/>
    </xf>
    <xf numFmtId="1" fontId="3" fillId="0" borderId="24" xfId="0" applyNumberFormat="1" applyFont="1" applyFill="1" applyBorder="1" applyProtection="1"/>
    <xf numFmtId="165" fontId="8" fillId="0" borderId="10" xfId="0" applyNumberFormat="1" applyFont="1" applyFill="1" applyBorder="1" applyProtection="1"/>
    <xf numFmtId="1" fontId="3" fillId="0" borderId="8" xfId="0" applyNumberFormat="1" applyFont="1" applyFill="1" applyBorder="1" applyProtection="1"/>
    <xf numFmtId="0" fontId="12" fillId="0" borderId="13" xfId="0" applyFont="1" applyBorder="1"/>
    <xf numFmtId="1" fontId="3" fillId="0" borderId="3" xfId="0" applyNumberFormat="1" applyFont="1" applyFill="1" applyBorder="1" applyProtection="1"/>
    <xf numFmtId="0" fontId="3" fillId="0" borderId="23" xfId="0" applyFont="1" applyFill="1" applyBorder="1" applyAlignment="1">
      <alignment horizontal="center" wrapText="1"/>
    </xf>
    <xf numFmtId="0" fontId="12" fillId="0" borderId="13" xfId="0" applyFont="1" applyFill="1" applyBorder="1"/>
    <xf numFmtId="0" fontId="12" fillId="0" borderId="23" xfId="0" applyFont="1" applyFill="1" applyBorder="1"/>
    <xf numFmtId="0" fontId="3" fillId="0" borderId="9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12" fillId="0" borderId="14" xfId="0" applyFont="1" applyFill="1" applyBorder="1"/>
    <xf numFmtId="0" fontId="0" fillId="0" borderId="21" xfId="0" applyBorder="1"/>
    <xf numFmtId="165" fontId="8" fillId="0" borderId="10" xfId="0" applyNumberFormat="1" applyFont="1" applyFill="1" applyBorder="1" applyAlignment="1" applyProtection="1">
      <alignment horizontal="left" vertical="top" wrapText="1"/>
    </xf>
    <xf numFmtId="164" fontId="3" fillId="0" borderId="18" xfId="0" applyNumberFormat="1" applyFont="1" applyFill="1" applyBorder="1" applyProtection="1"/>
    <xf numFmtId="165" fontId="5" fillId="0" borderId="0" xfId="0" applyNumberFormat="1" applyFont="1" applyFill="1" applyBorder="1" applyAlignment="1" applyProtection="1">
      <alignment horizontal="left" vertical="top" wrapText="1"/>
    </xf>
    <xf numFmtId="0" fontId="4" fillId="0" borderId="10" xfId="0" applyFont="1" applyFill="1" applyBorder="1" applyProtection="1"/>
    <xf numFmtId="0" fontId="4" fillId="0" borderId="13" xfId="0" applyFont="1" applyFill="1" applyBorder="1" applyAlignment="1" applyProtection="1"/>
    <xf numFmtId="0" fontId="3" fillId="0" borderId="16" xfId="0" applyFont="1" applyFill="1" applyBorder="1" applyAlignment="1" applyProtection="1">
      <alignment horizontal="right" vertical="top" wrapText="1"/>
    </xf>
    <xf numFmtId="0" fontId="3" fillId="0" borderId="14" xfId="0" applyFont="1" applyFill="1" applyBorder="1" applyAlignment="1" applyProtection="1">
      <alignment horizontal="right" vertical="top" wrapText="1"/>
    </xf>
    <xf numFmtId="0" fontId="4" fillId="0" borderId="19" xfId="0" applyFont="1" applyFill="1" applyBorder="1" applyAlignment="1" applyProtection="1"/>
    <xf numFmtId="0" fontId="11" fillId="0" borderId="18" xfId="0" applyFont="1" applyFill="1" applyBorder="1"/>
    <xf numFmtId="0" fontId="4" fillId="2" borderId="8" xfId="0" applyFont="1" applyFill="1" applyBorder="1" applyProtection="1"/>
    <xf numFmtId="165" fontId="5" fillId="2" borderId="11" xfId="0" applyNumberFormat="1" applyFont="1" applyFill="1" applyBorder="1" applyAlignment="1" applyProtection="1">
      <alignment horizontal="left" vertical="top" wrapText="1"/>
    </xf>
    <xf numFmtId="0" fontId="0" fillId="9" borderId="0" xfId="0" applyFill="1"/>
    <xf numFmtId="0" fontId="4" fillId="2" borderId="10" xfId="0" applyFont="1" applyFill="1" applyBorder="1" applyAlignment="1" applyProtection="1">
      <alignment horizontal="right" vertical="top" wrapText="1"/>
    </xf>
    <xf numFmtId="0" fontId="4" fillId="2" borderId="14" xfId="0" applyFont="1" applyFill="1" applyBorder="1" applyAlignment="1" applyProtection="1">
      <alignment horizontal="right" vertical="top" wrapText="1"/>
    </xf>
    <xf numFmtId="165" fontId="4" fillId="2" borderId="5" xfId="0" applyNumberFormat="1" applyFont="1" applyFill="1" applyBorder="1" applyProtection="1"/>
    <xf numFmtId="0" fontId="4" fillId="2" borderId="16" xfId="0" applyFont="1" applyFill="1" applyBorder="1" applyAlignment="1" applyProtection="1">
      <alignment horizontal="right" vertical="top" wrapText="1"/>
    </xf>
    <xf numFmtId="165" fontId="4" fillId="2" borderId="8" xfId="0" applyNumberFormat="1" applyFont="1" applyFill="1" applyBorder="1" applyProtection="1"/>
    <xf numFmtId="165" fontId="8" fillId="2" borderId="8" xfId="0" applyNumberFormat="1" applyFont="1" applyFill="1" applyBorder="1" applyAlignment="1" applyProtection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6" xfId="0" applyFont="1" applyFill="1" applyBorder="1" applyAlignment="1">
      <alignment horizontal="center" wrapText="1"/>
    </xf>
    <xf numFmtId="2" fontId="12" fillId="0" borderId="16" xfId="0" applyNumberFormat="1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 wrapText="1"/>
    </xf>
    <xf numFmtId="2" fontId="12" fillId="0" borderId="22" xfId="0" applyNumberFormat="1" applyFont="1" applyFill="1" applyBorder="1" applyAlignment="1">
      <alignment horizontal="center"/>
    </xf>
    <xf numFmtId="0" fontId="0" fillId="0" borderId="34" xfId="0" applyBorder="1"/>
    <xf numFmtId="0" fontId="20" fillId="0" borderId="13" xfId="0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12" fillId="0" borderId="10" xfId="0" applyFont="1" applyFill="1" applyBorder="1"/>
    <xf numFmtId="0" fontId="12" fillId="0" borderId="16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wrapText="1"/>
    </xf>
    <xf numFmtId="0" fontId="12" fillId="0" borderId="14" xfId="0" applyFont="1" applyFill="1" applyBorder="1" applyAlignment="1">
      <alignment horizontal="center"/>
    </xf>
    <xf numFmtId="2" fontId="12" fillId="0" borderId="13" xfId="0" applyNumberFormat="1" applyFont="1" applyFill="1" applyBorder="1" applyAlignment="1">
      <alignment horizontal="center"/>
    </xf>
    <xf numFmtId="2" fontId="12" fillId="0" borderId="14" xfId="0" applyNumberFormat="1" applyFont="1" applyFill="1" applyBorder="1" applyAlignment="1">
      <alignment horizontal="center"/>
    </xf>
    <xf numFmtId="2" fontId="12" fillId="0" borderId="23" xfId="0" applyNumberFormat="1" applyFont="1" applyFill="1" applyBorder="1" applyAlignment="1">
      <alignment horizontal="center"/>
    </xf>
    <xf numFmtId="0" fontId="12" fillId="0" borderId="16" xfId="0" applyFont="1" applyFill="1" applyBorder="1"/>
    <xf numFmtId="0" fontId="4" fillId="0" borderId="5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2" fontId="12" fillId="0" borderId="9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0" fillId="0" borderId="10" xfId="0" applyFill="1" applyBorder="1"/>
    <xf numFmtId="0" fontId="12" fillId="0" borderId="24" xfId="0" applyFont="1" applyBorder="1"/>
    <xf numFmtId="0" fontId="12" fillId="0" borderId="16" xfId="0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0" fontId="3" fillId="0" borderId="14" xfId="0" applyFont="1" applyFill="1" applyBorder="1" applyAlignment="1">
      <alignment horizontal="left"/>
    </xf>
    <xf numFmtId="0" fontId="12" fillId="0" borderId="9" xfId="0" applyFont="1" applyFill="1" applyBorder="1" applyAlignment="1">
      <alignment vertical="center"/>
    </xf>
    <xf numFmtId="0" fontId="12" fillId="0" borderId="10" xfId="0" applyFont="1" applyFill="1" applyBorder="1" applyAlignment="1">
      <alignment vertical="center"/>
    </xf>
    <xf numFmtId="0" fontId="0" fillId="0" borderId="24" xfId="0" applyBorder="1"/>
    <xf numFmtId="0" fontId="15" fillId="0" borderId="8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13" xfId="0" applyFont="1" applyFill="1" applyBorder="1" applyAlignment="1">
      <alignment horizontal="center"/>
    </xf>
    <xf numFmtId="0" fontId="11" fillId="0" borderId="8" xfId="0" applyFont="1" applyFill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0" fontId="1" fillId="0" borderId="35" xfId="0" applyFont="1" applyBorder="1"/>
    <xf numFmtId="0" fontId="4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1" fontId="19" fillId="0" borderId="3" xfId="0" applyNumberFormat="1" applyFont="1" applyFill="1" applyBorder="1" applyAlignment="1">
      <alignment horizontal="right" vertical="center"/>
    </xf>
    <xf numFmtId="1" fontId="19" fillId="0" borderId="3" xfId="0" applyNumberFormat="1" applyFont="1" applyFill="1" applyBorder="1"/>
    <xf numFmtId="1" fontId="19" fillId="0" borderId="22" xfId="0" applyNumberFormat="1" applyFont="1" applyFill="1" applyBorder="1" applyAlignment="1">
      <alignment horizontal="right" vertical="center"/>
    </xf>
    <xf numFmtId="0" fontId="19" fillId="0" borderId="18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left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left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left" vertical="center"/>
    </xf>
    <xf numFmtId="0" fontId="19" fillId="0" borderId="23" xfId="0" applyFont="1" applyFill="1" applyBorder="1" applyAlignment="1">
      <alignment horizontal="center" vertical="center"/>
    </xf>
    <xf numFmtId="0" fontId="19" fillId="0" borderId="10" xfId="0" applyFont="1" applyFill="1" applyBorder="1"/>
    <xf numFmtId="0" fontId="19" fillId="0" borderId="16" xfId="0" applyFont="1" applyFill="1" applyBorder="1"/>
    <xf numFmtId="0" fontId="19" fillId="0" borderId="14" xfId="0" applyFont="1" applyFill="1" applyBorder="1"/>
    <xf numFmtId="1" fontId="19" fillId="0" borderId="8" xfId="0" applyNumberFormat="1" applyFont="1" applyFill="1" applyBorder="1"/>
    <xf numFmtId="1" fontId="19" fillId="0" borderId="11" xfId="0" applyNumberFormat="1" applyFont="1" applyFill="1" applyBorder="1"/>
    <xf numFmtId="0" fontId="19" fillId="0" borderId="11" xfId="0" applyFont="1" applyFill="1" applyBorder="1"/>
    <xf numFmtId="0" fontId="19" fillId="0" borderId="13" xfId="0" applyFont="1" applyFill="1" applyBorder="1"/>
    <xf numFmtId="0" fontId="19" fillId="0" borderId="3" xfId="0" applyFont="1" applyFill="1" applyBorder="1"/>
    <xf numFmtId="0" fontId="19" fillId="0" borderId="8" xfId="0" applyFont="1" applyFill="1" applyBorder="1"/>
    <xf numFmtId="0" fontId="19" fillId="0" borderId="9" xfId="0" applyFont="1" applyFill="1" applyBorder="1"/>
    <xf numFmtId="0" fontId="24" fillId="0" borderId="0" xfId="0" applyFont="1" applyFill="1" applyBorder="1"/>
    <xf numFmtId="0" fontId="24" fillId="0" borderId="0" xfId="0" applyFont="1" applyFill="1"/>
    <xf numFmtId="0" fontId="6" fillId="0" borderId="0" xfId="0" applyFont="1" applyFill="1" applyBorder="1" applyAlignment="1">
      <alignment vertical="center"/>
    </xf>
    <xf numFmtId="0" fontId="19" fillId="0" borderId="0" xfId="0" applyFont="1" applyBorder="1"/>
    <xf numFmtId="0" fontId="19" fillId="0" borderId="3" xfId="0" applyFont="1" applyBorder="1"/>
    <xf numFmtId="0" fontId="19" fillId="0" borderId="11" xfId="0" applyFont="1" applyBorder="1"/>
    <xf numFmtId="0" fontId="19" fillId="0" borderId="13" xfId="0" applyFont="1" applyBorder="1"/>
    <xf numFmtId="9" fontId="19" fillId="0" borderId="5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9" fillId="0" borderId="8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10" fontId="0" fillId="0" borderId="0" xfId="0" applyNumberFormat="1"/>
    <xf numFmtId="0" fontId="11" fillId="0" borderId="21" xfId="0" applyFont="1" applyFill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0" fontId="4" fillId="0" borderId="21" xfId="0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right" vertical="center"/>
    </xf>
    <xf numFmtId="0" fontId="0" fillId="0" borderId="0" xfId="0" applyNumberFormat="1"/>
    <xf numFmtId="0" fontId="19" fillId="0" borderId="21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2" fillId="0" borderId="21" xfId="0" applyFont="1" applyBorder="1"/>
    <xf numFmtId="9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right" vertical="center"/>
    </xf>
    <xf numFmtId="0" fontId="3" fillId="0" borderId="24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right" vertical="center"/>
    </xf>
    <xf numFmtId="1" fontId="4" fillId="0" borderId="8" xfId="0" applyNumberFormat="1" applyFont="1" applyFill="1" applyBorder="1" applyAlignment="1">
      <alignment horizontal="right" vertical="center"/>
    </xf>
    <xf numFmtId="1" fontId="3" fillId="0" borderId="13" xfId="0" applyNumberFormat="1" applyFont="1" applyFill="1" applyBorder="1" applyAlignment="1">
      <alignment horizontal="right" vertical="center"/>
    </xf>
    <xf numFmtId="1" fontId="3" fillId="0" borderId="9" xfId="0" applyNumberFormat="1" applyFont="1" applyFill="1" applyBorder="1"/>
    <xf numFmtId="1" fontId="3" fillId="0" borderId="8" xfId="0" applyNumberFormat="1" applyFont="1" applyFill="1" applyBorder="1"/>
    <xf numFmtId="0" fontId="3" fillId="0" borderId="13" xfId="0" applyFont="1" applyFill="1" applyBorder="1" applyAlignment="1">
      <alignment horizontal="center"/>
    </xf>
    <xf numFmtId="1" fontId="3" fillId="0" borderId="13" xfId="0" applyNumberFormat="1" applyFont="1" applyFill="1" applyBorder="1"/>
    <xf numFmtId="1" fontId="3" fillId="0" borderId="11" xfId="0" applyNumberFormat="1" applyFont="1" applyFill="1" applyBorder="1"/>
    <xf numFmtId="2" fontId="12" fillId="0" borderId="11" xfId="0" applyNumberFormat="1" applyFont="1" applyBorder="1"/>
    <xf numFmtId="1" fontId="4" fillId="0" borderId="11" xfId="0" applyNumberFormat="1" applyFont="1" applyFill="1" applyBorder="1" applyAlignment="1">
      <alignment horizontal="right" vertical="center"/>
    </xf>
    <xf numFmtId="1" fontId="19" fillId="0" borderId="3" xfId="0" applyNumberFormat="1" applyFont="1" applyBorder="1"/>
    <xf numFmtId="1" fontId="19" fillId="0" borderId="11" xfId="0" applyNumberFormat="1" applyFont="1" applyBorder="1"/>
    <xf numFmtId="0" fontId="12" fillId="0" borderId="0" xfId="0" applyFont="1" applyAlignment="1">
      <alignment horizontal="center" vertical="center"/>
    </xf>
    <xf numFmtId="0" fontId="12" fillId="0" borderId="11" xfId="0" applyFont="1" applyBorder="1"/>
    <xf numFmtId="0" fontId="12" fillId="0" borderId="8" xfId="0" applyFont="1" applyBorder="1"/>
    <xf numFmtId="0" fontId="12" fillId="0" borderId="3" xfId="0" applyFont="1" applyBorder="1"/>
    <xf numFmtId="0" fontId="4" fillId="0" borderId="25" xfId="0" applyFont="1" applyBorder="1"/>
    <xf numFmtId="0" fontId="4" fillId="2" borderId="18" xfId="0" applyFont="1" applyFill="1" applyBorder="1" applyAlignment="1" applyProtection="1">
      <alignment horizontal="right" vertical="top" wrapText="1"/>
    </xf>
    <xf numFmtId="165" fontId="8" fillId="2" borderId="10" xfId="0" applyNumberFormat="1" applyFont="1" applyFill="1" applyBorder="1" applyAlignment="1" applyProtection="1">
      <alignment horizontal="left" vertical="top" wrapText="1"/>
    </xf>
    <xf numFmtId="2" fontId="3" fillId="0" borderId="8" xfId="0" applyNumberFormat="1" applyFont="1" applyFill="1" applyBorder="1" applyAlignment="1" applyProtection="1">
      <alignment horizontal="right"/>
    </xf>
    <xf numFmtId="2" fontId="3" fillId="0" borderId="3" xfId="0" applyNumberFormat="1" applyFont="1" applyFill="1" applyBorder="1" applyAlignment="1" applyProtection="1">
      <alignment horizontal="right"/>
    </xf>
    <xf numFmtId="0" fontId="3" fillId="2" borderId="16" xfId="0" applyFont="1" applyFill="1" applyBorder="1" applyAlignment="1" applyProtection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</xf>
    <xf numFmtId="0" fontId="4" fillId="0" borderId="9" xfId="0" applyFont="1" applyFill="1" applyBorder="1" applyAlignment="1" applyProtection="1">
      <alignment horizontal="right" vertical="top" wrapText="1"/>
    </xf>
    <xf numFmtId="0" fontId="4" fillId="0" borderId="13" xfId="0" applyFont="1" applyFill="1" applyBorder="1" applyAlignment="1" applyProtection="1">
      <alignment horizontal="left" vertical="top" wrapText="1"/>
    </xf>
    <xf numFmtId="0" fontId="4" fillId="0" borderId="13" xfId="0" applyFont="1" applyFill="1" applyBorder="1" applyAlignment="1" applyProtection="1">
      <alignment horizontal="right" vertical="top" wrapText="1"/>
    </xf>
    <xf numFmtId="165" fontId="5" fillId="2" borderId="10" xfId="0" applyNumberFormat="1" applyFont="1" applyFill="1" applyBorder="1" applyAlignment="1" applyProtection="1">
      <alignment horizontal="left" vertical="center" wrapText="1"/>
    </xf>
    <xf numFmtId="165" fontId="5" fillId="2" borderId="16" xfId="0" applyNumberFormat="1" applyFont="1" applyFill="1" applyBorder="1" applyAlignment="1" applyProtection="1">
      <alignment horizontal="left" vertical="center" wrapText="1"/>
    </xf>
    <xf numFmtId="165" fontId="5" fillId="2" borderId="18" xfId="0" applyNumberFormat="1" applyFont="1" applyFill="1" applyBorder="1" applyAlignment="1" applyProtection="1">
      <alignment horizontal="left" vertical="center" wrapText="1"/>
    </xf>
    <xf numFmtId="165" fontId="5" fillId="2" borderId="0" xfId="0" applyNumberFormat="1" applyFont="1" applyFill="1" applyBorder="1" applyAlignment="1" applyProtection="1">
      <alignment horizontal="left" vertical="center" wrapText="1"/>
    </xf>
    <xf numFmtId="165" fontId="5" fillId="2" borderId="14" xfId="0" applyNumberFormat="1" applyFont="1" applyFill="1" applyBorder="1" applyAlignment="1" applyProtection="1">
      <alignment horizontal="left" vertical="center" wrapText="1"/>
    </xf>
    <xf numFmtId="2" fontId="3" fillId="2" borderId="3" xfId="0" applyNumberFormat="1" applyFont="1" applyFill="1" applyBorder="1" applyAlignment="1" applyProtection="1">
      <alignment horizontal="center" vertical="center"/>
    </xf>
    <xf numFmtId="0" fontId="3" fillId="2" borderId="24" xfId="0" applyFont="1" applyFill="1" applyBorder="1" applyAlignment="1" applyProtection="1">
      <alignment horizontal="center" vertical="center"/>
    </xf>
    <xf numFmtId="0" fontId="3" fillId="2" borderId="23" xfId="0" applyFont="1" applyFill="1" applyBorder="1" applyAlignment="1" applyProtection="1">
      <alignment horizontal="center" vertical="center"/>
    </xf>
    <xf numFmtId="0" fontId="3" fillId="2" borderId="22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4" fillId="2" borderId="5" xfId="0" applyFont="1" applyFill="1" applyBorder="1" applyAlignment="1" applyProtection="1">
      <alignment horizontal="left" vertical="center"/>
    </xf>
    <xf numFmtId="0" fontId="4" fillId="2" borderId="10" xfId="0" applyFont="1" applyFill="1" applyBorder="1" applyAlignment="1" applyProtection="1">
      <alignment horizontal="left" vertical="center"/>
    </xf>
    <xf numFmtId="0" fontId="4" fillId="2" borderId="16" xfId="0" applyFont="1" applyFill="1" applyBorder="1" applyAlignment="1" applyProtection="1">
      <alignment horizontal="left" vertical="center"/>
    </xf>
    <xf numFmtId="165" fontId="8" fillId="2" borderId="14" xfId="0" applyNumberFormat="1" applyFont="1" applyFill="1" applyBorder="1" applyAlignment="1" applyProtection="1">
      <alignment horizontal="left" vertical="center" wrapText="1"/>
    </xf>
    <xf numFmtId="0" fontId="3" fillId="2" borderId="10" xfId="0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0" fontId="4" fillId="2" borderId="14" xfId="0" applyFont="1" applyFill="1" applyBorder="1" applyAlignment="1" applyProtection="1">
      <alignment horizontal="left" vertical="center"/>
    </xf>
    <xf numFmtId="0" fontId="3" fillId="2" borderId="14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center" vertical="center"/>
    </xf>
    <xf numFmtId="165" fontId="5" fillId="8" borderId="8" xfId="0" applyNumberFormat="1" applyFont="1" applyFill="1" applyBorder="1" applyAlignment="1" applyProtection="1">
      <alignment horizontal="center" vertical="center" wrapText="1"/>
    </xf>
    <xf numFmtId="165" fontId="5" fillId="8" borderId="11" xfId="0" applyNumberFormat="1" applyFont="1" applyFill="1" applyBorder="1" applyAlignment="1" applyProtection="1">
      <alignment horizontal="center" vertical="center" wrapText="1"/>
    </xf>
    <xf numFmtId="165" fontId="5" fillId="8" borderId="3" xfId="0" applyNumberFormat="1" applyFont="1" applyFill="1" applyBorder="1" applyAlignment="1" applyProtection="1">
      <alignment horizontal="center" vertical="center" wrapText="1"/>
    </xf>
    <xf numFmtId="165" fontId="5" fillId="0" borderId="3" xfId="0" applyNumberFormat="1" applyFont="1" applyFill="1" applyBorder="1" applyAlignment="1" applyProtection="1">
      <alignment horizontal="center" vertical="center" wrapText="1"/>
    </xf>
    <xf numFmtId="165" fontId="5" fillId="0" borderId="11" xfId="0" applyNumberFormat="1" applyFont="1" applyFill="1" applyBorder="1" applyAlignment="1" applyProtection="1">
      <alignment horizontal="center" vertical="center" wrapText="1"/>
    </xf>
    <xf numFmtId="165" fontId="5" fillId="8" borderId="24" xfId="0" applyNumberFormat="1" applyFont="1" applyFill="1" applyBorder="1" applyAlignment="1" applyProtection="1">
      <alignment horizontal="center" vertical="center" wrapText="1"/>
    </xf>
    <xf numFmtId="165" fontId="5" fillId="8" borderId="22" xfId="0" applyNumberFormat="1" applyFont="1" applyFill="1" applyBorder="1" applyAlignment="1" applyProtection="1">
      <alignment horizontal="center" vertical="center" wrapText="1"/>
    </xf>
    <xf numFmtId="165" fontId="5" fillId="0" borderId="22" xfId="0" applyNumberFormat="1" applyFont="1" applyFill="1" applyBorder="1" applyAlignment="1" applyProtection="1">
      <alignment horizontal="center" vertical="center" wrapText="1"/>
    </xf>
    <xf numFmtId="165" fontId="8" fillId="8" borderId="23" xfId="0" applyNumberFormat="1" applyFont="1" applyFill="1" applyBorder="1" applyAlignment="1" applyProtection="1">
      <alignment horizontal="center" vertical="center" wrapText="1"/>
    </xf>
    <xf numFmtId="2" fontId="3" fillId="8" borderId="8" xfId="0" applyNumberFormat="1" applyFont="1" applyFill="1" applyBorder="1" applyAlignment="1" applyProtection="1">
      <alignment horizontal="center" vertical="center"/>
    </xf>
    <xf numFmtId="2" fontId="3" fillId="8" borderId="3" xfId="0" applyNumberFormat="1" applyFont="1" applyFill="1" applyBorder="1" applyAlignment="1" applyProtection="1">
      <alignment horizontal="center" vertical="center"/>
    </xf>
    <xf numFmtId="2" fontId="3" fillId="0" borderId="3" xfId="0" applyNumberFormat="1" applyFont="1" applyFill="1" applyBorder="1" applyAlignment="1" applyProtection="1">
      <alignment horizontal="center" vertical="center"/>
    </xf>
    <xf numFmtId="2" fontId="4" fillId="8" borderId="11" xfId="0" applyNumberFormat="1" applyFont="1" applyFill="1" applyBorder="1" applyAlignment="1" applyProtection="1">
      <alignment horizontal="center" vertical="center"/>
    </xf>
    <xf numFmtId="165" fontId="5" fillId="8" borderId="23" xfId="0" applyNumberFormat="1" applyFont="1" applyFill="1" applyBorder="1" applyAlignment="1" applyProtection="1">
      <alignment horizontal="center" vertical="center" wrapText="1"/>
    </xf>
    <xf numFmtId="165" fontId="8" fillId="8" borderId="11" xfId="0" applyNumberFormat="1" applyFont="1" applyFill="1" applyBorder="1" applyAlignment="1" applyProtection="1">
      <alignment horizontal="center" vertical="center" wrapText="1"/>
    </xf>
    <xf numFmtId="165" fontId="8" fillId="8" borderId="3" xfId="0" applyNumberFormat="1" applyFont="1" applyFill="1" applyBorder="1" applyAlignment="1" applyProtection="1">
      <alignment horizontal="center" vertical="center" wrapText="1"/>
    </xf>
    <xf numFmtId="0" fontId="4" fillId="2" borderId="22" xfId="0" applyFont="1" applyFill="1" applyBorder="1" applyAlignment="1" applyProtection="1"/>
    <xf numFmtId="0" fontId="4" fillId="2" borderId="23" xfId="0" applyFont="1" applyFill="1" applyBorder="1" applyAlignment="1" applyProtection="1"/>
    <xf numFmtId="0" fontId="15" fillId="0" borderId="33" xfId="0" applyFont="1" applyBorder="1"/>
    <xf numFmtId="0" fontId="15" fillId="0" borderId="35" xfId="0" applyFont="1" applyBorder="1"/>
    <xf numFmtId="9" fontId="12" fillId="0" borderId="0" xfId="0" applyNumberFormat="1" applyFont="1"/>
    <xf numFmtId="0" fontId="4" fillId="2" borderId="18" xfId="0" applyFont="1" applyFill="1" applyBorder="1" applyAlignment="1" applyProtection="1">
      <alignment horizontal="right" vertical="center" wrapText="1"/>
    </xf>
    <xf numFmtId="0" fontId="3" fillId="2" borderId="21" xfId="0" applyFont="1" applyFill="1" applyBorder="1" applyAlignment="1" applyProtection="1">
      <alignment vertical="center"/>
    </xf>
    <xf numFmtId="165" fontId="8" fillId="2" borderId="18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12" fillId="0" borderId="5" xfId="0" applyFont="1" applyBorder="1" applyAlignment="1">
      <alignment horizontal="center" vertical="top" wrapText="1"/>
    </xf>
    <xf numFmtId="0" fontId="12" fillId="0" borderId="5" xfId="0" applyFont="1" applyBorder="1" applyAlignment="1">
      <alignment vertical="top" wrapText="1"/>
    </xf>
    <xf numFmtId="9" fontId="12" fillId="0" borderId="5" xfId="0" applyNumberFormat="1" applyFont="1" applyBorder="1"/>
    <xf numFmtId="0" fontId="12" fillId="11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3" fillId="0" borderId="13" xfId="0" applyNumberFormat="1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0" fillId="0" borderId="0" xfId="0" applyProtection="1"/>
    <xf numFmtId="0" fontId="12" fillId="0" borderId="0" xfId="0" applyFont="1" applyProtection="1"/>
    <xf numFmtId="0" fontId="12" fillId="0" borderId="16" xfId="0" applyFont="1" applyBorder="1" applyProtection="1"/>
    <xf numFmtId="0" fontId="0" fillId="0" borderId="13" xfId="0" applyBorder="1" applyProtection="1"/>
    <xf numFmtId="1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0" fontId="3" fillId="0" borderId="16" xfId="0" applyFont="1" applyFill="1" applyBorder="1" applyAlignment="1" applyProtection="1">
      <alignment vertical="center"/>
    </xf>
    <xf numFmtId="164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2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horizontal="left" vertical="center"/>
    </xf>
    <xf numFmtId="0" fontId="3" fillId="0" borderId="18" xfId="0" applyFont="1" applyFill="1" applyBorder="1" applyAlignment="1" applyProtection="1">
      <alignment vertical="center"/>
    </xf>
    <xf numFmtId="2" fontId="3" fillId="0" borderId="0" xfId="0" applyNumberFormat="1" applyFont="1" applyFill="1" applyBorder="1" applyAlignment="1" applyProtection="1">
      <alignment vertical="center"/>
    </xf>
    <xf numFmtId="0" fontId="3" fillId="0" borderId="11" xfId="0" applyFont="1" applyFill="1" applyBorder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167" fontId="3" fillId="11" borderId="3" xfId="0" applyNumberFormat="1" applyFont="1" applyFill="1" applyBorder="1" applyAlignment="1" applyProtection="1">
      <alignment vertical="center"/>
      <protection locked="0"/>
    </xf>
    <xf numFmtId="0" fontId="3" fillId="0" borderId="3" xfId="0" applyFont="1" applyFill="1" applyBorder="1" applyAlignment="1" applyProtection="1">
      <alignment horizontal="right" vertical="center"/>
    </xf>
    <xf numFmtId="2" fontId="25" fillId="0" borderId="0" xfId="0" applyNumberFormat="1" applyFont="1" applyFill="1" applyBorder="1" applyAlignment="1" applyProtection="1">
      <alignment vertical="center"/>
    </xf>
    <xf numFmtId="167" fontId="3" fillId="11" borderId="8" xfId="0" applyNumberFormat="1" applyFont="1" applyFill="1" applyBorder="1" applyAlignment="1" applyProtection="1">
      <alignment vertical="center"/>
      <protection locked="0"/>
    </xf>
    <xf numFmtId="0" fontId="3" fillId="0" borderId="8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right" vertical="center"/>
    </xf>
    <xf numFmtId="0" fontId="3" fillId="0" borderId="21" xfId="0" applyFont="1" applyFill="1" applyBorder="1" applyAlignment="1" applyProtection="1">
      <alignment horizontal="left" vertical="center"/>
    </xf>
    <xf numFmtId="165" fontId="3" fillId="0" borderId="5" xfId="0" applyNumberFormat="1" applyFont="1" applyFill="1" applyBorder="1" applyAlignment="1" applyProtection="1">
      <alignment horizontal="left" vertical="center" wrapText="1"/>
    </xf>
    <xf numFmtId="2" fontId="3" fillId="0" borderId="9" xfId="0" applyNumberFormat="1" applyFont="1" applyFill="1" applyBorder="1" applyAlignment="1" applyProtection="1">
      <alignment vertical="center"/>
    </xf>
    <xf numFmtId="2" fontId="3" fillId="0" borderId="10" xfId="0" applyNumberFormat="1" applyFont="1" applyFill="1" applyBorder="1" applyAlignment="1" applyProtection="1">
      <alignment vertical="center"/>
    </xf>
    <xf numFmtId="0" fontId="3" fillId="0" borderId="23" xfId="0" applyFont="1" applyFill="1" applyBorder="1" applyAlignment="1" applyProtection="1">
      <alignment vertical="center"/>
    </xf>
    <xf numFmtId="0" fontId="3" fillId="0" borderId="13" xfId="0" applyFont="1" applyFill="1" applyBorder="1" applyAlignment="1" applyProtection="1">
      <alignment vertical="center"/>
    </xf>
    <xf numFmtId="0" fontId="0" fillId="0" borderId="9" xfId="0" applyBorder="1" applyProtection="1"/>
    <xf numFmtId="0" fontId="3" fillId="0" borderId="9" xfId="0" applyFont="1" applyFill="1" applyBorder="1" applyAlignment="1" applyProtection="1">
      <alignment vertical="center"/>
    </xf>
    <xf numFmtId="0" fontId="3" fillId="0" borderId="10" xfId="0" applyFont="1" applyFill="1" applyBorder="1" applyAlignment="1" applyProtection="1">
      <alignment vertical="center"/>
    </xf>
    <xf numFmtId="0" fontId="3" fillId="11" borderId="5" xfId="0" applyFont="1" applyFill="1" applyBorder="1" applyAlignment="1" applyProtection="1">
      <alignment vertical="center"/>
      <protection locked="0"/>
    </xf>
    <xf numFmtId="164" fontId="3" fillId="11" borderId="18" xfId="0" applyNumberFormat="1" applyFont="1" applyFill="1" applyBorder="1" applyAlignment="1" applyProtection="1">
      <alignment vertical="center"/>
      <protection locked="0"/>
    </xf>
    <xf numFmtId="0" fontId="3" fillId="0" borderId="18" xfId="0" applyFont="1" applyFill="1" applyBorder="1" applyAlignment="1" applyProtection="1">
      <alignment horizontal="left" vertical="center"/>
    </xf>
    <xf numFmtId="164" fontId="3" fillId="0" borderId="0" xfId="0" applyNumberFormat="1" applyFont="1" applyFill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12" fillId="0" borderId="0" xfId="0" applyFont="1" applyFill="1" applyBorder="1" applyProtection="1"/>
    <xf numFmtId="0" fontId="12" fillId="0" borderId="16" xfId="0" applyFont="1" applyFill="1" applyBorder="1" applyProtection="1"/>
    <xf numFmtId="0" fontId="12" fillId="0" borderId="3" xfId="0" applyFont="1" applyBorder="1" applyProtection="1"/>
    <xf numFmtId="0" fontId="4" fillId="0" borderId="25" xfId="0" applyFont="1" applyBorder="1" applyProtection="1"/>
    <xf numFmtId="0" fontId="2" fillId="0" borderId="0" xfId="0" applyFont="1" applyBorder="1" applyProtection="1"/>
    <xf numFmtId="0" fontId="3" fillId="0" borderId="0" xfId="0" applyFont="1" applyFill="1" applyBorder="1" applyAlignment="1" applyProtection="1">
      <alignment wrapText="1"/>
    </xf>
    <xf numFmtId="2" fontId="3" fillId="0" borderId="0" xfId="0" applyNumberFormat="1" applyFont="1" applyFill="1" applyBorder="1" applyProtection="1"/>
    <xf numFmtId="0" fontId="3" fillId="0" borderId="5" xfId="0" applyFont="1" applyFill="1" applyBorder="1" applyAlignment="1" applyProtection="1">
      <alignment horizontal="right"/>
    </xf>
    <xf numFmtId="0" fontId="0" fillId="0" borderId="0" xfId="0" applyFont="1" applyFill="1" applyBorder="1" applyProtection="1"/>
    <xf numFmtId="0" fontId="0" fillId="0" borderId="13" xfId="0" applyFont="1" applyFill="1" applyBorder="1" applyProtection="1"/>
    <xf numFmtId="0" fontId="3" fillId="0" borderId="13" xfId="0" applyFont="1" applyFill="1" applyBorder="1" applyProtection="1"/>
    <xf numFmtId="0" fontId="3" fillId="0" borderId="29" xfId="0" applyFont="1" applyFill="1" applyBorder="1" applyProtection="1"/>
    <xf numFmtId="0" fontId="4" fillId="0" borderId="6" xfId="0" applyFont="1" applyFill="1" applyBorder="1" applyProtection="1"/>
    <xf numFmtId="0" fontId="3" fillId="0" borderId="6" xfId="0" applyFont="1" applyFill="1" applyBorder="1" applyProtection="1"/>
    <xf numFmtId="0" fontId="4" fillId="0" borderId="18" xfId="0" applyFont="1" applyFill="1" applyBorder="1" applyProtection="1"/>
    <xf numFmtId="0" fontId="3" fillId="0" borderId="21" xfId="0" applyFont="1" applyFill="1" applyBorder="1" applyProtection="1"/>
    <xf numFmtId="0" fontId="0" fillId="0" borderId="10" xfId="0" applyBorder="1" applyProtection="1"/>
    <xf numFmtId="0" fontId="3" fillId="0" borderId="0" xfId="0" applyFont="1" applyFill="1" applyBorder="1" applyProtection="1"/>
    <xf numFmtId="0" fontId="3" fillId="0" borderId="2" xfId="0" applyFont="1" applyFill="1" applyBorder="1" applyProtection="1"/>
    <xf numFmtId="2" fontId="3" fillId="0" borderId="26" xfId="0" applyNumberFormat="1" applyFont="1" applyFill="1" applyBorder="1" applyAlignment="1" applyProtection="1">
      <alignment horizontal="left"/>
    </xf>
    <xf numFmtId="2" fontId="3" fillId="0" borderId="9" xfId="0" applyNumberFormat="1" applyFont="1" applyFill="1" applyBorder="1" applyAlignment="1" applyProtection="1">
      <alignment horizontal="left"/>
    </xf>
    <xf numFmtId="0" fontId="4" fillId="0" borderId="16" xfId="0" applyFont="1" applyFill="1" applyBorder="1" applyAlignment="1" applyProtection="1">
      <alignment horizontal="left"/>
    </xf>
    <xf numFmtId="2" fontId="3" fillId="0" borderId="2" xfId="0" applyNumberFormat="1" applyFont="1" applyFill="1" applyBorder="1" applyAlignment="1" applyProtection="1">
      <alignment horizontal="left"/>
    </xf>
    <xf numFmtId="2" fontId="3" fillId="0" borderId="0" xfId="0" applyNumberFormat="1" applyFont="1" applyFill="1" applyBorder="1" applyAlignment="1" applyProtection="1">
      <alignment horizontal="left"/>
    </xf>
    <xf numFmtId="0" fontId="0" fillId="0" borderId="0" xfId="0" applyFont="1" applyFill="1" applyProtection="1"/>
    <xf numFmtId="0" fontId="3" fillId="0" borderId="20" xfId="0" applyFont="1" applyFill="1" applyBorder="1" applyProtection="1"/>
    <xf numFmtId="2" fontId="3" fillId="0" borderId="20" xfId="0" applyNumberFormat="1" applyFont="1" applyFill="1" applyBorder="1" applyAlignment="1" applyProtection="1">
      <alignment horizontal="left"/>
    </xf>
    <xf numFmtId="2" fontId="3" fillId="0" borderId="13" xfId="0" applyNumberFormat="1" applyFont="1" applyFill="1" applyBorder="1" applyAlignment="1" applyProtection="1">
      <alignment horizontal="left"/>
    </xf>
    <xf numFmtId="0" fontId="0" fillId="0" borderId="14" xfId="0" applyBorder="1" applyProtection="1"/>
    <xf numFmtId="0" fontId="4" fillId="0" borderId="5" xfId="0" applyFont="1" applyFill="1" applyBorder="1" applyAlignment="1" applyProtection="1">
      <alignment horizont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wrapText="1"/>
    </xf>
    <xf numFmtId="0" fontId="4" fillId="0" borderId="13" xfId="0" applyFont="1" applyFill="1" applyBorder="1" applyAlignment="1" applyProtection="1">
      <alignment wrapText="1"/>
    </xf>
    <xf numFmtId="0" fontId="4" fillId="0" borderId="23" xfId="0" applyFont="1" applyFill="1" applyBorder="1" applyAlignment="1" applyProtection="1">
      <alignment wrapText="1"/>
    </xf>
    <xf numFmtId="0" fontId="4" fillId="0" borderId="20" xfId="0" applyFont="1" applyFill="1" applyBorder="1" applyAlignment="1" applyProtection="1">
      <alignment wrapText="1"/>
    </xf>
    <xf numFmtId="0" fontId="4" fillId="0" borderId="14" xfId="0" applyFont="1" applyFill="1" applyBorder="1" applyAlignment="1" applyProtection="1">
      <alignment wrapText="1"/>
    </xf>
    <xf numFmtId="0" fontId="4" fillId="0" borderId="6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2" fontId="3" fillId="3" borderId="3" xfId="0" applyNumberFormat="1" applyFont="1" applyFill="1" applyBorder="1" applyAlignment="1" applyProtection="1">
      <alignment horizontal="center"/>
    </xf>
    <xf numFmtId="2" fontId="3" fillId="3" borderId="16" xfId="0" applyNumberFormat="1" applyFont="1" applyFill="1" applyBorder="1" applyAlignment="1" applyProtection="1">
      <alignment horizontal="center"/>
    </xf>
    <xf numFmtId="1" fontId="3" fillId="0" borderId="2" xfId="0" applyNumberFormat="1" applyFont="1" applyFill="1" applyBorder="1" applyAlignment="1" applyProtection="1">
      <alignment horizontal="center"/>
    </xf>
    <xf numFmtId="0" fontId="3" fillId="0" borderId="22" xfId="0" applyFont="1" applyFill="1" applyBorder="1" applyProtection="1"/>
    <xf numFmtId="0" fontId="3" fillId="0" borderId="0" xfId="0" applyFont="1" applyFill="1" applyProtection="1"/>
    <xf numFmtId="0" fontId="3" fillId="3" borderId="0" xfId="0" applyFont="1" applyFill="1" applyBorder="1" applyProtection="1"/>
    <xf numFmtId="2" fontId="3" fillId="0" borderId="22" xfId="0" applyNumberFormat="1" applyFont="1" applyFill="1" applyBorder="1" applyProtection="1"/>
    <xf numFmtId="1" fontId="3" fillId="3" borderId="0" xfId="0" applyNumberFormat="1" applyFont="1" applyFill="1" applyBorder="1" applyProtection="1"/>
    <xf numFmtId="0" fontId="0" fillId="0" borderId="0" xfId="0" applyBorder="1" applyProtection="1"/>
    <xf numFmtId="2" fontId="3" fillId="3" borderId="0" xfId="0" applyNumberFormat="1" applyFont="1" applyFill="1" applyBorder="1" applyAlignment="1" applyProtection="1">
      <alignment horizontal="center"/>
    </xf>
    <xf numFmtId="2" fontId="3" fillId="3" borderId="11" xfId="0" applyNumberFormat="1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9" xfId="0" applyFont="1" applyFill="1" applyBorder="1" applyAlignment="1" applyProtection="1">
      <alignment horizontal="center"/>
    </xf>
    <xf numFmtId="0" fontId="4" fillId="0" borderId="21" xfId="0" applyFont="1" applyFill="1" applyBorder="1" applyProtection="1"/>
    <xf numFmtId="2" fontId="4" fillId="0" borderId="6" xfId="0" applyNumberFormat="1" applyFont="1" applyFill="1" applyBorder="1" applyProtection="1"/>
    <xf numFmtId="1" fontId="4" fillId="0" borderId="29" xfId="0" applyNumberFormat="1" applyFont="1" applyFill="1" applyBorder="1" applyAlignment="1" applyProtection="1">
      <alignment horizontal="center"/>
    </xf>
    <xf numFmtId="2" fontId="4" fillId="0" borderId="21" xfId="0" applyNumberFormat="1" applyFont="1" applyFill="1" applyBorder="1" applyProtection="1"/>
    <xf numFmtId="0" fontId="4" fillId="0" borderId="14" xfId="0" applyFont="1" applyFill="1" applyBorder="1" applyProtection="1"/>
    <xf numFmtId="0" fontId="3" fillId="0" borderId="9" xfId="0" applyFont="1" applyFill="1" applyBorder="1" applyProtection="1"/>
    <xf numFmtId="0" fontId="3" fillId="0" borderId="24" xfId="0" applyFont="1" applyFill="1" applyBorder="1" applyProtection="1"/>
    <xf numFmtId="2" fontId="3" fillId="3" borderId="14" xfId="0" applyNumberFormat="1" applyFont="1" applyFill="1" applyBorder="1" applyAlignment="1" applyProtection="1">
      <alignment horizontal="center"/>
    </xf>
    <xf numFmtId="1" fontId="3" fillId="0" borderId="20" xfId="0" applyNumberFormat="1" applyFont="1" applyFill="1" applyBorder="1" applyAlignment="1" applyProtection="1">
      <alignment horizontal="center"/>
    </xf>
    <xf numFmtId="0" fontId="3" fillId="0" borderId="23" xfId="0" applyFont="1" applyFill="1" applyBorder="1" applyProtection="1"/>
    <xf numFmtId="2" fontId="4" fillId="0" borderId="18" xfId="0" applyNumberFormat="1" applyFont="1" applyFill="1" applyBorder="1" applyProtection="1"/>
    <xf numFmtId="2" fontId="3" fillId="0" borderId="6" xfId="0" applyNumberFormat="1" applyFont="1" applyFill="1" applyBorder="1" applyAlignment="1" applyProtection="1">
      <alignment horizontal="center"/>
    </xf>
    <xf numFmtId="0" fontId="3" fillId="0" borderId="10" xfId="0" applyFont="1" applyFill="1" applyBorder="1" applyProtection="1"/>
    <xf numFmtId="2" fontId="3" fillId="0" borderId="2" xfId="0" applyNumberFormat="1" applyFont="1" applyFill="1" applyBorder="1" applyAlignment="1" applyProtection="1">
      <alignment horizontal="center"/>
    </xf>
    <xf numFmtId="2" fontId="3" fillId="0" borderId="20" xfId="0" applyNumberFormat="1" applyFont="1" applyFill="1" applyBorder="1" applyAlignment="1" applyProtection="1">
      <alignment horizontal="center"/>
    </xf>
    <xf numFmtId="2" fontId="3" fillId="0" borderId="29" xfId="0" applyNumberFormat="1" applyFont="1" applyFill="1" applyBorder="1" applyAlignment="1" applyProtection="1">
      <alignment horizontal="center"/>
    </xf>
    <xf numFmtId="2" fontId="3" fillId="0" borderId="9" xfId="0" applyNumberFormat="1" applyFont="1" applyFill="1" applyBorder="1" applyAlignment="1" applyProtection="1">
      <alignment horizontal="center"/>
    </xf>
    <xf numFmtId="2" fontId="3" fillId="0" borderId="0" xfId="0" applyNumberFormat="1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center"/>
    </xf>
    <xf numFmtId="0" fontId="3" fillId="3" borderId="16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22" xfId="0" applyFill="1" applyBorder="1" applyProtection="1"/>
    <xf numFmtId="0" fontId="0" fillId="0" borderId="0" xfId="0" applyFill="1" applyProtection="1"/>
    <xf numFmtId="1" fontId="0" fillId="0" borderId="2" xfId="0" applyNumberFormat="1" applyFill="1" applyBorder="1" applyAlignment="1" applyProtection="1">
      <alignment horizontal="center"/>
    </xf>
    <xf numFmtId="0" fontId="0" fillId="0" borderId="16" xfId="0" applyFill="1" applyBorder="1" applyProtection="1"/>
    <xf numFmtId="2" fontId="3" fillId="3" borderId="10" xfId="0" applyNumberFormat="1" applyFont="1" applyFill="1" applyBorder="1" applyAlignment="1" applyProtection="1">
      <alignment horizontal="center"/>
    </xf>
    <xf numFmtId="1" fontId="3" fillId="6" borderId="0" xfId="0" applyNumberFormat="1" applyFont="1" applyFill="1" applyBorder="1" applyProtection="1"/>
    <xf numFmtId="1" fontId="3" fillId="6" borderId="9" xfId="0" applyNumberFormat="1" applyFont="1" applyFill="1" applyBorder="1" applyProtection="1"/>
    <xf numFmtId="2" fontId="3" fillId="3" borderId="22" xfId="0" applyNumberFormat="1" applyFont="1" applyFill="1" applyBorder="1" applyAlignment="1" applyProtection="1">
      <alignment horizontal="center"/>
    </xf>
    <xf numFmtId="0" fontId="3" fillId="3" borderId="13" xfId="0" applyFont="1" applyFill="1" applyBorder="1" applyProtection="1"/>
    <xf numFmtId="2" fontId="3" fillId="5" borderId="3" xfId="0" applyNumberFormat="1" applyFont="1" applyFill="1" applyBorder="1" applyAlignment="1" applyProtection="1">
      <alignment horizontal="center"/>
    </xf>
    <xf numFmtId="2" fontId="3" fillId="5" borderId="16" xfId="0" applyNumberFormat="1" applyFont="1" applyFill="1" applyBorder="1" applyAlignment="1" applyProtection="1">
      <alignment horizontal="center"/>
    </xf>
    <xf numFmtId="0" fontId="3" fillId="0" borderId="9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4" fillId="0" borderId="22" xfId="0" applyFont="1" applyFill="1" applyBorder="1" applyProtection="1"/>
    <xf numFmtId="0" fontId="4" fillId="0" borderId="24" xfId="0" applyFont="1" applyFill="1" applyBorder="1" applyProtection="1"/>
    <xf numFmtId="1" fontId="4" fillId="0" borderId="2" xfId="0" applyNumberFormat="1" applyFont="1" applyFill="1" applyBorder="1" applyAlignment="1" applyProtection="1">
      <alignment horizontal="center"/>
    </xf>
    <xf numFmtId="0" fontId="4" fillId="0" borderId="23" xfId="0" applyFont="1" applyFill="1" applyBorder="1" applyProtection="1"/>
    <xf numFmtId="164" fontId="3" fillId="6" borderId="13" xfId="0" applyNumberFormat="1" applyFont="1" applyFill="1" applyBorder="1" applyProtection="1"/>
    <xf numFmtId="0" fontId="1" fillId="0" borderId="0" xfId="0" applyFont="1" applyProtection="1"/>
    <xf numFmtId="166" fontId="5" fillId="0" borderId="0" xfId="0" applyNumberFormat="1" applyFont="1" applyFill="1" applyBorder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165" fontId="3" fillId="0" borderId="3" xfId="0" applyNumberFormat="1" applyFont="1" applyFill="1" applyBorder="1" applyProtection="1"/>
    <xf numFmtId="0" fontId="14" fillId="0" borderId="0" xfId="0" applyFont="1" applyProtection="1"/>
    <xf numFmtId="0" fontId="12" fillId="0" borderId="18" xfId="0" applyFont="1" applyBorder="1" applyProtection="1"/>
    <xf numFmtId="0" fontId="12" fillId="0" borderId="6" xfId="0" applyFont="1" applyBorder="1" applyProtection="1"/>
    <xf numFmtId="165" fontId="15" fillId="0" borderId="5" xfId="0" applyNumberFormat="1" applyFont="1" applyBorder="1" applyProtection="1"/>
    <xf numFmtId="165" fontId="15" fillId="0" borderId="21" xfId="0" applyNumberFormat="1" applyFont="1" applyBorder="1" applyProtection="1"/>
    <xf numFmtId="0" fontId="15" fillId="0" borderId="5" xfId="0" applyFont="1" applyBorder="1" applyProtection="1"/>
    <xf numFmtId="0" fontId="0" fillId="6" borderId="0" xfId="0" applyFill="1"/>
    <xf numFmtId="0" fontId="0" fillId="0" borderId="0" xfId="0" applyFont="1" applyProtection="1"/>
    <xf numFmtId="0" fontId="4" fillId="0" borderId="10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18" xfId="0" applyFont="1" applyFill="1" applyBorder="1" applyAlignment="1" applyProtection="1">
      <alignment horizontal="center"/>
    </xf>
    <xf numFmtId="164" fontId="3" fillId="6" borderId="10" xfId="0" applyNumberFormat="1" applyFont="1" applyFill="1" applyBorder="1" applyProtection="1"/>
    <xf numFmtId="164" fontId="3" fillId="6" borderId="8" xfId="0" applyNumberFormat="1" applyFont="1" applyFill="1" applyBorder="1" applyProtection="1"/>
    <xf numFmtId="164" fontId="3" fillId="6" borderId="16" xfId="0" applyNumberFormat="1" applyFont="1" applyFill="1" applyBorder="1" applyProtection="1"/>
    <xf numFmtId="2" fontId="3" fillId="6" borderId="16" xfId="0" applyNumberFormat="1" applyFont="1" applyFill="1" applyBorder="1" applyProtection="1"/>
    <xf numFmtId="2" fontId="3" fillId="6" borderId="8" xfId="0" applyNumberFormat="1" applyFont="1" applyFill="1" applyBorder="1" applyProtection="1"/>
    <xf numFmtId="2" fontId="3" fillId="0" borderId="3" xfId="0" applyNumberFormat="1" applyFont="1" applyFill="1" applyBorder="1" applyProtection="1"/>
    <xf numFmtId="2" fontId="3" fillId="0" borderId="10" xfId="0" applyNumberFormat="1" applyFont="1" applyFill="1" applyBorder="1" applyProtection="1"/>
    <xf numFmtId="2" fontId="3" fillId="0" borderId="8" xfId="0" applyNumberFormat="1" applyFont="1" applyFill="1" applyBorder="1" applyProtection="1"/>
    <xf numFmtId="2" fontId="3" fillId="0" borderId="14" xfId="0" applyNumberFormat="1" applyFont="1" applyFill="1" applyBorder="1" applyProtection="1"/>
    <xf numFmtId="2" fontId="3" fillId="0" borderId="11" xfId="0" applyNumberFormat="1" applyFont="1" applyFill="1" applyBorder="1" applyProtection="1"/>
    <xf numFmtId="2" fontId="4" fillId="0" borderId="10" xfId="0" applyNumberFormat="1" applyFont="1" applyFill="1" applyBorder="1" applyProtection="1"/>
    <xf numFmtId="2" fontId="4" fillId="0" borderId="8" xfId="0" applyNumberFormat="1" applyFont="1" applyFill="1" applyBorder="1" applyProtection="1"/>
    <xf numFmtId="2" fontId="4" fillId="0" borderId="14" xfId="0" applyNumberFormat="1" applyFont="1" applyFill="1" applyBorder="1" applyProtection="1"/>
    <xf numFmtId="2" fontId="4" fillId="0" borderId="11" xfId="0" applyNumberFormat="1" applyFont="1" applyFill="1" applyBorder="1" applyProtection="1"/>
    <xf numFmtId="0" fontId="4" fillId="2" borderId="14" xfId="0" applyFont="1" applyFill="1" applyBorder="1" applyAlignment="1" applyProtection="1">
      <alignment horizontal="right"/>
    </xf>
    <xf numFmtId="2" fontId="3" fillId="6" borderId="11" xfId="0" applyNumberFormat="1" applyFont="1" applyFill="1" applyBorder="1" applyProtection="1"/>
    <xf numFmtId="2" fontId="3" fillId="6" borderId="3" xfId="0" applyNumberFormat="1" applyFont="1" applyFill="1" applyBorder="1" applyProtection="1"/>
    <xf numFmtId="1" fontId="3" fillId="0" borderId="23" xfId="0" applyNumberFormat="1" applyFont="1" applyFill="1" applyBorder="1" applyProtection="1"/>
    <xf numFmtId="2" fontId="3" fillId="0" borderId="24" xfId="0" applyNumberFormat="1" applyFont="1" applyFill="1" applyBorder="1" applyProtection="1"/>
    <xf numFmtId="2" fontId="3" fillId="0" borderId="24" xfId="0" applyNumberFormat="1" applyFont="1" applyFill="1" applyBorder="1" applyAlignment="1" applyProtection="1">
      <alignment horizontal="right"/>
    </xf>
    <xf numFmtId="2" fontId="3" fillId="0" borderId="22" xfId="0" applyNumberFormat="1" applyFont="1" applyFill="1" applyBorder="1" applyAlignment="1" applyProtection="1">
      <alignment horizontal="right"/>
    </xf>
    <xf numFmtId="2" fontId="4" fillId="0" borderId="24" xfId="0" applyNumberFormat="1" applyFont="1" applyFill="1" applyBorder="1" applyAlignment="1" applyProtection="1">
      <alignment horizontal="right"/>
    </xf>
    <xf numFmtId="2" fontId="4" fillId="0" borderId="22" xfId="0" applyNumberFormat="1" applyFont="1" applyFill="1" applyBorder="1" applyAlignment="1" applyProtection="1">
      <alignment horizontal="right"/>
    </xf>
    <xf numFmtId="2" fontId="4" fillId="0" borderId="21" xfId="0" applyNumberFormat="1" applyFont="1" applyFill="1" applyBorder="1" applyAlignment="1" applyProtection="1">
      <alignment horizontal="right"/>
    </xf>
    <xf numFmtId="165" fontId="3" fillId="9" borderId="8" xfId="0" applyNumberFormat="1" applyFont="1" applyFill="1" applyBorder="1" applyProtection="1"/>
    <xf numFmtId="165" fontId="3" fillId="9" borderId="3" xfId="0" applyNumberFormat="1" applyFont="1" applyFill="1" applyBorder="1" applyProtection="1"/>
    <xf numFmtId="165" fontId="3" fillId="9" borderId="11" xfId="0" applyNumberFormat="1" applyFont="1" applyFill="1" applyBorder="1" applyProtection="1"/>
    <xf numFmtId="165" fontId="3" fillId="0" borderId="11" xfId="0" applyNumberFormat="1" applyFont="1" applyFill="1" applyBorder="1" applyProtection="1"/>
    <xf numFmtId="0" fontId="12" fillId="0" borderId="14" xfId="0" applyFont="1" applyBorder="1" applyProtection="1"/>
    <xf numFmtId="165" fontId="3" fillId="0" borderId="5" xfId="0" applyNumberFormat="1" applyFont="1" applyFill="1" applyBorder="1" applyProtection="1"/>
    <xf numFmtId="165" fontId="3" fillId="6" borderId="11" xfId="0" applyNumberFormat="1" applyFont="1" applyFill="1" applyBorder="1" applyProtection="1"/>
    <xf numFmtId="2" fontId="12" fillId="0" borderId="8" xfId="0" applyNumberFormat="1" applyFont="1" applyBorder="1" applyProtection="1"/>
    <xf numFmtId="2" fontId="12" fillId="0" borderId="3" xfId="0" applyNumberFormat="1" applyFont="1" applyBorder="1" applyProtection="1"/>
    <xf numFmtId="0" fontId="12" fillId="0" borderId="11" xfId="0" applyFont="1" applyBorder="1" applyProtection="1"/>
    <xf numFmtId="2" fontId="12" fillId="0" borderId="5" xfId="0" applyNumberFormat="1" applyFont="1" applyBorder="1" applyProtection="1"/>
    <xf numFmtId="2" fontId="12" fillId="6" borderId="5" xfId="0" applyNumberFormat="1" applyFont="1" applyFill="1" applyBorder="1" applyProtection="1"/>
    <xf numFmtId="0" fontId="12" fillId="0" borderId="5" xfId="0" applyFont="1" applyBorder="1" applyProtection="1"/>
    <xf numFmtId="1" fontId="3" fillId="0" borderId="22" xfId="0" applyNumberFormat="1" applyFont="1" applyFill="1" applyBorder="1" applyProtection="1"/>
    <xf numFmtId="0" fontId="12" fillId="0" borderId="0" xfId="0" applyFont="1" applyBorder="1" applyProtection="1"/>
    <xf numFmtId="2" fontId="12" fillId="0" borderId="11" xfId="0" applyNumberFormat="1" applyFont="1" applyBorder="1" applyProtection="1"/>
    <xf numFmtId="2" fontId="15" fillId="0" borderId="3" xfId="0" applyNumberFormat="1" applyFont="1" applyBorder="1" applyProtection="1"/>
    <xf numFmtId="2" fontId="15" fillId="0" borderId="11" xfId="0" applyNumberFormat="1" applyFont="1" applyBorder="1" applyProtection="1"/>
    <xf numFmtId="1" fontId="4" fillId="0" borderId="24" xfId="0" applyNumberFormat="1" applyFont="1" applyFill="1" applyBorder="1" applyProtection="1"/>
    <xf numFmtId="1" fontId="4" fillId="0" borderId="23" xfId="0" applyNumberFormat="1" applyFont="1" applyFill="1" applyBorder="1" applyProtection="1"/>
    <xf numFmtId="0" fontId="12" fillId="6" borderId="0" xfId="0" applyFont="1" applyFill="1" applyProtection="1"/>
    <xf numFmtId="0" fontId="12" fillId="7" borderId="0" xfId="0" applyFont="1" applyFill="1" applyProtection="1"/>
    <xf numFmtId="0" fontId="0" fillId="0" borderId="0" xfId="0" applyFont="1" applyBorder="1"/>
    <xf numFmtId="0" fontId="4" fillId="2" borderId="6" xfId="0" applyFont="1" applyFill="1" applyBorder="1" applyProtection="1"/>
    <xf numFmtId="0" fontId="3" fillId="2" borderId="6" xfId="0" applyFont="1" applyFill="1" applyBorder="1" applyAlignment="1" applyProtection="1">
      <alignment horizontal="left" vertical="top"/>
    </xf>
    <xf numFmtId="164" fontId="3" fillId="2" borderId="6" xfId="0" applyNumberFormat="1" applyFont="1" applyFill="1" applyBorder="1" applyProtection="1"/>
    <xf numFmtId="164" fontId="3" fillId="2" borderId="13" xfId="0" applyNumberFormat="1" applyFont="1" applyFill="1" applyBorder="1" applyProtection="1"/>
    <xf numFmtId="164" fontId="3" fillId="0" borderId="0" xfId="0" applyNumberFormat="1" applyFont="1" applyFill="1" applyBorder="1" applyProtection="1"/>
    <xf numFmtId="164" fontId="3" fillId="6" borderId="11" xfId="0" applyNumberFormat="1" applyFont="1" applyFill="1" applyBorder="1" applyProtection="1"/>
    <xf numFmtId="1" fontId="3" fillId="11" borderId="21" xfId="0" applyNumberFormat="1" applyFont="1" applyFill="1" applyBorder="1" applyProtection="1">
      <protection locked="0"/>
    </xf>
    <xf numFmtId="164" fontId="3" fillId="11" borderId="3" xfId="0" applyNumberFormat="1" applyFont="1" applyFill="1" applyBorder="1" applyProtection="1">
      <protection locked="0"/>
    </xf>
    <xf numFmtId="1" fontId="3" fillId="11" borderId="3" xfId="0" applyNumberFormat="1" applyFont="1" applyFill="1" applyBorder="1" applyAlignment="1" applyProtection="1">
      <alignment horizontal="right"/>
      <protection locked="0"/>
    </xf>
    <xf numFmtId="167" fontId="3" fillId="11" borderId="5" xfId="0" applyNumberFormat="1" applyFont="1" applyFill="1" applyBorder="1" applyAlignment="1" applyProtection="1">
      <alignment horizontal="center"/>
      <protection locked="0"/>
    </xf>
    <xf numFmtId="167" fontId="3" fillId="11" borderId="11" xfId="0" applyNumberFormat="1" applyFont="1" applyFill="1" applyBorder="1" applyAlignment="1" applyProtection="1">
      <alignment horizontal="center"/>
      <protection locked="0"/>
    </xf>
    <xf numFmtId="1" fontId="3" fillId="11" borderId="11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0" fontId="3" fillId="0" borderId="30" xfId="0" applyFont="1" applyFill="1" applyBorder="1" applyAlignment="1" applyProtection="1"/>
    <xf numFmtId="0" fontId="3" fillId="0" borderId="7" xfId="0" applyFont="1" applyFill="1" applyBorder="1" applyAlignment="1" applyProtection="1"/>
    <xf numFmtId="0" fontId="9" fillId="0" borderId="30" xfId="0" applyFont="1" applyFill="1" applyBorder="1" applyAlignment="1" applyProtection="1"/>
    <xf numFmtId="0" fontId="9" fillId="0" borderId="7" xfId="0" applyFont="1" applyFill="1" applyBorder="1" applyAlignment="1" applyProtection="1"/>
    <xf numFmtId="0" fontId="0" fillId="0" borderId="29" xfId="0" applyFont="1" applyFill="1" applyBorder="1" applyProtection="1"/>
    <xf numFmtId="0" fontId="0" fillId="0" borderId="9" xfId="0" applyFont="1" applyFill="1" applyBorder="1" applyProtection="1"/>
    <xf numFmtId="0" fontId="0" fillId="0" borderId="18" xfId="0" applyFont="1" applyFill="1" applyBorder="1" applyProtection="1"/>
    <xf numFmtId="0" fontId="0" fillId="0" borderId="6" xfId="0" applyFont="1" applyFill="1" applyBorder="1" applyProtection="1"/>
    <xf numFmtId="0" fontId="0" fillId="0" borderId="28" xfId="0" applyFont="1" applyFill="1" applyBorder="1" applyProtection="1"/>
    <xf numFmtId="0" fontId="3" fillId="0" borderId="1" xfId="0" applyFont="1" applyFill="1" applyBorder="1" applyAlignment="1" applyProtection="1">
      <alignment horizontal="center"/>
    </xf>
    <xf numFmtId="0" fontId="3" fillId="0" borderId="26" xfId="0" applyFont="1" applyFill="1" applyBorder="1" applyAlignment="1" applyProtection="1">
      <alignment horizontal="center"/>
    </xf>
    <xf numFmtId="0" fontId="3" fillId="0" borderId="20" xfId="0" applyFont="1" applyFill="1" applyBorder="1" applyAlignment="1" applyProtection="1">
      <alignment horizontal="center"/>
    </xf>
    <xf numFmtId="164" fontId="3" fillId="7" borderId="29" xfId="0" applyNumberFormat="1" applyFont="1" applyFill="1" applyBorder="1" applyProtection="1"/>
    <xf numFmtId="164" fontId="3" fillId="7" borderId="1" xfId="0" applyNumberFormat="1" applyFont="1" applyFill="1" applyBorder="1" applyProtection="1"/>
    <xf numFmtId="164" fontId="3" fillId="7" borderId="30" xfId="0" applyNumberFormat="1" applyFont="1" applyFill="1" applyBorder="1" applyProtection="1"/>
    <xf numFmtId="164" fontId="3" fillId="0" borderId="1" xfId="0" applyNumberFormat="1" applyFont="1" applyFill="1" applyBorder="1" applyProtection="1"/>
    <xf numFmtId="1" fontId="3" fillId="0" borderId="0" xfId="0" applyNumberFormat="1" applyFont="1" applyFill="1" applyBorder="1" applyProtection="1"/>
    <xf numFmtId="2" fontId="3" fillId="0" borderId="9" xfId="0" applyNumberFormat="1" applyFont="1" applyFill="1" applyBorder="1" applyProtection="1"/>
    <xf numFmtId="2" fontId="3" fillId="0" borderId="17" xfId="0" applyNumberFormat="1" applyFont="1" applyFill="1" applyBorder="1" applyProtection="1"/>
    <xf numFmtId="164" fontId="3" fillId="0" borderId="7" xfId="0" applyNumberFormat="1" applyFont="1" applyFill="1" applyBorder="1" applyProtection="1"/>
    <xf numFmtId="2" fontId="3" fillId="7" borderId="30" xfId="0" applyNumberFormat="1" applyFont="1" applyFill="1" applyBorder="1" applyProtection="1"/>
    <xf numFmtId="0" fontId="0" fillId="0" borderId="5" xfId="0" applyFont="1" applyFill="1" applyBorder="1" applyProtection="1"/>
    <xf numFmtId="2" fontId="3" fillId="7" borderId="7" xfId="0" applyNumberFormat="1" applyFont="1" applyFill="1" applyBorder="1" applyProtection="1"/>
    <xf numFmtId="0" fontId="0" fillId="0" borderId="8" xfId="0" applyFont="1" applyFill="1" applyBorder="1" applyProtection="1"/>
    <xf numFmtId="0" fontId="0" fillId="0" borderId="27" xfId="0" applyFont="1" applyFill="1" applyBorder="1" applyProtection="1"/>
    <xf numFmtId="0" fontId="0" fillId="0" borderId="1" xfId="0" applyBorder="1" applyProtection="1"/>
    <xf numFmtId="0" fontId="0" fillId="0" borderId="24" xfId="0" applyBorder="1" applyProtection="1"/>
    <xf numFmtId="2" fontId="12" fillId="0" borderId="27" xfId="0" applyNumberFormat="1" applyFont="1" applyBorder="1" applyProtection="1"/>
    <xf numFmtId="0" fontId="0" fillId="0" borderId="7" xfId="0" applyBorder="1" applyProtection="1"/>
    <xf numFmtId="0" fontId="12" fillId="0" borderId="27" xfId="0" applyFont="1" applyBorder="1" applyProtection="1"/>
    <xf numFmtId="2" fontId="12" fillId="0" borderId="23" xfId="0" applyNumberFormat="1" applyFont="1" applyBorder="1" applyProtection="1"/>
    <xf numFmtId="2" fontId="12" fillId="0" borderId="17" xfId="0" applyNumberFormat="1" applyFont="1" applyBorder="1" applyProtection="1"/>
    <xf numFmtId="0" fontId="12" fillId="0" borderId="23" xfId="0" applyFont="1" applyBorder="1" applyProtection="1"/>
    <xf numFmtId="2" fontId="3" fillId="0" borderId="7" xfId="0" applyNumberFormat="1" applyFont="1" applyFill="1" applyBorder="1" applyProtection="1"/>
    <xf numFmtId="2" fontId="3" fillId="7" borderId="32" xfId="0" applyNumberFormat="1" applyFont="1" applyFill="1" applyBorder="1" applyProtection="1"/>
    <xf numFmtId="2" fontId="3" fillId="7" borderId="15" xfId="0" applyNumberFormat="1" applyFont="1" applyFill="1" applyBorder="1" applyProtection="1"/>
    <xf numFmtId="2" fontId="3" fillId="7" borderId="12" xfId="0" applyNumberFormat="1" applyFont="1" applyFill="1" applyBorder="1" applyProtection="1"/>
    <xf numFmtId="0" fontId="12" fillId="0" borderId="7" xfId="0" applyFont="1" applyBorder="1" applyProtection="1"/>
    <xf numFmtId="0" fontId="15" fillId="0" borderId="24" xfId="0" applyFont="1" applyBorder="1" applyProtection="1"/>
    <xf numFmtId="2" fontId="15" fillId="0" borderId="27" xfId="0" applyNumberFormat="1" applyFont="1" applyBorder="1" applyProtection="1"/>
    <xf numFmtId="0" fontId="6" fillId="0" borderId="14" xfId="0" applyFont="1" applyFill="1" applyBorder="1" applyProtection="1"/>
    <xf numFmtId="2" fontId="15" fillId="0" borderId="23" xfId="0" applyNumberFormat="1" applyFont="1" applyBorder="1" applyProtection="1"/>
    <xf numFmtId="2" fontId="15" fillId="0" borderId="19" xfId="0" applyNumberFormat="1" applyFont="1" applyBorder="1" applyProtection="1"/>
    <xf numFmtId="0" fontId="0" fillId="0" borderId="16" xfId="0" applyFont="1" applyFill="1" applyBorder="1" applyProtection="1"/>
    <xf numFmtId="0" fontId="0" fillId="0" borderId="30" xfId="0" applyFont="1" applyFill="1" applyBorder="1" applyProtection="1"/>
    <xf numFmtId="2" fontId="3" fillId="7" borderId="1" xfId="0" applyNumberFormat="1" applyFont="1" applyFill="1" applyBorder="1" applyProtection="1"/>
    <xf numFmtId="2" fontId="3" fillId="7" borderId="17" xfId="0" applyNumberFormat="1" applyFont="1" applyFill="1" applyBorder="1" applyProtection="1"/>
    <xf numFmtId="2" fontId="3" fillId="7" borderId="26" xfId="0" applyNumberFormat="1" applyFont="1" applyFill="1" applyBorder="1" applyProtection="1"/>
    <xf numFmtId="167" fontId="3" fillId="0" borderId="3" xfId="0" applyNumberFormat="1" applyFont="1" applyFill="1" applyBorder="1" applyProtection="1"/>
    <xf numFmtId="167" fontId="3" fillId="0" borderId="4" xfId="0" applyNumberFormat="1" applyFont="1" applyFill="1" applyBorder="1" applyProtection="1"/>
    <xf numFmtId="2" fontId="3" fillId="7" borderId="2" xfId="0" applyNumberFormat="1" applyFont="1" applyFill="1" applyBorder="1" applyProtection="1"/>
    <xf numFmtId="0" fontId="12" fillId="0" borderId="9" xfId="0" applyFont="1" applyBorder="1" applyProtection="1"/>
    <xf numFmtId="0" fontId="0" fillId="0" borderId="3" xfId="0" applyBorder="1" applyProtection="1"/>
    <xf numFmtId="0" fontId="12" fillId="0" borderId="15" xfId="0" applyFont="1" applyBorder="1" applyProtection="1"/>
    <xf numFmtId="0" fontId="12" fillId="0" borderId="13" xfId="0" applyFont="1" applyBorder="1" applyProtection="1"/>
    <xf numFmtId="2" fontId="12" fillId="7" borderId="19" xfId="0" applyNumberFormat="1" applyFont="1" applyFill="1" applyBorder="1" applyProtection="1"/>
    <xf numFmtId="2" fontId="3" fillId="7" borderId="4" xfId="0" applyNumberFormat="1" applyFont="1" applyFill="1" applyBorder="1" applyProtection="1"/>
    <xf numFmtId="2" fontId="3" fillId="7" borderId="20" xfId="0" applyNumberFormat="1" applyFont="1" applyFill="1" applyBorder="1" applyProtection="1"/>
    <xf numFmtId="2" fontId="4" fillId="0" borderId="7" xfId="0" applyNumberFormat="1" applyFont="1" applyFill="1" applyBorder="1" applyProtection="1"/>
    <xf numFmtId="1" fontId="3" fillId="0" borderId="9" xfId="0" applyNumberFormat="1" applyFont="1" applyFill="1" applyBorder="1" applyProtection="1"/>
    <xf numFmtId="2" fontId="4" fillId="0" borderId="24" xfId="0" applyNumberFormat="1" applyFont="1" applyFill="1" applyBorder="1" applyProtection="1"/>
    <xf numFmtId="2" fontId="3" fillId="0" borderId="27" xfId="0" applyNumberFormat="1" applyFont="1" applyFill="1" applyBorder="1" applyProtection="1"/>
    <xf numFmtId="2" fontId="4" fillId="0" borderId="9" xfId="0" applyNumberFormat="1" applyFont="1" applyFill="1" applyBorder="1" applyProtection="1"/>
    <xf numFmtId="2" fontId="4" fillId="0" borderId="15" xfId="0" applyNumberFormat="1" applyFont="1" applyFill="1" applyBorder="1" applyProtection="1"/>
    <xf numFmtId="1" fontId="3" fillId="0" borderId="13" xfId="0" applyNumberFormat="1" applyFont="1" applyFill="1" applyBorder="1" applyProtection="1"/>
    <xf numFmtId="2" fontId="4" fillId="0" borderId="23" xfId="0" applyNumberFormat="1" applyFont="1" applyFill="1" applyBorder="1" applyProtection="1"/>
    <xf numFmtId="2" fontId="4" fillId="0" borderId="19" xfId="0" applyNumberFormat="1" applyFont="1" applyFill="1" applyBorder="1" applyProtection="1"/>
    <xf numFmtId="2" fontId="4" fillId="0" borderId="13" xfId="0" applyNumberFormat="1" applyFont="1" applyFill="1" applyBorder="1" applyProtection="1"/>
    <xf numFmtId="2" fontId="4" fillId="0" borderId="17" xfId="0" applyNumberFormat="1" applyFont="1" applyFill="1" applyBorder="1" applyProtection="1"/>
    <xf numFmtId="2" fontId="4" fillId="0" borderId="0" xfId="0" applyNumberFormat="1" applyFont="1" applyFill="1" applyBorder="1" applyProtection="1"/>
    <xf numFmtId="2" fontId="3" fillId="0" borderId="1" xfId="0" applyNumberFormat="1" applyFont="1" applyFill="1" applyBorder="1" applyProtection="1"/>
    <xf numFmtId="2" fontId="3" fillId="0" borderId="4" xfId="0" applyNumberFormat="1" applyFont="1" applyFill="1" applyBorder="1" applyProtection="1"/>
    <xf numFmtId="1" fontId="17" fillId="0" borderId="8" xfId="0" applyNumberFormat="1" applyFont="1" applyFill="1" applyBorder="1" applyProtection="1"/>
    <xf numFmtId="2" fontId="3" fillId="0" borderId="32" xfId="0" applyNumberFormat="1" applyFont="1" applyFill="1" applyBorder="1" applyProtection="1"/>
    <xf numFmtId="2" fontId="3" fillId="0" borderId="2" xfId="0" applyNumberFormat="1" applyFont="1" applyFill="1" applyBorder="1" applyProtection="1"/>
    <xf numFmtId="1" fontId="17" fillId="0" borderId="3" xfId="0" applyNumberFormat="1" applyFont="1" applyFill="1" applyBorder="1" applyProtection="1"/>
    <xf numFmtId="2" fontId="3" fillId="6" borderId="2" xfId="0" applyNumberFormat="1" applyFont="1" applyFill="1" applyBorder="1" applyProtection="1"/>
    <xf numFmtId="2" fontId="3" fillId="0" borderId="15" xfId="0" applyNumberFormat="1" applyFont="1" applyFill="1" applyBorder="1" applyProtection="1"/>
    <xf numFmtId="2" fontId="3" fillId="0" borderId="12" xfId="0" applyNumberFormat="1" applyFont="1" applyFill="1" applyBorder="1" applyProtection="1"/>
    <xf numFmtId="2" fontId="4" fillId="0" borderId="2" xfId="0" applyNumberFormat="1" applyFont="1" applyFill="1" applyBorder="1" applyProtection="1"/>
    <xf numFmtId="2" fontId="4" fillId="0" borderId="3" xfId="0" applyNumberFormat="1" applyFont="1" applyFill="1" applyBorder="1" applyProtection="1"/>
    <xf numFmtId="2" fontId="4" fillId="0" borderId="4" xfId="0" applyNumberFormat="1" applyFont="1" applyFill="1" applyBorder="1" applyProtection="1"/>
    <xf numFmtId="2" fontId="4" fillId="0" borderId="26" xfId="0" applyNumberFormat="1" applyFont="1" applyFill="1" applyBorder="1" applyProtection="1"/>
    <xf numFmtId="2" fontId="4" fillId="0" borderId="20" xfId="0" applyNumberFormat="1" applyFont="1" applyFill="1" applyBorder="1" applyProtection="1"/>
    <xf numFmtId="2" fontId="4" fillId="0" borderId="12" xfId="0" applyNumberFormat="1" applyFont="1" applyFill="1" applyBorder="1" applyProtection="1"/>
    <xf numFmtId="1" fontId="4" fillId="0" borderId="9" xfId="0" applyNumberFormat="1" applyFont="1" applyFill="1" applyBorder="1" applyProtection="1"/>
    <xf numFmtId="1" fontId="4" fillId="0" borderId="13" xfId="0" applyNumberFormat="1" applyFont="1" applyFill="1" applyBorder="1" applyProtection="1"/>
    <xf numFmtId="0" fontId="12" fillId="0" borderId="0" xfId="0" applyFont="1" applyFill="1" applyProtection="1"/>
    <xf numFmtId="0" fontId="15" fillId="0" borderId="18" xfId="0" applyFont="1" applyBorder="1" applyProtection="1"/>
    <xf numFmtId="0" fontId="0" fillId="0" borderId="6" xfId="0" applyBorder="1" applyProtection="1"/>
    <xf numFmtId="0" fontId="0" fillId="0" borderId="21" xfId="0" applyBorder="1" applyProtection="1"/>
    <xf numFmtId="0" fontId="12" fillId="0" borderId="18" xfId="0" applyFont="1" applyBorder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12" fillId="0" borderId="10" xfId="0" applyFont="1" applyFill="1" applyBorder="1" applyProtection="1"/>
    <xf numFmtId="0" fontId="4" fillId="0" borderId="14" xfId="0" applyFont="1" applyFill="1" applyBorder="1" applyAlignment="1" applyProtection="1"/>
    <xf numFmtId="0" fontId="4" fillId="0" borderId="23" xfId="0" applyFont="1" applyFill="1" applyBorder="1" applyAlignment="1" applyProtection="1"/>
    <xf numFmtId="0" fontId="11" fillId="0" borderId="14" xfId="0" applyFont="1" applyFill="1" applyBorder="1" applyAlignment="1" applyProtection="1"/>
    <xf numFmtId="0" fontId="12" fillId="0" borderId="14" xfId="0" applyFont="1" applyFill="1" applyBorder="1" applyProtection="1"/>
    <xf numFmtId="2" fontId="3" fillId="2" borderId="24" xfId="0" applyNumberFormat="1" applyFont="1" applyFill="1" applyBorder="1" applyProtection="1"/>
    <xf numFmtId="2" fontId="3" fillId="10" borderId="8" xfId="0" applyNumberFormat="1" applyFont="1" applyFill="1" applyBorder="1" applyProtection="1"/>
    <xf numFmtId="2" fontId="3" fillId="2" borderId="8" xfId="0" applyNumberFormat="1" applyFont="1" applyFill="1" applyBorder="1" applyProtection="1"/>
    <xf numFmtId="0" fontId="12" fillId="2" borderId="11" xfId="0" applyFont="1" applyFill="1" applyBorder="1" applyAlignment="1" applyProtection="1">
      <alignment horizontal="left" vertical="center"/>
    </xf>
    <xf numFmtId="2" fontId="4" fillId="2" borderId="11" xfId="0" applyNumberFormat="1" applyFont="1" applyFill="1" applyBorder="1" applyAlignment="1" applyProtection="1">
      <alignment horizontal="center" vertical="center"/>
    </xf>
    <xf numFmtId="0" fontId="4" fillId="2" borderId="11" xfId="0" applyFont="1" applyFill="1" applyBorder="1" applyProtection="1"/>
    <xf numFmtId="2" fontId="4" fillId="10" borderId="22" xfId="0" applyNumberFormat="1" applyFont="1" applyFill="1" applyBorder="1" applyProtection="1"/>
    <xf numFmtId="2" fontId="4" fillId="8" borderId="8" xfId="0" applyNumberFormat="1" applyFont="1" applyFill="1" applyBorder="1" applyAlignment="1" applyProtection="1">
      <alignment horizontal="center" vertical="center"/>
    </xf>
    <xf numFmtId="0" fontId="3" fillId="2" borderId="6" xfId="0" applyFont="1" applyFill="1" applyBorder="1" applyProtection="1"/>
    <xf numFmtId="165" fontId="3" fillId="10" borderId="21" xfId="0" applyNumberFormat="1" applyFont="1" applyFill="1" applyBorder="1" applyAlignment="1" applyProtection="1">
      <alignment horizontal="right"/>
    </xf>
    <xf numFmtId="2" fontId="3" fillId="10" borderId="5" xfId="0" applyNumberFormat="1" applyFont="1" applyFill="1" applyBorder="1" applyProtection="1"/>
    <xf numFmtId="2" fontId="3" fillId="10" borderId="21" xfId="0" applyNumberFormat="1" applyFont="1" applyFill="1" applyBorder="1" applyProtection="1"/>
    <xf numFmtId="165" fontId="4" fillId="10" borderId="21" xfId="0" applyNumberFormat="1" applyFont="1" applyFill="1" applyBorder="1" applyAlignment="1" applyProtection="1">
      <alignment horizontal="right"/>
    </xf>
    <xf numFmtId="2" fontId="4" fillId="10" borderId="5" xfId="0" applyNumberFormat="1" applyFont="1" applyFill="1" applyBorder="1" applyProtection="1"/>
    <xf numFmtId="2" fontId="4" fillId="10" borderId="21" xfId="0" applyNumberFormat="1" applyFont="1" applyFill="1" applyBorder="1" applyProtection="1"/>
    <xf numFmtId="2" fontId="3" fillId="8" borderId="11" xfId="0" applyNumberFormat="1" applyFont="1" applyFill="1" applyBorder="1" applyAlignment="1" applyProtection="1">
      <alignment horizontal="center" vertical="center"/>
    </xf>
    <xf numFmtId="2" fontId="3" fillId="2" borderId="11" xfId="0" applyNumberFormat="1" applyFont="1" applyFill="1" applyBorder="1" applyAlignment="1" applyProtection="1">
      <alignment horizontal="center" vertical="center"/>
    </xf>
    <xf numFmtId="0" fontId="12" fillId="2" borderId="18" xfId="0" applyFont="1" applyFill="1" applyBorder="1" applyProtection="1"/>
    <xf numFmtId="0" fontId="12" fillId="2" borderId="6" xfId="0" applyFont="1" applyFill="1" applyBorder="1" applyProtection="1"/>
    <xf numFmtId="0" fontId="12" fillId="2" borderId="21" xfId="0" applyFont="1" applyFill="1" applyBorder="1" applyProtection="1"/>
    <xf numFmtId="2" fontId="4" fillId="10" borderId="11" xfId="0" applyNumberFormat="1" applyFont="1" applyFill="1" applyBorder="1" applyProtection="1"/>
    <xf numFmtId="0" fontId="12" fillId="2" borderId="10" xfId="0" applyFont="1" applyFill="1" applyBorder="1" applyProtection="1"/>
    <xf numFmtId="0" fontId="12" fillId="2" borderId="0" xfId="0" applyFont="1" applyFill="1" applyProtection="1"/>
    <xf numFmtId="0" fontId="12" fillId="2" borderId="24" xfId="0" applyFont="1" applyFill="1" applyBorder="1" applyProtection="1"/>
    <xf numFmtId="0" fontId="12" fillId="2" borderId="18" xfId="0" applyFont="1" applyFill="1" applyBorder="1" applyAlignment="1" applyProtection="1">
      <alignment horizontal="left" vertical="center"/>
    </xf>
    <xf numFmtId="0" fontId="12" fillId="2" borderId="6" xfId="0" applyFont="1" applyFill="1" applyBorder="1" applyAlignment="1" applyProtection="1">
      <alignment horizontal="left" vertical="center"/>
    </xf>
    <xf numFmtId="0" fontId="12" fillId="2" borderId="6" xfId="0" applyFont="1" applyFill="1" applyBorder="1" applyAlignment="1" applyProtection="1">
      <alignment horizontal="center" vertical="center"/>
    </xf>
    <xf numFmtId="0" fontId="12" fillId="2" borderId="21" xfId="0" applyFont="1" applyFill="1" applyBorder="1" applyAlignment="1" applyProtection="1">
      <alignment horizontal="center" vertical="center"/>
    </xf>
    <xf numFmtId="0" fontId="12" fillId="2" borderId="14" xfId="0" applyFont="1" applyFill="1" applyBorder="1" applyAlignment="1" applyProtection="1">
      <alignment horizontal="left" vertical="center"/>
    </xf>
    <xf numFmtId="0" fontId="12" fillId="2" borderId="0" xfId="0" applyFont="1" applyFill="1" applyBorder="1" applyProtection="1"/>
    <xf numFmtId="0" fontId="12" fillId="2" borderId="22" xfId="0" applyFont="1" applyFill="1" applyBorder="1" applyProtection="1"/>
    <xf numFmtId="2" fontId="4" fillId="2" borderId="11" xfId="0" applyNumberFormat="1" applyFont="1" applyFill="1" applyBorder="1" applyProtection="1"/>
    <xf numFmtId="2" fontId="3" fillId="2" borderId="8" xfId="0" applyNumberFormat="1" applyFont="1" applyFill="1" applyBorder="1" applyAlignment="1" applyProtection="1">
      <alignment horizontal="center" vertical="center"/>
    </xf>
    <xf numFmtId="0" fontId="0" fillId="8" borderId="0" xfId="0" applyFill="1" applyProtection="1"/>
    <xf numFmtId="0" fontId="0" fillId="10" borderId="0" xfId="0" applyFill="1" applyProtection="1"/>
    <xf numFmtId="0" fontId="3" fillId="0" borderId="5" xfId="0" applyFont="1" applyFill="1" applyBorder="1" applyProtection="1"/>
    <xf numFmtId="0" fontId="3" fillId="0" borderId="18" xfId="0" applyFont="1" applyFill="1" applyBorder="1" applyAlignment="1" applyProtection="1">
      <alignment horizontal="left"/>
    </xf>
    <xf numFmtId="0" fontId="3" fillId="0" borderId="11" xfId="0" applyFont="1" applyFill="1" applyBorder="1" applyAlignment="1" applyProtection="1">
      <alignment horizontal="center"/>
    </xf>
    <xf numFmtId="0" fontId="12" fillId="0" borderId="8" xfId="0" applyFont="1" applyBorder="1" applyProtection="1"/>
    <xf numFmtId="0" fontId="0" fillId="0" borderId="5" xfId="0" applyBorder="1" applyProtection="1"/>
    <xf numFmtId="0" fontId="12" fillId="0" borderId="23" xfId="0" applyFont="1" applyFill="1" applyBorder="1" applyAlignment="1">
      <alignment horizontal="center"/>
    </xf>
    <xf numFmtId="0" fontId="9" fillId="0" borderId="5" xfId="0" applyFont="1" applyFill="1" applyBorder="1" applyAlignment="1" applyProtection="1">
      <alignment horizontal="center"/>
    </xf>
    <xf numFmtId="1" fontId="3" fillId="0" borderId="18" xfId="0" applyNumberFormat="1" applyFont="1" applyFill="1" applyBorder="1" applyAlignment="1" applyProtection="1">
      <alignment horizontal="center"/>
    </xf>
    <xf numFmtId="0" fontId="12" fillId="0" borderId="8" xfId="0" applyFont="1" applyFill="1" applyBorder="1" applyAlignment="1">
      <alignment horizontal="right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left" vertical="center"/>
    </xf>
    <xf numFmtId="0" fontId="12" fillId="0" borderId="8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right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right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right" vertical="center"/>
    </xf>
    <xf numFmtId="2" fontId="12" fillId="4" borderId="8" xfId="0" applyNumberFormat="1" applyFont="1" applyFill="1" applyBorder="1" applyAlignment="1">
      <alignment horizontal="left" vertical="center"/>
    </xf>
    <xf numFmtId="2" fontId="12" fillId="4" borderId="3" xfId="0" applyNumberFormat="1" applyFont="1" applyFill="1" applyBorder="1" applyAlignment="1">
      <alignment horizontal="left" vertical="center"/>
    </xf>
    <xf numFmtId="2" fontId="12" fillId="4" borderId="11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9" fontId="12" fillId="4" borderId="5" xfId="2" applyFont="1" applyFill="1" applyBorder="1"/>
    <xf numFmtId="164" fontId="3" fillId="0" borderId="8" xfId="0" applyNumberFormat="1" applyFont="1" applyFill="1" applyBorder="1" applyAlignment="1" applyProtection="1">
      <alignment horizontal="center"/>
    </xf>
    <xf numFmtId="164" fontId="3" fillId="0" borderId="3" xfId="0" applyNumberFormat="1" applyFont="1" applyFill="1" applyBorder="1" applyAlignment="1" applyProtection="1">
      <alignment horizontal="center"/>
    </xf>
    <xf numFmtId="164" fontId="3" fillId="0" borderId="11" xfId="0" applyNumberFormat="1" applyFont="1" applyFill="1" applyBorder="1" applyAlignment="1" applyProtection="1">
      <alignment horizontal="center"/>
    </xf>
    <xf numFmtId="0" fontId="3" fillId="0" borderId="18" xfId="0" applyFont="1" applyFill="1" applyBorder="1" applyProtection="1"/>
    <xf numFmtId="9" fontId="0" fillId="0" borderId="0" xfId="0" applyNumberFormat="1"/>
    <xf numFmtId="0" fontId="3" fillId="0" borderId="9" xfId="0" applyFont="1" applyFill="1" applyBorder="1" applyAlignment="1"/>
    <xf numFmtId="0" fontId="12" fillId="0" borderId="0" xfId="0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12" fillId="0" borderId="13" xfId="0" applyNumberFormat="1" applyFont="1" applyBorder="1" applyAlignment="1">
      <alignment horizontal="center"/>
    </xf>
    <xf numFmtId="2" fontId="12" fillId="0" borderId="0" xfId="0" applyNumberFormat="1" applyFont="1" applyFill="1" applyAlignment="1">
      <alignment horizontal="center"/>
    </xf>
    <xf numFmtId="0" fontId="4" fillId="0" borderId="18" xfId="0" applyNumberFormat="1" applyFont="1" applyFill="1" applyBorder="1" applyAlignment="1">
      <alignment horizontal="right" vertical="center"/>
    </xf>
    <xf numFmtId="2" fontId="3" fillId="0" borderId="3" xfId="0" applyNumberFormat="1" applyFont="1" applyFill="1" applyBorder="1" applyAlignment="1">
      <alignment horizontal="right" vertical="center"/>
    </xf>
    <xf numFmtId="2" fontId="4" fillId="0" borderId="8" xfId="0" applyNumberFormat="1" applyFont="1" applyFill="1" applyBorder="1" applyAlignment="1">
      <alignment horizontal="right" vertical="center"/>
    </xf>
    <xf numFmtId="2" fontId="4" fillId="0" borderId="11" xfId="0" applyNumberFormat="1" applyFont="1" applyFill="1" applyBorder="1" applyAlignment="1">
      <alignment horizontal="right" vertical="center"/>
    </xf>
    <xf numFmtId="2" fontId="3" fillId="0" borderId="8" xfId="0" applyNumberFormat="1" applyFont="1" applyFill="1" applyBorder="1"/>
    <xf numFmtId="2" fontId="3" fillId="0" borderId="11" xfId="0" applyNumberFormat="1" applyFont="1" applyFill="1" applyBorder="1"/>
    <xf numFmtId="9" fontId="11" fillId="0" borderId="0" xfId="2" applyFont="1" applyFill="1" applyBorder="1" applyAlignment="1">
      <alignment vertical="center"/>
    </xf>
    <xf numFmtId="9" fontId="12" fillId="0" borderId="5" xfId="2" applyFont="1" applyBorder="1"/>
    <xf numFmtId="9" fontId="3" fillId="11" borderId="5" xfId="2" applyFont="1" applyFill="1" applyBorder="1" applyAlignment="1" applyProtection="1">
      <alignment vertical="center"/>
      <protection locked="0"/>
    </xf>
    <xf numFmtId="9" fontId="3" fillId="11" borderId="21" xfId="2" applyFont="1" applyFill="1" applyBorder="1" applyProtection="1">
      <protection locked="0"/>
    </xf>
    <xf numFmtId="2" fontId="3" fillId="11" borderId="5" xfId="2" applyNumberFormat="1" applyFont="1" applyFill="1" applyBorder="1" applyAlignment="1" applyProtection="1">
      <alignment vertical="center"/>
      <protection locked="0"/>
    </xf>
    <xf numFmtId="0" fontId="3" fillId="2" borderId="21" xfId="0" applyFont="1" applyFill="1" applyBorder="1" applyAlignment="1" applyProtection="1"/>
    <xf numFmtId="0" fontId="4" fillId="0" borderId="18" xfId="0" applyFont="1" applyFill="1" applyBorder="1" applyAlignment="1">
      <alignment horizontal="right" vertical="center"/>
    </xf>
    <xf numFmtId="0" fontId="19" fillId="0" borderId="0" xfId="0" applyFont="1" applyFill="1" applyBorder="1"/>
    <xf numFmtId="0" fontId="30" fillId="0" borderId="11" xfId="0" applyFont="1" applyBorder="1"/>
    <xf numFmtId="0" fontId="3" fillId="0" borderId="5" xfId="0" applyFont="1" applyFill="1" applyBorder="1" applyAlignment="1" applyProtection="1">
      <alignment horizontal="left"/>
    </xf>
    <xf numFmtId="2" fontId="3" fillId="6" borderId="26" xfId="0" applyNumberFormat="1" applyFont="1" applyFill="1" applyBorder="1" applyProtection="1"/>
    <xf numFmtId="0" fontId="0" fillId="0" borderId="8" xfId="0" applyBorder="1"/>
    <xf numFmtId="0" fontId="0" fillId="0" borderId="32" xfId="0" applyBorder="1"/>
    <xf numFmtId="0" fontId="0" fillId="0" borderId="4" xfId="0" applyBorder="1"/>
    <xf numFmtId="2" fontId="3" fillId="0" borderId="20" xfId="0" applyNumberFormat="1" applyFont="1" applyFill="1" applyBorder="1" applyProtection="1"/>
    <xf numFmtId="1" fontId="12" fillId="4" borderId="5" xfId="0" applyNumberFormat="1" applyFont="1" applyFill="1" applyBorder="1"/>
    <xf numFmtId="0" fontId="15" fillId="6" borderId="5" xfId="0" applyFont="1" applyFill="1" applyBorder="1"/>
    <xf numFmtId="9" fontId="19" fillId="8" borderId="5" xfId="0" applyNumberFormat="1" applyFont="1" applyFill="1" applyBorder="1" applyAlignment="1">
      <alignment horizontal="center" vertical="center"/>
    </xf>
    <xf numFmtId="0" fontId="19" fillId="8" borderId="5" xfId="0" applyFont="1" applyFill="1" applyBorder="1" applyAlignment="1">
      <alignment horizontal="center" vertical="center"/>
    </xf>
    <xf numFmtId="0" fontId="19" fillId="7" borderId="5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23" fillId="7" borderId="5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 vertical="center"/>
    </xf>
    <xf numFmtId="0" fontId="6" fillId="0" borderId="23" xfId="0" applyFont="1" applyFill="1" applyBorder="1" applyAlignment="1">
      <alignment horizontal="center" vertical="center"/>
    </xf>
    <xf numFmtId="1" fontId="6" fillId="0" borderId="11" xfId="0" applyNumberFormat="1" applyFont="1" applyFill="1" applyBorder="1" applyAlignment="1">
      <alignment horizontal="righ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center" vertical="center"/>
    </xf>
    <xf numFmtId="0" fontId="19" fillId="0" borderId="18" xfId="0" applyFont="1" applyFill="1" applyBorder="1"/>
    <xf numFmtId="0" fontId="30" fillId="0" borderId="21" xfId="0" applyFont="1" applyBorder="1"/>
    <xf numFmtId="0" fontId="30" fillId="0" borderId="5" xfId="0" applyFont="1" applyBorder="1"/>
    <xf numFmtId="1" fontId="19" fillId="0" borderId="3" xfId="0" applyNumberFormat="1" applyFont="1" applyBorder="1" applyAlignment="1">
      <alignment horizontal="center"/>
    </xf>
    <xf numFmtId="1" fontId="19" fillId="0" borderId="11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19" fillId="0" borderId="3" xfId="0" applyNumberFormat="1" applyFont="1" applyFill="1" applyBorder="1" applyAlignment="1">
      <alignment horizontal="center"/>
    </xf>
    <xf numFmtId="1" fontId="30" fillId="0" borderId="11" xfId="0" applyNumberFormat="1" applyFont="1" applyBorder="1" applyAlignment="1">
      <alignment horizontal="center"/>
    </xf>
    <xf numFmtId="0" fontId="3" fillId="0" borderId="6" xfId="0" applyFont="1" applyFill="1" applyBorder="1" applyAlignment="1" applyProtection="1">
      <alignment horizontal="center"/>
    </xf>
    <xf numFmtId="168" fontId="3" fillId="0" borderId="3" xfId="0" applyNumberFormat="1" applyFont="1" applyFill="1" applyBorder="1" applyProtection="1"/>
    <xf numFmtId="164" fontId="15" fillId="0" borderId="5" xfId="0" applyNumberFormat="1" applyFont="1" applyBorder="1" applyProtection="1"/>
    <xf numFmtId="164" fontId="4" fillId="0" borderId="18" xfId="0" applyNumberFormat="1" applyFont="1" applyFill="1" applyBorder="1" applyProtection="1"/>
    <xf numFmtId="0" fontId="25" fillId="3" borderId="0" xfId="0" applyFont="1" applyFill="1" applyBorder="1" applyProtection="1"/>
    <xf numFmtId="164" fontId="25" fillId="3" borderId="10" xfId="0" applyNumberFormat="1" applyFont="1" applyFill="1" applyBorder="1" applyProtection="1"/>
    <xf numFmtId="0" fontId="25" fillId="3" borderId="14" xfId="0" applyFont="1" applyFill="1" applyBorder="1" applyProtection="1"/>
    <xf numFmtId="164" fontId="25" fillId="3" borderId="0" xfId="0" applyNumberFormat="1" applyFont="1" applyFill="1" applyBorder="1" applyProtection="1"/>
    <xf numFmtId="0" fontId="25" fillId="0" borderId="0" xfId="0" applyFont="1" applyFill="1" applyBorder="1" applyProtection="1"/>
    <xf numFmtId="0" fontId="36" fillId="0" borderId="0" xfId="0" applyFont="1" applyFill="1" applyProtection="1"/>
    <xf numFmtId="164" fontId="3" fillId="11" borderId="5" xfId="0" applyNumberFormat="1" applyFont="1" applyFill="1" applyBorder="1" applyAlignment="1" applyProtection="1">
      <alignment horizontal="center"/>
      <protection locked="0"/>
    </xf>
    <xf numFmtId="0" fontId="3" fillId="0" borderId="13" xfId="0" applyFont="1" applyFill="1" applyBorder="1" applyAlignment="1" applyProtection="1">
      <alignment horizontal="right" vertical="center"/>
    </xf>
    <xf numFmtId="167" fontId="3" fillId="0" borderId="13" xfId="0" applyNumberFormat="1" applyFont="1" applyFill="1" applyBorder="1" applyAlignment="1" applyProtection="1">
      <alignment horizontal="right" vertical="center"/>
      <protection locked="0"/>
    </xf>
    <xf numFmtId="0" fontId="3" fillId="0" borderId="24" xfId="0" applyFont="1" applyFill="1" applyBorder="1" applyAlignment="1">
      <alignment horizontal="center" wrapText="1"/>
    </xf>
    <xf numFmtId="164" fontId="3" fillId="11" borderId="8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alignment horizontal="right"/>
      <protection locked="0"/>
    </xf>
    <xf numFmtId="164" fontId="3" fillId="11" borderId="11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protection locked="0"/>
    </xf>
    <xf numFmtId="164" fontId="4" fillId="0" borderId="6" xfId="0" applyNumberFormat="1" applyFont="1" applyFill="1" applyBorder="1"/>
    <xf numFmtId="1" fontId="4" fillId="0" borderId="6" xfId="0" applyNumberFormat="1" applyFont="1" applyFill="1" applyBorder="1" applyAlignment="1">
      <alignment horizontal="center"/>
    </xf>
    <xf numFmtId="164" fontId="25" fillId="0" borderId="0" xfId="0" applyNumberFormat="1" applyFont="1" applyFill="1" applyBorder="1" applyProtection="1"/>
    <xf numFmtId="164" fontId="4" fillId="0" borderId="21" xfId="0" applyNumberFormat="1" applyFont="1" applyFill="1" applyBorder="1" applyProtection="1"/>
    <xf numFmtId="0" fontId="25" fillId="0" borderId="14" xfId="0" applyFont="1" applyFill="1" applyBorder="1" applyProtection="1"/>
    <xf numFmtId="2" fontId="3" fillId="0" borderId="23" xfId="0" applyNumberFormat="1" applyFont="1" applyFill="1" applyBorder="1" applyProtection="1"/>
    <xf numFmtId="0" fontId="12" fillId="11" borderId="8" xfId="0" applyFont="1" applyFill="1" applyBorder="1" applyAlignment="1" applyProtection="1">
      <alignment horizontal="right"/>
      <protection locked="0"/>
    </xf>
    <xf numFmtId="0" fontId="12" fillId="11" borderId="3" xfId="0" applyFont="1" applyFill="1" applyBorder="1" applyAlignment="1" applyProtection="1">
      <alignment horizontal="right"/>
      <protection locked="0"/>
    </xf>
    <xf numFmtId="0" fontId="3" fillId="0" borderId="9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11" borderId="3" xfId="0" applyFont="1" applyFill="1" applyBorder="1" applyAlignment="1" applyProtection="1">
      <alignment horizontal="right"/>
      <protection locked="0"/>
    </xf>
    <xf numFmtId="164" fontId="4" fillId="0" borderId="24" xfId="0" applyNumberFormat="1" applyFont="1" applyFill="1" applyBorder="1" applyProtection="1"/>
    <xf numFmtId="0" fontId="25" fillId="0" borderId="0" xfId="0" applyFont="1" applyFill="1" applyProtection="1"/>
    <xf numFmtId="0" fontId="37" fillId="3" borderId="0" xfId="0" applyFont="1" applyFill="1" applyProtection="1"/>
    <xf numFmtId="164" fontId="4" fillId="0" borderId="0" xfId="0" applyNumberFormat="1" applyFont="1" applyFill="1" applyBorder="1" applyProtection="1"/>
    <xf numFmtId="1" fontId="4" fillId="0" borderId="0" xfId="0" applyNumberFormat="1" applyFont="1" applyFill="1" applyBorder="1" applyAlignment="1" applyProtection="1">
      <alignment horizontal="center"/>
    </xf>
    <xf numFmtId="164" fontId="4" fillId="0" borderId="6" xfId="0" applyNumberFormat="1" applyFont="1" applyFill="1" applyBorder="1" applyProtection="1"/>
    <xf numFmtId="1" fontId="4" fillId="0" borderId="6" xfId="0" applyNumberFormat="1" applyFont="1" applyFill="1" applyBorder="1" applyAlignment="1" applyProtection="1">
      <alignment horizontal="center"/>
    </xf>
    <xf numFmtId="0" fontId="36" fillId="0" borderId="0" xfId="0" applyFont="1" applyFill="1" applyBorder="1" applyProtection="1"/>
    <xf numFmtId="0" fontId="4" fillId="3" borderId="21" xfId="0" applyFont="1" applyFill="1" applyBorder="1" applyProtection="1"/>
    <xf numFmtId="164" fontId="4" fillId="10" borderId="21" xfId="0" applyNumberFormat="1" applyFont="1" applyFill="1" applyBorder="1" applyProtection="1"/>
    <xf numFmtId="164" fontId="4" fillId="10" borderId="21" xfId="0" applyNumberFormat="1" applyFont="1" applyFill="1" applyBorder="1"/>
    <xf numFmtId="0" fontId="4" fillId="10" borderId="21" xfId="0" applyFont="1" applyFill="1" applyBorder="1" applyProtection="1"/>
    <xf numFmtId="0" fontId="4" fillId="0" borderId="6" xfId="0" applyFont="1" applyFill="1" applyBorder="1" applyAlignment="1" applyProtection="1">
      <alignment horizontal="left" vertical="top" wrapText="1"/>
    </xf>
    <xf numFmtId="0" fontId="4" fillId="0" borderId="21" xfId="0" applyFont="1" applyFill="1" applyBorder="1" applyAlignment="1" applyProtection="1"/>
    <xf numFmtId="2" fontId="4" fillId="0" borderId="5" xfId="0" applyNumberFormat="1" applyFont="1" applyFill="1" applyBorder="1" applyProtection="1"/>
    <xf numFmtId="0" fontId="4" fillId="0" borderId="13" xfId="0" applyFont="1" applyFill="1" applyBorder="1" applyAlignment="1">
      <alignment horizontal="center" wrapText="1"/>
    </xf>
    <xf numFmtId="0" fontId="15" fillId="0" borderId="14" xfId="0" applyFont="1" applyBorder="1"/>
    <xf numFmtId="0" fontId="4" fillId="0" borderId="9" xfId="0" applyFont="1" applyFill="1" applyBorder="1" applyProtection="1"/>
    <xf numFmtId="164" fontId="4" fillId="12" borderId="21" xfId="0" applyNumberFormat="1" applyFont="1" applyFill="1" applyBorder="1" applyProtection="1"/>
    <xf numFmtId="2" fontId="3" fillId="0" borderId="21" xfId="0" applyNumberFormat="1" applyFont="1" applyFill="1" applyBorder="1" applyProtection="1"/>
    <xf numFmtId="164" fontId="4" fillId="10" borderId="6" xfId="0" applyNumberFormat="1" applyFont="1" applyFill="1" applyBorder="1" applyProtection="1"/>
    <xf numFmtId="2" fontId="3" fillId="0" borderId="3" xfId="0" applyNumberFormat="1" applyFont="1" applyFill="1" applyBorder="1" applyAlignment="1" applyProtection="1">
      <alignment horizontal="center"/>
    </xf>
    <xf numFmtId="2" fontId="3" fillId="0" borderId="10" xfId="0" applyNumberFormat="1" applyFont="1" applyFill="1" applyBorder="1" applyAlignment="1" applyProtection="1">
      <alignment horizontal="center"/>
    </xf>
    <xf numFmtId="2" fontId="3" fillId="0" borderId="16" xfId="0" applyNumberFormat="1" applyFont="1" applyFill="1" applyBorder="1" applyAlignment="1" applyProtection="1">
      <alignment horizontal="center"/>
    </xf>
    <xf numFmtId="2" fontId="3" fillId="0" borderId="11" xfId="0" applyNumberFormat="1" applyFont="1" applyFill="1" applyBorder="1" applyAlignment="1" applyProtection="1">
      <alignment horizontal="center"/>
    </xf>
    <xf numFmtId="164" fontId="4" fillId="7" borderId="21" xfId="0" applyNumberFormat="1" applyFont="1" applyFill="1" applyBorder="1"/>
    <xf numFmtId="0" fontId="37" fillId="0" borderId="0" xfId="0" applyFont="1" applyFill="1" applyBorder="1" applyProtection="1"/>
    <xf numFmtId="164" fontId="14" fillId="0" borderId="0" xfId="0" applyNumberFormat="1" applyFont="1" applyProtection="1"/>
    <xf numFmtId="0" fontId="37" fillId="3" borderId="0" xfId="0" applyFont="1" applyFill="1" applyBorder="1" applyProtection="1"/>
    <xf numFmtId="0" fontId="37" fillId="3" borderId="10" xfId="0" applyFont="1" applyFill="1" applyBorder="1" applyProtection="1"/>
    <xf numFmtId="1" fontId="37" fillId="0" borderId="0" xfId="0" applyNumberFormat="1" applyFont="1" applyFill="1" applyBorder="1"/>
    <xf numFmtId="0" fontId="37" fillId="0" borderId="0" xfId="0" applyFont="1" applyFill="1" applyBorder="1"/>
    <xf numFmtId="0" fontId="37" fillId="0" borderId="0" xfId="0" applyFont="1" applyFill="1"/>
    <xf numFmtId="0" fontId="37" fillId="0" borderId="0" xfId="0" applyFont="1" applyFill="1" applyProtection="1"/>
    <xf numFmtId="164" fontId="37" fillId="0" borderId="0" xfId="0" applyNumberFormat="1" applyFont="1" applyFill="1" applyBorder="1" applyProtection="1"/>
    <xf numFmtId="164" fontId="37" fillId="0" borderId="10" xfId="0" applyNumberFormat="1" applyFont="1" applyFill="1" applyBorder="1" applyProtection="1"/>
    <xf numFmtId="2" fontId="3" fillId="11" borderId="21" xfId="0" applyNumberFormat="1" applyFont="1" applyFill="1" applyBorder="1" applyAlignment="1" applyProtection="1">
      <alignment vertical="center"/>
      <protection locked="0"/>
    </xf>
    <xf numFmtId="164" fontId="38" fillId="0" borderId="0" xfId="0" applyNumberFormat="1" applyFont="1"/>
    <xf numFmtId="0" fontId="35" fillId="0" borderId="0" xfId="0" applyFont="1" applyFill="1" applyBorder="1" applyAlignment="1" applyProtection="1">
      <alignment horizontal="center"/>
      <protection locked="0"/>
    </xf>
    <xf numFmtId="0" fontId="36" fillId="0" borderId="0" xfId="0" applyFont="1" applyFill="1" applyBorder="1" applyAlignment="1" applyProtection="1">
      <alignment horizontal="center"/>
      <protection locked="0"/>
    </xf>
    <xf numFmtId="1" fontId="36" fillId="0" borderId="0" xfId="0" applyNumberFormat="1" applyFont="1" applyFill="1" applyBorder="1" applyAlignment="1" applyProtection="1">
      <alignment horizontal="center"/>
      <protection locked="0"/>
    </xf>
    <xf numFmtId="0" fontId="9" fillId="0" borderId="5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>
      <alignment horizontal="right"/>
    </xf>
    <xf numFmtId="1" fontId="3" fillId="11" borderId="8" xfId="0" applyNumberFormat="1" applyFont="1" applyFill="1" applyBorder="1" applyAlignment="1" applyProtection="1">
      <alignment vertical="center"/>
      <protection locked="0"/>
    </xf>
    <xf numFmtId="1" fontId="3" fillId="11" borderId="3" xfId="0" applyNumberFormat="1" applyFont="1" applyFill="1" applyBorder="1" applyAlignment="1" applyProtection="1">
      <alignment vertical="center"/>
      <protection locked="0"/>
    </xf>
    <xf numFmtId="1" fontId="3" fillId="11" borderId="11" xfId="0" applyNumberFormat="1" applyFont="1" applyFill="1" applyBorder="1" applyAlignment="1" applyProtection="1">
      <alignment vertical="center"/>
      <protection locked="0"/>
    </xf>
    <xf numFmtId="0" fontId="0" fillId="0" borderId="24" xfId="0" applyFill="1" applyBorder="1" applyProtection="1"/>
    <xf numFmtId="2" fontId="12" fillId="0" borderId="23" xfId="0" applyNumberFormat="1" applyFont="1" applyFill="1" applyBorder="1" applyProtection="1"/>
    <xf numFmtId="2" fontId="12" fillId="0" borderId="13" xfId="0" applyNumberFormat="1" applyFont="1" applyBorder="1" applyProtection="1"/>
    <xf numFmtId="0" fontId="12" fillId="0" borderId="8" xfId="0" applyFont="1" applyBorder="1" applyAlignment="1">
      <alignment horizontal="right"/>
    </xf>
    <xf numFmtId="0" fontId="12" fillId="0" borderId="3" xfId="0" applyFont="1" applyBorder="1" applyAlignment="1">
      <alignment horizontal="right"/>
    </xf>
    <xf numFmtId="0" fontId="12" fillId="0" borderId="11" xfId="0" applyFont="1" applyBorder="1" applyAlignment="1">
      <alignment horizontal="right"/>
    </xf>
    <xf numFmtId="2" fontId="3" fillId="0" borderId="0" xfId="0" applyNumberFormat="1" applyFont="1" applyFill="1" applyBorder="1" applyProtection="1">
      <protection locked="0"/>
    </xf>
    <xf numFmtId="165" fontId="3" fillId="0" borderId="16" xfId="0" applyNumberFormat="1" applyFont="1" applyFill="1" applyBorder="1" applyAlignment="1" applyProtection="1">
      <alignment horizontal="left" vertical="top" wrapText="1"/>
    </xf>
    <xf numFmtId="167" fontId="3" fillId="11" borderId="11" xfId="0" applyNumberFormat="1" applyFont="1" applyFill="1" applyBorder="1" applyAlignment="1" applyProtection="1">
      <alignment vertical="center"/>
      <protection locked="0"/>
    </xf>
    <xf numFmtId="0" fontId="12" fillId="0" borderId="1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3" fillId="11" borderId="5" xfId="0" applyFont="1" applyFill="1" applyBorder="1" applyAlignment="1" applyProtection="1">
      <alignment horizontal="center"/>
      <protection locked="0"/>
    </xf>
    <xf numFmtId="164" fontId="3" fillId="11" borderId="18" xfId="0" applyNumberFormat="1" applyFont="1" applyFill="1" applyBorder="1" applyAlignment="1" applyProtection="1">
      <alignment horizont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16" xfId="0" applyFont="1" applyBorder="1" applyAlignment="1" applyProtection="1">
      <alignment horizontal="center"/>
    </xf>
    <xf numFmtId="0" fontId="12" fillId="0" borderId="14" xfId="0" applyFont="1" applyBorder="1" applyAlignment="1" applyProtection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13" xfId="0" applyFont="1" applyFill="1" applyBorder="1" applyAlignment="1">
      <alignment horizontal="left"/>
    </xf>
    <xf numFmtId="0" fontId="0" fillId="0" borderId="13" xfId="0" applyBorder="1"/>
    <xf numFmtId="0" fontId="4" fillId="0" borderId="14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64" fontId="4" fillId="0" borderId="0" xfId="2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2" fontId="4" fillId="0" borderId="0" xfId="2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4" fontId="12" fillId="0" borderId="0" xfId="0" applyNumberFormat="1" applyFont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0" fontId="15" fillId="0" borderId="0" xfId="0" applyFont="1" applyFill="1" applyAlignment="1">
      <alignment horizontal="left"/>
    </xf>
    <xf numFmtId="2" fontId="3" fillId="0" borderId="3" xfId="0" applyNumberFormat="1" applyFont="1" applyFill="1" applyBorder="1"/>
    <xf numFmtId="0" fontId="38" fillId="0" borderId="0" xfId="0" applyFont="1"/>
    <xf numFmtId="2" fontId="12" fillId="8" borderId="0" xfId="0" applyNumberFormat="1" applyFont="1" applyFill="1" applyBorder="1" applyAlignment="1">
      <alignment horizontal="center"/>
    </xf>
    <xf numFmtId="2" fontId="12" fillId="8" borderId="13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2" fillId="8" borderId="13" xfId="0" applyFont="1" applyFill="1" applyBorder="1" applyAlignment="1">
      <alignment horizontal="center"/>
    </xf>
    <xf numFmtId="2" fontId="12" fillId="8" borderId="0" xfId="0" applyNumberFormat="1" applyFont="1" applyFill="1" applyAlignment="1">
      <alignment horizontal="center"/>
    </xf>
    <xf numFmtId="2" fontId="3" fillId="8" borderId="5" xfId="0" applyNumberFormat="1" applyFont="1" applyFill="1" applyBorder="1" applyAlignment="1" applyProtection="1">
      <alignment horizontal="center"/>
      <protection locked="0"/>
    </xf>
    <xf numFmtId="2" fontId="12" fillId="8" borderId="5" xfId="0" applyNumberFormat="1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5" xfId="0" applyFont="1" applyBorder="1" applyAlignment="1">
      <alignment horizontal="left"/>
    </xf>
    <xf numFmtId="10" fontId="0" fillId="11" borderId="5" xfId="0" applyNumberFormat="1" applyFill="1" applyBorder="1"/>
    <xf numFmtId="2" fontId="12" fillId="8" borderId="9" xfId="0" applyNumberFormat="1" applyFont="1" applyFill="1" applyBorder="1" applyAlignment="1">
      <alignment horizontal="center"/>
    </xf>
    <xf numFmtId="2" fontId="12" fillId="0" borderId="24" xfId="0" applyNumberFormat="1" applyFont="1" applyFill="1" applyBorder="1" applyAlignment="1">
      <alignment horizontal="center"/>
    </xf>
    <xf numFmtId="0" fontId="12" fillId="8" borderId="10" xfId="0" applyFont="1" applyFill="1" applyBorder="1"/>
    <xf numFmtId="0" fontId="12" fillId="8" borderId="9" xfId="0" applyFont="1" applyFill="1" applyBorder="1"/>
    <xf numFmtId="0" fontId="12" fillId="8" borderId="24" xfId="0" applyFont="1" applyFill="1" applyBorder="1"/>
    <xf numFmtId="0" fontId="3" fillId="8" borderId="16" xfId="0" applyFont="1" applyFill="1" applyBorder="1" applyAlignment="1" applyProtection="1">
      <alignment horizontal="center" wrapText="1"/>
    </xf>
    <xf numFmtId="0" fontId="3" fillId="8" borderId="0" xfId="0" applyFont="1" applyFill="1" applyBorder="1" applyAlignment="1" applyProtection="1">
      <alignment horizontal="center" wrapText="1"/>
    </xf>
    <xf numFmtId="0" fontId="12" fillId="8" borderId="0" xfId="0" applyFont="1" applyFill="1" applyBorder="1" applyAlignment="1">
      <alignment horizontal="center" wrapText="1"/>
    </xf>
    <xf numFmtId="0" fontId="12" fillId="8" borderId="22" xfId="0" applyFont="1" applyFill="1" applyBorder="1" applyAlignment="1">
      <alignment horizontal="center" wrapText="1"/>
    </xf>
    <xf numFmtId="0" fontId="3" fillId="8" borderId="14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/>
    <xf numFmtId="0" fontId="12" fillId="8" borderId="23" xfId="0" applyFont="1" applyFill="1" applyBorder="1" applyAlignment="1">
      <alignment horizontal="center"/>
    </xf>
    <xf numFmtId="0" fontId="12" fillId="8" borderId="10" xfId="0" applyFont="1" applyFill="1" applyBorder="1" applyAlignment="1">
      <alignment horizontal="center"/>
    </xf>
    <xf numFmtId="2" fontId="12" fillId="8" borderId="24" xfId="0" applyNumberFormat="1" applyFont="1" applyFill="1" applyBorder="1" applyAlignment="1">
      <alignment horizontal="center"/>
    </xf>
    <xf numFmtId="0" fontId="12" fillId="8" borderId="16" xfId="0" applyFont="1" applyFill="1" applyBorder="1" applyAlignment="1">
      <alignment horizontal="center"/>
    </xf>
    <xf numFmtId="2" fontId="12" fillId="8" borderId="22" xfId="0" applyNumberFormat="1" applyFont="1" applyFill="1" applyBorder="1" applyAlignment="1">
      <alignment horizontal="center"/>
    </xf>
    <xf numFmtId="0" fontId="12" fillId="8" borderId="14" xfId="0" applyFont="1" applyFill="1" applyBorder="1" applyAlignment="1">
      <alignment horizontal="center"/>
    </xf>
    <xf numFmtId="2" fontId="12" fillId="8" borderId="23" xfId="0" applyNumberFormat="1" applyFont="1" applyFill="1" applyBorder="1" applyAlignment="1">
      <alignment horizontal="center"/>
    </xf>
    <xf numFmtId="2" fontId="12" fillId="8" borderId="16" xfId="0" applyNumberFormat="1" applyFont="1" applyFill="1" applyBorder="1" applyAlignment="1">
      <alignment horizontal="center"/>
    </xf>
    <xf numFmtId="2" fontId="12" fillId="8" borderId="14" xfId="0" applyNumberFormat="1" applyFont="1" applyFill="1" applyBorder="1" applyAlignment="1">
      <alignment horizontal="center"/>
    </xf>
    <xf numFmtId="0" fontId="3" fillId="8" borderId="0" xfId="0" applyFont="1" applyFill="1" applyBorder="1" applyAlignment="1" applyProtection="1">
      <alignment horizontal="left" wrapText="1"/>
    </xf>
    <xf numFmtId="165" fontId="5" fillId="8" borderId="0" xfId="0" applyNumberFormat="1" applyFont="1" applyFill="1" applyBorder="1" applyAlignment="1" applyProtection="1">
      <alignment horizontal="left" wrapText="1"/>
    </xf>
    <xf numFmtId="0" fontId="3" fillId="8" borderId="16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/>
    <xf numFmtId="0" fontId="12" fillId="8" borderId="22" xfId="0" applyFont="1" applyFill="1" applyBorder="1" applyAlignment="1">
      <alignment horizontal="center"/>
    </xf>
    <xf numFmtId="0" fontId="3" fillId="8" borderId="10" xfId="0" applyFont="1" applyFill="1" applyBorder="1" applyAlignment="1" applyProtection="1">
      <alignment horizontal="center" wrapText="1"/>
    </xf>
    <xf numFmtId="0" fontId="3" fillId="8" borderId="9" xfId="0" applyFont="1" applyFill="1" applyBorder="1" applyAlignment="1" applyProtection="1">
      <alignment horizontal="center" wrapText="1"/>
    </xf>
    <xf numFmtId="0" fontId="12" fillId="8" borderId="9" xfId="0" applyFont="1" applyFill="1" applyBorder="1" applyAlignment="1">
      <alignment horizontal="center" wrapText="1"/>
    </xf>
    <xf numFmtId="0" fontId="3" fillId="8" borderId="9" xfId="0" applyFont="1" applyFill="1" applyBorder="1" applyAlignment="1" applyProtection="1">
      <alignment horizontal="left" wrapText="1"/>
    </xf>
    <xf numFmtId="165" fontId="5" fillId="8" borderId="9" xfId="0" applyNumberFormat="1" applyFont="1" applyFill="1" applyBorder="1" applyAlignment="1" applyProtection="1">
      <alignment horizontal="left" wrapText="1"/>
    </xf>
    <xf numFmtId="0" fontId="12" fillId="8" borderId="24" xfId="0" applyFont="1" applyFill="1" applyBorder="1" applyAlignment="1">
      <alignment horizontal="center" wrapText="1"/>
    </xf>
    <xf numFmtId="0" fontId="12" fillId="8" borderId="18" xfId="0" applyFont="1" applyFill="1" applyBorder="1"/>
    <xf numFmtId="0" fontId="12" fillId="8" borderId="6" xfId="0" applyFont="1" applyFill="1" applyBorder="1"/>
    <xf numFmtId="0" fontId="12" fillId="8" borderId="21" xfId="0" applyFont="1" applyFill="1" applyBorder="1"/>
    <xf numFmtId="2" fontId="12" fillId="8" borderId="10" xfId="0" applyNumberFormat="1" applyFont="1" applyFill="1" applyBorder="1" applyAlignment="1">
      <alignment horizontal="center"/>
    </xf>
    <xf numFmtId="2" fontId="3" fillId="8" borderId="1" xfId="0" applyNumberFormat="1" applyFont="1" applyFill="1" applyBorder="1" applyProtection="1"/>
    <xf numFmtId="164" fontId="3" fillId="8" borderId="5" xfId="0" applyNumberFormat="1" applyFont="1" applyFill="1" applyBorder="1" applyAlignment="1" applyProtection="1">
      <alignment horizontal="center"/>
      <protection locked="0"/>
    </xf>
    <xf numFmtId="0" fontId="0" fillId="8" borderId="0" xfId="0" applyFill="1"/>
    <xf numFmtId="0" fontId="3" fillId="8" borderId="18" xfId="0" applyFont="1" applyFill="1" applyBorder="1"/>
    <xf numFmtId="0" fontId="20" fillId="8" borderId="13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/>
    </xf>
    <xf numFmtId="1" fontId="3" fillId="8" borderId="5" xfId="0" applyNumberFormat="1" applyFont="1" applyFill="1" applyBorder="1" applyProtection="1"/>
    <xf numFmtId="164" fontId="3" fillId="8" borderId="5" xfId="0" applyNumberFormat="1" applyFont="1" applyFill="1" applyBorder="1" applyProtection="1"/>
    <xf numFmtId="1" fontId="12" fillId="0" borderId="16" xfId="0" applyNumberFormat="1" applyFont="1" applyFill="1" applyBorder="1" applyAlignment="1">
      <alignment horizontal="right"/>
    </xf>
    <xf numFmtId="1" fontId="12" fillId="0" borderId="0" xfId="0" applyNumberFormat="1" applyFont="1" applyFill="1" applyBorder="1" applyAlignment="1">
      <alignment horizontal="right"/>
    </xf>
    <xf numFmtId="1" fontId="12" fillId="0" borderId="22" xfId="0" applyNumberFormat="1" applyFont="1" applyFill="1" applyBorder="1" applyAlignment="1">
      <alignment horizontal="right"/>
    </xf>
    <xf numFmtId="1" fontId="12" fillId="0" borderId="14" xfId="0" applyNumberFormat="1" applyFont="1" applyFill="1" applyBorder="1" applyAlignment="1">
      <alignment horizontal="right"/>
    </xf>
    <xf numFmtId="1" fontId="12" fillId="0" borderId="13" xfId="0" applyNumberFormat="1" applyFont="1" applyFill="1" applyBorder="1" applyAlignment="1">
      <alignment horizontal="right"/>
    </xf>
    <xf numFmtId="1" fontId="12" fillId="0" borderId="23" xfId="0" applyNumberFormat="1" applyFont="1" applyFill="1" applyBorder="1" applyAlignment="1">
      <alignment horizontal="right"/>
    </xf>
    <xf numFmtId="1" fontId="12" fillId="0" borderId="9" xfId="0" applyNumberFormat="1" applyFont="1" applyFill="1" applyBorder="1" applyAlignment="1">
      <alignment horizontal="right"/>
    </xf>
    <xf numFmtId="2" fontId="3" fillId="8" borderId="2" xfId="0" applyNumberFormat="1" applyFont="1" applyFill="1" applyBorder="1" applyProtection="1"/>
    <xf numFmtId="164" fontId="0" fillId="0" borderId="0" xfId="0" applyNumberFormat="1"/>
    <xf numFmtId="164" fontId="12" fillId="11" borderId="8" xfId="0" applyNumberFormat="1" applyFont="1" applyFill="1" applyBorder="1"/>
    <xf numFmtId="164" fontId="12" fillId="11" borderId="3" xfId="0" applyNumberFormat="1" applyFont="1" applyFill="1" applyBorder="1"/>
    <xf numFmtId="164" fontId="12" fillId="11" borderId="11" xfId="0" applyNumberFormat="1" applyFont="1" applyFill="1" applyBorder="1"/>
    <xf numFmtId="0" fontId="37" fillId="0" borderId="14" xfId="0" applyFont="1" applyFill="1" applyBorder="1" applyProtection="1"/>
    <xf numFmtId="0" fontId="25" fillId="0" borderId="16" xfId="0" applyFont="1" applyFill="1" applyBorder="1" applyProtection="1"/>
    <xf numFmtId="0" fontId="3" fillId="0" borderId="9" xfId="0" applyFont="1" applyFill="1" applyBorder="1" applyAlignment="1">
      <alignment horizontal="center"/>
    </xf>
    <xf numFmtId="0" fontId="12" fillId="0" borderId="1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/>
    </xf>
    <xf numFmtId="0" fontId="12" fillId="0" borderId="1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left" vertical="center"/>
    </xf>
    <xf numFmtId="0" fontId="3" fillId="0" borderId="9" xfId="0" applyFont="1" applyFill="1" applyBorder="1"/>
    <xf numFmtId="0" fontId="3" fillId="8" borderId="9" xfId="0" applyFont="1" applyFill="1" applyBorder="1" applyAlignment="1"/>
    <xf numFmtId="0" fontId="12" fillId="0" borderId="24" xfId="0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horizontal="center"/>
    </xf>
    <xf numFmtId="0" fontId="12" fillId="0" borderId="8" xfId="0" applyFont="1" applyBorder="1" applyAlignment="1" applyProtection="1">
      <alignment horizontal="center"/>
    </xf>
    <xf numFmtId="0" fontId="12" fillId="0" borderId="3" xfId="0" applyFont="1" applyBorder="1" applyAlignment="1" applyProtection="1">
      <alignment horizontal="center"/>
    </xf>
    <xf numFmtId="0" fontId="12" fillId="0" borderId="11" xfId="0" applyFont="1" applyBorder="1" applyAlignment="1" applyProtection="1">
      <alignment horizontal="center"/>
    </xf>
    <xf numFmtId="1" fontId="39" fillId="0" borderId="3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164" fontId="3" fillId="0" borderId="22" xfId="0" applyNumberFormat="1" applyFont="1" applyFill="1" applyBorder="1" applyProtection="1"/>
    <xf numFmtId="164" fontId="3" fillId="0" borderId="23" xfId="0" applyNumberFormat="1" applyFont="1" applyFill="1" applyBorder="1" applyProtection="1"/>
    <xf numFmtId="164" fontId="3" fillId="0" borderId="24" xfId="0" applyNumberFormat="1" applyFont="1" applyFill="1" applyBorder="1" applyProtection="1"/>
    <xf numFmtId="164" fontId="0" fillId="0" borderId="22" xfId="0" applyNumberFormat="1" applyFill="1" applyBorder="1" applyProtection="1"/>
    <xf numFmtId="164" fontId="0" fillId="0" borderId="0" xfId="0" applyNumberFormat="1" applyFill="1" applyProtection="1"/>
    <xf numFmtId="164" fontId="0" fillId="0" borderId="0" xfId="0" applyNumberFormat="1" applyFill="1" applyBorder="1" applyProtection="1"/>
    <xf numFmtId="164" fontId="4" fillId="0" borderId="18" xfId="0" applyNumberFormat="1" applyFont="1" applyFill="1" applyBorder="1"/>
    <xf numFmtId="164" fontId="3" fillId="0" borderId="22" xfId="0" applyNumberFormat="1" applyFont="1" applyFill="1" applyBorder="1"/>
    <xf numFmtId="164" fontId="3" fillId="0" borderId="0" xfId="0" applyNumberFormat="1" applyFont="1" applyFill="1" applyBorder="1"/>
    <xf numFmtId="164" fontId="37" fillId="0" borderId="0" xfId="0" applyNumberFormat="1" applyFont="1" applyFill="1" applyBorder="1"/>
    <xf numFmtId="164" fontId="4" fillId="0" borderId="21" xfId="0" applyNumberFormat="1" applyFont="1" applyFill="1" applyBorder="1"/>
    <xf numFmtId="164" fontId="3" fillId="0" borderId="21" xfId="0" applyNumberFormat="1" applyFont="1" applyFill="1" applyBorder="1" applyProtection="1"/>
    <xf numFmtId="0" fontId="12" fillId="0" borderId="1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1" fontId="12" fillId="0" borderId="16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1" fontId="12" fillId="0" borderId="22" xfId="0" applyNumberFormat="1" applyFont="1" applyFill="1" applyBorder="1" applyAlignment="1">
      <alignment horizontal="center"/>
    </xf>
    <xf numFmtId="1" fontId="12" fillId="0" borderId="14" xfId="0" applyNumberFormat="1" applyFont="1" applyFill="1" applyBorder="1" applyAlignment="1">
      <alignment horizontal="center"/>
    </xf>
    <xf numFmtId="1" fontId="12" fillId="0" borderId="13" xfId="0" applyNumberFormat="1" applyFont="1" applyFill="1" applyBorder="1" applyAlignment="1">
      <alignment horizontal="center"/>
    </xf>
    <xf numFmtId="1" fontId="12" fillId="0" borderId="23" xfId="0" applyNumberFormat="1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2" fontId="12" fillId="0" borderId="16" xfId="0" applyNumberFormat="1" applyFont="1" applyBorder="1" applyAlignment="1">
      <alignment horizontal="center"/>
    </xf>
    <xf numFmtId="2" fontId="12" fillId="0" borderId="14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2" fontId="12" fillId="0" borderId="24" xfId="0" applyNumberFormat="1" applyFont="1" applyBorder="1" applyAlignment="1">
      <alignment horizontal="center"/>
    </xf>
    <xf numFmtId="2" fontId="12" fillId="0" borderId="22" xfId="0" applyNumberFormat="1" applyFont="1" applyBorder="1" applyAlignment="1">
      <alignment horizontal="center"/>
    </xf>
    <xf numFmtId="2" fontId="12" fillId="0" borderId="23" xfId="0" applyNumberFormat="1" applyFont="1" applyBorder="1" applyAlignment="1">
      <alignment horizontal="center"/>
    </xf>
    <xf numFmtId="1" fontId="3" fillId="0" borderId="16" xfId="0" applyNumberFormat="1" applyFont="1" applyFill="1" applyBorder="1" applyAlignment="1">
      <alignment horizontal="right"/>
    </xf>
    <xf numFmtId="2" fontId="12" fillId="0" borderId="10" xfId="0" applyNumberFormat="1" applyFont="1" applyFill="1" applyBorder="1" applyAlignment="1">
      <alignment horizontal="center"/>
    </xf>
    <xf numFmtId="2" fontId="12" fillId="0" borderId="9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2" fontId="12" fillId="0" borderId="0" xfId="0" applyNumberFormat="1" applyFont="1" applyFill="1" applyBorder="1" applyAlignment="1">
      <alignment horizontal="right"/>
    </xf>
    <xf numFmtId="2" fontId="12" fillId="0" borderId="22" xfId="0" applyNumberFormat="1" applyFont="1" applyFill="1" applyBorder="1" applyAlignment="1">
      <alignment horizontal="right"/>
    </xf>
    <xf numFmtId="2" fontId="12" fillId="0" borderId="13" xfId="0" applyNumberFormat="1" applyFont="1" applyFill="1" applyBorder="1" applyAlignment="1">
      <alignment horizontal="right"/>
    </xf>
    <xf numFmtId="2" fontId="12" fillId="0" borderId="23" xfId="0" applyNumberFormat="1" applyFont="1" applyFill="1" applyBorder="1" applyAlignment="1">
      <alignment horizontal="right"/>
    </xf>
    <xf numFmtId="0" fontId="0" fillId="13" borderId="0" xfId="0" applyFill="1"/>
    <xf numFmtId="0" fontId="40" fillId="13" borderId="10" xfId="0" applyFont="1" applyFill="1" applyBorder="1"/>
    <xf numFmtId="0" fontId="40" fillId="13" borderId="9" xfId="0" applyFont="1" applyFill="1" applyBorder="1"/>
    <xf numFmtId="0" fontId="40" fillId="13" borderId="24" xfId="0" applyFont="1" applyFill="1" applyBorder="1"/>
    <xf numFmtId="0" fontId="41" fillId="13" borderId="16" xfId="0" applyFont="1" applyFill="1" applyBorder="1" applyAlignment="1" applyProtection="1">
      <alignment horizontal="left" vertical="center"/>
    </xf>
    <xf numFmtId="0" fontId="41" fillId="13" borderId="0" xfId="0" applyFont="1" applyFill="1" applyBorder="1" applyAlignment="1" applyProtection="1">
      <alignment horizontal="left" vertical="center"/>
    </xf>
    <xf numFmtId="0" fontId="40" fillId="13" borderId="0" xfId="0" applyFont="1" applyFill="1" applyBorder="1" applyProtection="1"/>
    <xf numFmtId="0" fontId="40" fillId="13" borderId="0" xfId="0" applyFont="1" applyFill="1" applyBorder="1"/>
    <xf numFmtId="0" fontId="40" fillId="13" borderId="22" xfId="0" applyFont="1" applyFill="1" applyBorder="1"/>
    <xf numFmtId="0" fontId="40" fillId="13" borderId="16" xfId="0" applyFont="1" applyFill="1" applyBorder="1" applyProtection="1"/>
    <xf numFmtId="0" fontId="41" fillId="13" borderId="16" xfId="0" applyFont="1" applyFill="1" applyBorder="1" applyProtection="1"/>
    <xf numFmtId="0" fontId="42" fillId="13" borderId="0" xfId="0" applyFont="1" applyFill="1" applyBorder="1" applyProtection="1"/>
    <xf numFmtId="0" fontId="42" fillId="13" borderId="16" xfId="0" applyFont="1" applyFill="1" applyBorder="1" applyProtection="1"/>
    <xf numFmtId="0" fontId="42" fillId="13" borderId="0" xfId="0" applyFont="1" applyFill="1" applyBorder="1"/>
    <xf numFmtId="2" fontId="42" fillId="13" borderId="0" xfId="0" applyNumberFormat="1" applyFont="1" applyFill="1" applyBorder="1" applyAlignment="1" applyProtection="1">
      <alignment horizontal="left" vertical="center"/>
    </xf>
    <xf numFmtId="0" fontId="42" fillId="13" borderId="0" xfId="0" applyFont="1" applyFill="1" applyBorder="1" applyAlignment="1" applyProtection="1">
      <alignment horizontal="left" vertical="center"/>
    </xf>
    <xf numFmtId="164" fontId="42" fillId="13" borderId="0" xfId="0" applyNumberFormat="1" applyFont="1" applyFill="1" applyBorder="1" applyAlignment="1" applyProtection="1">
      <alignment horizontal="left" vertical="center"/>
    </xf>
    <xf numFmtId="0" fontId="44" fillId="13" borderId="0" xfId="0" applyFont="1" applyFill="1" applyBorder="1" applyProtection="1"/>
    <xf numFmtId="164" fontId="42" fillId="13" borderId="0" xfId="0" applyNumberFormat="1" applyFont="1" applyFill="1" applyBorder="1" applyAlignment="1">
      <alignment horizontal="left"/>
    </xf>
    <xf numFmtId="0" fontId="44" fillId="13" borderId="0" xfId="1" applyFont="1" applyFill="1" applyBorder="1" applyProtection="1"/>
    <xf numFmtId="0" fontId="42" fillId="13" borderId="0" xfId="0" applyFont="1" applyFill="1" applyBorder="1" applyAlignment="1">
      <alignment horizontal="left"/>
    </xf>
    <xf numFmtId="0" fontId="45" fillId="13" borderId="0" xfId="0" applyFont="1" applyFill="1" applyBorder="1" applyProtection="1"/>
    <xf numFmtId="0" fontId="40" fillId="13" borderId="0" xfId="0" applyFont="1" applyFill="1"/>
    <xf numFmtId="0" fontId="40" fillId="13" borderId="16" xfId="0" applyFont="1" applyFill="1" applyBorder="1"/>
    <xf numFmtId="0" fontId="48" fillId="13" borderId="0" xfId="0" applyFont="1" applyFill="1" applyBorder="1" applyProtection="1"/>
    <xf numFmtId="164" fontId="44" fillId="13" borderId="0" xfId="0" applyNumberFormat="1" applyFont="1" applyFill="1" applyBorder="1" applyAlignment="1">
      <alignment horizontal="left"/>
    </xf>
    <xf numFmtId="0" fontId="44" fillId="13" borderId="0" xfId="0" applyFont="1" applyFill="1" applyBorder="1" applyAlignment="1" applyProtection="1">
      <alignment horizontal="left" vertical="center"/>
    </xf>
    <xf numFmtId="0" fontId="42" fillId="13" borderId="0" xfId="0" applyFont="1" applyFill="1" applyBorder="1" applyAlignment="1" applyProtection="1">
      <alignment horizontal="left"/>
    </xf>
    <xf numFmtId="0" fontId="40" fillId="0" borderId="14" xfId="0" applyFont="1" applyBorder="1"/>
    <xf numFmtId="0" fontId="40" fillId="13" borderId="13" xfId="0" applyFont="1" applyFill="1" applyBorder="1"/>
    <xf numFmtId="0" fontId="40" fillId="13" borderId="23" xfId="0" applyFont="1" applyFill="1" applyBorder="1"/>
    <xf numFmtId="0" fontId="50" fillId="13" borderId="8" xfId="0" applyFont="1" applyFill="1" applyBorder="1" applyAlignment="1" applyProtection="1">
      <alignment horizontal="center"/>
    </xf>
    <xf numFmtId="0" fontId="40" fillId="13" borderId="3" xfId="0" applyFont="1" applyFill="1" applyBorder="1" applyProtection="1"/>
    <xf numFmtId="0" fontId="0" fillId="13" borderId="3" xfId="0" applyFill="1" applyBorder="1"/>
    <xf numFmtId="0" fontId="0" fillId="13" borderId="11" xfId="0" applyFill="1" applyBorder="1"/>
    <xf numFmtId="0" fontId="40" fillId="13" borderId="3" xfId="0" applyFont="1" applyFill="1" applyBorder="1"/>
    <xf numFmtId="0" fontId="3" fillId="0" borderId="14" xfId="0" applyFont="1" applyFill="1" applyBorder="1" applyAlignment="1" applyProtection="1">
      <alignment horizontal="left" wrapText="1"/>
    </xf>
    <xf numFmtId="0" fontId="3" fillId="0" borderId="23" xfId="0" applyFont="1" applyFill="1" applyBorder="1" applyAlignment="1" applyProtection="1">
      <alignment horizontal="left" wrapText="1"/>
    </xf>
    <xf numFmtId="2" fontId="3" fillId="0" borderId="8" xfId="0" applyNumberFormat="1" applyFont="1" applyFill="1" applyBorder="1" applyAlignment="1" applyProtection="1">
      <alignment horizontal="left"/>
    </xf>
    <xf numFmtId="2" fontId="3" fillId="0" borderId="10" xfId="0" applyNumberFormat="1" applyFont="1" applyFill="1" applyBorder="1" applyAlignment="1" applyProtection="1">
      <alignment horizontal="left"/>
    </xf>
    <xf numFmtId="0" fontId="3" fillId="0" borderId="24" xfId="0" applyFont="1" applyFill="1" applyBorder="1" applyAlignment="1" applyProtection="1">
      <alignment horizontal="left" wrapText="1"/>
    </xf>
    <xf numFmtId="0" fontId="3" fillId="0" borderId="8" xfId="0" applyFont="1" applyFill="1" applyBorder="1" applyAlignment="1" applyProtection="1">
      <alignment horizontal="left" wrapText="1"/>
    </xf>
    <xf numFmtId="2" fontId="3" fillId="0" borderId="3" xfId="0" applyNumberFormat="1" applyFont="1" applyFill="1" applyBorder="1" applyAlignment="1" applyProtection="1">
      <alignment horizontal="left"/>
    </xf>
    <xf numFmtId="2" fontId="3" fillId="0" borderId="16" xfId="0" applyNumberFormat="1" applyFont="1" applyFill="1" applyBorder="1" applyAlignment="1" applyProtection="1">
      <alignment horizontal="left"/>
    </xf>
    <xf numFmtId="0" fontId="3" fillId="0" borderId="22" xfId="0" applyFont="1" applyFill="1" applyBorder="1" applyAlignment="1" applyProtection="1">
      <alignment horizontal="left" wrapText="1"/>
    </xf>
    <xf numFmtId="0" fontId="3" fillId="0" borderId="3" xfId="0" applyFont="1" applyFill="1" applyBorder="1" applyAlignment="1" applyProtection="1">
      <alignment horizontal="left" wrapText="1"/>
    </xf>
    <xf numFmtId="0" fontId="3" fillId="0" borderId="11" xfId="0" applyFont="1" applyFill="1" applyBorder="1" applyAlignment="1" applyProtection="1">
      <alignment horizontal="left" wrapText="1"/>
    </xf>
    <xf numFmtId="2" fontId="3" fillId="0" borderId="11" xfId="0" applyNumberFormat="1" applyFont="1" applyFill="1" applyBorder="1" applyAlignment="1" applyProtection="1">
      <alignment horizontal="left"/>
    </xf>
    <xf numFmtId="2" fontId="3" fillId="0" borderId="14" xfId="0" applyNumberFormat="1" applyFont="1" applyFill="1" applyBorder="1" applyAlignment="1" applyProtection="1">
      <alignment horizontal="left"/>
    </xf>
    <xf numFmtId="0" fontId="3" fillId="0" borderId="10" xfId="0" applyFont="1" applyFill="1" applyBorder="1" applyAlignment="1" applyProtection="1">
      <alignment horizontal="left" wrapText="1"/>
    </xf>
    <xf numFmtId="0" fontId="3" fillId="0" borderId="9" xfId="0" applyFont="1" applyFill="1" applyBorder="1" applyAlignment="1" applyProtection="1">
      <alignment horizontal="left" wrapText="1"/>
    </xf>
    <xf numFmtId="0" fontId="3" fillId="0" borderId="16" xfId="0" applyFont="1" applyFill="1" applyBorder="1" applyAlignment="1" applyProtection="1">
      <alignment horizontal="left" wrapText="1"/>
    </xf>
    <xf numFmtId="2" fontId="3" fillId="0" borderId="24" xfId="0" applyNumberFormat="1" applyFont="1" applyFill="1" applyBorder="1" applyAlignment="1" applyProtection="1">
      <alignment horizontal="left"/>
    </xf>
    <xf numFmtId="2" fontId="3" fillId="0" borderId="22" xfId="0" applyNumberFormat="1" applyFont="1" applyFill="1" applyBorder="1" applyAlignment="1" applyProtection="1">
      <alignment horizontal="left"/>
    </xf>
    <xf numFmtId="2" fontId="3" fillId="0" borderId="13" xfId="0" applyNumberFormat="1" applyFont="1" applyFill="1" applyBorder="1" applyAlignment="1" applyProtection="1">
      <alignment horizontal="left"/>
    </xf>
    <xf numFmtId="2" fontId="3" fillId="0" borderId="23" xfId="0" applyNumberFormat="1" applyFont="1" applyFill="1" applyBorder="1" applyAlignment="1" applyProtection="1">
      <alignment horizontal="left"/>
    </xf>
    <xf numFmtId="0" fontId="3" fillId="0" borderId="13" xfId="0" applyFont="1" applyFill="1" applyBorder="1" applyAlignment="1" applyProtection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left" wrapText="1"/>
    </xf>
    <xf numFmtId="2" fontId="3" fillId="0" borderId="11" xfId="0" applyNumberFormat="1" applyFont="1" applyFill="1" applyBorder="1" applyAlignment="1">
      <alignment horizontal="left"/>
    </xf>
    <xf numFmtId="2" fontId="3" fillId="0" borderId="14" xfId="0" applyNumberFormat="1" applyFont="1" applyFill="1" applyBorder="1" applyAlignment="1">
      <alignment horizontal="left"/>
    </xf>
    <xf numFmtId="0" fontId="3" fillId="0" borderId="14" xfId="0" applyFont="1" applyFill="1" applyBorder="1" applyAlignment="1">
      <alignment horizontal="left" wrapText="1"/>
    </xf>
    <xf numFmtId="2" fontId="3" fillId="0" borderId="12" xfId="0" applyNumberFormat="1" applyFont="1" applyFill="1" applyBorder="1" applyAlignment="1">
      <alignment horizontal="left"/>
    </xf>
    <xf numFmtId="0" fontId="3" fillId="0" borderId="13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2" fontId="3" fillId="0" borderId="3" xfId="0" applyNumberFormat="1" applyFont="1" applyFill="1" applyBorder="1" applyAlignment="1">
      <alignment horizontal="left"/>
    </xf>
    <xf numFmtId="2" fontId="3" fillId="0" borderId="4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 wrapText="1"/>
    </xf>
    <xf numFmtId="2" fontId="3" fillId="0" borderId="16" xfId="0" applyNumberFormat="1" applyFont="1" applyFill="1" applyBorder="1" applyAlignment="1">
      <alignment horizontal="left"/>
    </xf>
    <xf numFmtId="0" fontId="3" fillId="0" borderId="10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2" fontId="3" fillId="0" borderId="8" xfId="0" applyNumberFormat="1" applyFont="1" applyFill="1" applyBorder="1" applyAlignment="1">
      <alignment horizontal="left"/>
    </xf>
    <xf numFmtId="2" fontId="3" fillId="0" borderId="32" xfId="0" applyNumberFormat="1" applyFont="1" applyFill="1" applyBorder="1" applyAlignment="1">
      <alignment horizontal="left"/>
    </xf>
    <xf numFmtId="0" fontId="3" fillId="0" borderId="8" xfId="0" applyFont="1" applyFill="1" applyBorder="1" applyAlignment="1">
      <alignment horizontal="left" wrapText="1"/>
    </xf>
    <xf numFmtId="2" fontId="3" fillId="0" borderId="10" xfId="0" applyNumberFormat="1" applyFont="1" applyFill="1" applyBorder="1" applyAlignment="1">
      <alignment horizontal="left"/>
    </xf>
    <xf numFmtId="0" fontId="3" fillId="0" borderId="9" xfId="0" applyFont="1" applyFill="1" applyBorder="1" applyAlignment="1">
      <alignment horizontal="left" wrapText="1"/>
    </xf>
    <xf numFmtId="0" fontId="3" fillId="0" borderId="18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0" fontId="3" fillId="0" borderId="10" xfId="0" applyFont="1" applyFill="1" applyBorder="1" applyAlignment="1" applyProtection="1">
      <alignment horizontal="center" textRotation="90"/>
    </xf>
    <xf numFmtId="0" fontId="3" fillId="0" borderId="16" xfId="0" applyFont="1" applyFill="1" applyBorder="1" applyAlignment="1" applyProtection="1">
      <alignment horizontal="center" textRotation="90"/>
    </xf>
    <xf numFmtId="0" fontId="3" fillId="0" borderId="3" xfId="0" applyFont="1" applyFill="1" applyBorder="1" applyAlignment="1" applyProtection="1">
      <alignment horizontal="center" textRotation="90"/>
    </xf>
    <xf numFmtId="0" fontId="3" fillId="0" borderId="8" xfId="0" applyFont="1" applyFill="1" applyBorder="1" applyAlignment="1" applyProtection="1">
      <alignment horizontal="right" vertical="center" wrapText="1"/>
    </xf>
    <xf numFmtId="0" fontId="3" fillId="0" borderId="3" xfId="0" applyFont="1" applyFill="1" applyBorder="1" applyAlignment="1" applyProtection="1">
      <alignment horizontal="right" vertical="center" wrapText="1"/>
    </xf>
    <xf numFmtId="0" fontId="3" fillId="0" borderId="10" xfId="0" applyFont="1" applyFill="1" applyBorder="1" applyAlignment="1" applyProtection="1">
      <alignment horizontal="right" vertical="center" wrapText="1"/>
    </xf>
    <xf numFmtId="0" fontId="0" fillId="0" borderId="16" xfId="0" applyFont="1" applyFill="1" applyBorder="1" applyAlignment="1" applyProtection="1">
      <alignment horizontal="right" vertical="center"/>
    </xf>
    <xf numFmtId="0" fontId="3" fillId="0" borderId="8" xfId="0" applyFont="1" applyFill="1" applyBorder="1" applyAlignment="1" applyProtection="1">
      <alignment horizontal="center" textRotation="90"/>
    </xf>
    <xf numFmtId="0" fontId="3" fillId="0" borderId="11" xfId="0" applyFont="1" applyFill="1" applyBorder="1" applyAlignment="1" applyProtection="1">
      <alignment horizontal="center" textRotation="90"/>
    </xf>
    <xf numFmtId="0" fontId="3" fillId="0" borderId="9" xfId="0" applyFont="1" applyFill="1" applyBorder="1" applyAlignment="1" applyProtection="1">
      <alignment horizontal="center"/>
    </xf>
    <xf numFmtId="0" fontId="3" fillId="0" borderId="24" xfId="0" applyFont="1" applyFill="1" applyBorder="1" applyAlignment="1" applyProtection="1">
      <alignment horizontal="center"/>
    </xf>
    <xf numFmtId="0" fontId="3" fillId="0" borderId="31" xfId="0" applyFont="1" applyFill="1" applyBorder="1" applyAlignment="1" applyProtection="1">
      <alignment horizontal="right" vertical="center" wrapText="1"/>
    </xf>
    <xf numFmtId="0" fontId="0" fillId="0" borderId="31" xfId="0" applyFont="1" applyFill="1" applyBorder="1" applyAlignment="1" applyProtection="1">
      <alignment horizontal="right" vertical="center"/>
    </xf>
    <xf numFmtId="0" fontId="0" fillId="0" borderId="14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center" textRotation="90"/>
    </xf>
    <xf numFmtId="0" fontId="3" fillId="0" borderId="24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>
      <alignment horizontal="center"/>
    </xf>
    <xf numFmtId="0" fontId="12" fillId="0" borderId="1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/>
    </xf>
    <xf numFmtId="0" fontId="12" fillId="11" borderId="8" xfId="0" applyFont="1" applyFill="1" applyBorder="1" applyAlignment="1" applyProtection="1">
      <alignment horizontal="center" vertical="top"/>
      <protection locked="0"/>
    </xf>
    <xf numFmtId="0" fontId="12" fillId="11" borderId="3" xfId="0" applyFont="1" applyFill="1" applyBorder="1" applyAlignment="1" applyProtection="1">
      <alignment horizontal="center" vertical="top"/>
      <protection locked="0"/>
    </xf>
    <xf numFmtId="0" fontId="12" fillId="11" borderId="11" xfId="0" applyFont="1" applyFill="1" applyBorder="1" applyAlignment="1" applyProtection="1">
      <alignment horizontal="center" vertical="top"/>
      <protection locked="0"/>
    </xf>
    <xf numFmtId="0" fontId="15" fillId="0" borderId="18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15" fillId="0" borderId="21" xfId="0" applyFont="1" applyBorder="1" applyAlignment="1">
      <alignment horizontal="left"/>
    </xf>
    <xf numFmtId="0" fontId="4" fillId="0" borderId="18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2" fillId="0" borderId="18" xfId="0" applyFont="1" applyFill="1" applyBorder="1" applyAlignment="1">
      <alignment horizontal="left" vertical="center"/>
    </xf>
    <xf numFmtId="0" fontId="2" fillId="0" borderId="21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99"/>
      <color rgb="FFA8F6F2"/>
      <color rgb="FF00CC00"/>
      <color rgb="FFF60A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NPV - change in Price </a:t>
            </a:r>
          </a:p>
        </c:rich>
      </c:tx>
      <c:layout>
        <c:manualLayout>
          <c:xMode val="edge"/>
          <c:yMode val="edge"/>
          <c:x val="0.30861072574739057"/>
          <c:y val="1.8197240897080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68192508529272"/>
          <c:y val="0.16873391621818348"/>
          <c:w val="0.80562568844484395"/>
          <c:h val="0.6843204571727703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-13541.620128170027</c:v>
                </c:pt>
                <c:pt idx="1">
                  <c:v>-4474.312837988482</c:v>
                </c:pt>
                <c:pt idx="2">
                  <c:v>4592.9944521930611</c:v>
                </c:pt>
                <c:pt idx="3">
                  <c:v>13660.301742374611</c:v>
                </c:pt>
                <c:pt idx="4">
                  <c:v>22727.609032556153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1-4F7E-8B11-490996966599}"/>
            </c:ext>
          </c:extLst>
        </c:ser>
        <c:ser>
          <c:idx val="5"/>
          <c:order val="1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-10432.901516165013</c:v>
                </c:pt>
                <c:pt idx="1">
                  <c:v>-2645.6257522537817</c:v>
                </c:pt>
                <c:pt idx="2">
                  <c:v>5141.6500116574516</c:v>
                </c:pt>
                <c:pt idx="3">
                  <c:v>12928.925775568683</c:v>
                </c:pt>
                <c:pt idx="4">
                  <c:v>20716.201539479916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F0-4A82-B9D1-9C6E1C658B02}"/>
            </c:ext>
          </c:extLst>
        </c:ser>
        <c:ser>
          <c:idx val="3"/>
          <c:order val="2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8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-1445.3777556750306</c:v>
                </c:pt>
                <c:pt idx="1">
                  <c:v>1493.0735614503847</c:v>
                </c:pt>
                <c:pt idx="2">
                  <c:v>4431.5248785758013</c:v>
                </c:pt>
                <c:pt idx="3">
                  <c:v>7369.9761957012161</c:v>
                </c:pt>
                <c:pt idx="4">
                  <c:v>10308.427512826633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F0-4A82-B9D1-9C6E1C658B02}"/>
            </c:ext>
          </c:extLst>
        </c:ser>
        <c:ser>
          <c:idx val="4"/>
          <c:order val="3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-2210.9494285323503</c:v>
                </c:pt>
                <c:pt idx="1">
                  <c:v>1375.3135706460916</c:v>
                </c:pt>
                <c:pt idx="2">
                  <c:v>4961.5765698245332</c:v>
                </c:pt>
                <c:pt idx="3">
                  <c:v>8547.8395690029756</c:v>
                </c:pt>
                <c:pt idx="4">
                  <c:v>12134.102568181414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F0-4A82-B9D1-9C6E1C658B02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-5929.4816514027079</c:v>
                </c:pt>
                <c:pt idx="1">
                  <c:v>-2427.2892141699922</c:v>
                </c:pt>
                <c:pt idx="2">
                  <c:v>1074.9032230627254</c:v>
                </c:pt>
                <c:pt idx="3">
                  <c:v>4577.0956602954429</c:v>
                </c:pt>
                <c:pt idx="4">
                  <c:v>8079.2880975281569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BB-4DED-B44A-DF9385A0AFF1}"/>
            </c:ext>
          </c:extLst>
        </c:ser>
        <c:ser>
          <c:idx val="1"/>
          <c:order val="5"/>
          <c:tx>
            <c:v>Silphium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-3824.5541269976452</c:v>
                </c:pt>
                <c:pt idx="1">
                  <c:v>1016.2833760664525</c:v>
                </c:pt>
                <c:pt idx="2">
                  <c:v>5697.3134880682146</c:v>
                </c:pt>
                <c:pt idx="3">
                  <c:v>10458.247295601148</c:v>
                </c:pt>
                <c:pt idx="4">
                  <c:v>15219.181103134073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BB-4DED-B44A-DF9385A0A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5448"/>
        <c:axId val="373474272"/>
      </c:scatterChart>
      <c:valAx>
        <c:axId val="37347544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4272"/>
        <c:crosses val="autoZero"/>
        <c:crossBetween val="midCat"/>
      </c:valAx>
      <c:valAx>
        <c:axId val="373474272"/>
        <c:scaling>
          <c:orientation val="minMax"/>
          <c:max val="25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 ha-1)</a:t>
                </a:r>
              </a:p>
            </c:rich>
          </c:tx>
          <c:layout>
            <c:manualLayout>
              <c:xMode val="edge"/>
              <c:yMode val="edge"/>
              <c:x val="3.0246917255628128E-2"/>
              <c:y val="0.47163451343156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5448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Forage</a:t>
            </a:r>
            <a:r>
              <a:rPr lang="en-US" i="0" baseline="0"/>
              <a:t> maize</a:t>
            </a:r>
            <a:r>
              <a:rPr lang="en-US" i="0"/>
              <a:t>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-10432.901516165013</c:v>
                </c:pt>
                <c:pt idx="1">
                  <c:v>-2645.6257522537817</c:v>
                </c:pt>
                <c:pt idx="2">
                  <c:v>5141.6500116574516</c:v>
                </c:pt>
                <c:pt idx="3">
                  <c:v>12928.925775568683</c:v>
                </c:pt>
                <c:pt idx="4">
                  <c:v>20716.201539479916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0E-4C26-8D98-CCEC06F65476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-10432.901516165013</c:v>
                </c:pt>
                <c:pt idx="1">
                  <c:v>-2645.6257522537817</c:v>
                </c:pt>
                <c:pt idx="2">
                  <c:v>5141.6500116574516</c:v>
                </c:pt>
                <c:pt idx="3">
                  <c:v>12928.925775568687</c:v>
                </c:pt>
                <c:pt idx="4">
                  <c:v>20716.201539479916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0E-4C26-8D98-CCEC06F65476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18240.596762899451</c:v>
                </c:pt>
                <c:pt idx="1">
                  <c:v>11691.123387278451</c:v>
                </c:pt>
                <c:pt idx="2">
                  <c:v>5141.6500116574516</c:v>
                </c:pt>
                <c:pt idx="3">
                  <c:v>-1407.8233639635509</c:v>
                </c:pt>
                <c:pt idx="4">
                  <c:v>-7957.296739584548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0E-4C26-8D98-CCEC06F65476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6788.5599999999977</c:v>
                </c:pt>
                <c:pt idx="1">
                  <c:v>5876.0347643410569</c:v>
                </c:pt>
                <c:pt idx="2">
                  <c:v>5141.6500116574516</c:v>
                </c:pt>
                <c:pt idx="3">
                  <c:v>4545.0465617636801</c:v>
                </c:pt>
                <c:pt idx="4">
                  <c:v>4055.9434151068344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0E-4C26-8D98-CCEC06F65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7456"/>
        <c:axId val="478132360"/>
      </c:scatterChart>
      <c:valAx>
        <c:axId val="47813745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360"/>
        <c:crosses val="autoZero"/>
        <c:crossBetween val="midCat"/>
      </c:valAx>
      <c:valAx>
        <c:axId val="47813236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7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NPV - change in Yield </a:t>
            </a:r>
          </a:p>
        </c:rich>
      </c:tx>
      <c:layout>
        <c:manualLayout>
          <c:xMode val="edge"/>
          <c:yMode val="edge"/>
          <c:x val="0.20106259259259254"/>
          <c:y val="1.11172222222222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26243982645308"/>
          <c:y val="0.16918699957904659"/>
          <c:w val="0.80746745995162361"/>
          <c:h val="0.7702911111111111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-13541.620128170027</c:v>
                </c:pt>
                <c:pt idx="1">
                  <c:v>-4474.312837988482</c:v>
                </c:pt>
                <c:pt idx="2">
                  <c:v>4592.9944521930611</c:v>
                </c:pt>
                <c:pt idx="3">
                  <c:v>13660.301742374611</c:v>
                </c:pt>
                <c:pt idx="4">
                  <c:v>22727.609032556153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6-4AC5-99C5-AD22B66A40CA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-1445.3777556750306</c:v>
                </c:pt>
                <c:pt idx="1">
                  <c:v>1493.0735614503847</c:v>
                </c:pt>
                <c:pt idx="2">
                  <c:v>4431.5248785758013</c:v>
                </c:pt>
                <c:pt idx="3">
                  <c:v>7369.9761957012161</c:v>
                </c:pt>
                <c:pt idx="4">
                  <c:v>10308.427512826633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7D-449C-BC7C-6CF74DF7B9A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-2210.9494285323503</c:v>
                </c:pt>
                <c:pt idx="1">
                  <c:v>1375.3135706460916</c:v>
                </c:pt>
                <c:pt idx="2">
                  <c:v>4961.5765698245332</c:v>
                </c:pt>
                <c:pt idx="3">
                  <c:v>8547.8395690029756</c:v>
                </c:pt>
                <c:pt idx="4">
                  <c:v>12134.102568181414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7D-449C-BC7C-6CF74DF7B9A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8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-10432.901516165013</c:v>
                </c:pt>
                <c:pt idx="1">
                  <c:v>-2645.6257522537817</c:v>
                </c:pt>
                <c:pt idx="2">
                  <c:v>5141.6500116574516</c:v>
                </c:pt>
                <c:pt idx="3">
                  <c:v>12928.925775568687</c:v>
                </c:pt>
                <c:pt idx="4">
                  <c:v>20716.201539479916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7D-449C-BC7C-6CF74DF7B9A0}"/>
            </c:ext>
          </c:extLst>
        </c:ser>
        <c:ser>
          <c:idx val="1"/>
          <c:order val="4"/>
          <c:tx>
            <c:v>Silphium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-3824.5541269976452</c:v>
                </c:pt>
                <c:pt idx="1">
                  <c:v>936.37968053528402</c:v>
                </c:pt>
                <c:pt idx="2">
                  <c:v>5697.3134880682146</c:v>
                </c:pt>
                <c:pt idx="3">
                  <c:v>10458.247295601152</c:v>
                </c:pt>
                <c:pt idx="4">
                  <c:v>15219.181103134073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B8-4CCF-8B18-0479101CA241}"/>
            </c:ext>
          </c:extLst>
        </c:ser>
        <c:ser>
          <c:idx val="0"/>
          <c:order val="5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-5929.4816514027079</c:v>
                </c:pt>
                <c:pt idx="1">
                  <c:v>-2427.2892141699922</c:v>
                </c:pt>
                <c:pt idx="2">
                  <c:v>1074.9032230627254</c:v>
                </c:pt>
                <c:pt idx="3">
                  <c:v>4577.0956602954411</c:v>
                </c:pt>
                <c:pt idx="4">
                  <c:v>8079.2880975281569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B8-4CCF-8B18-0479101C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4664"/>
        <c:axId val="373471528"/>
      </c:scatterChart>
      <c:valAx>
        <c:axId val="373474664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1528"/>
        <c:crosses val="autoZero"/>
        <c:crossBetween val="midCat"/>
      </c:valAx>
      <c:valAx>
        <c:axId val="373471528"/>
        <c:scaling>
          <c:orientation val="minMax"/>
          <c:max val="25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 ha-1)</a:t>
                </a:r>
              </a:p>
            </c:rich>
          </c:tx>
          <c:layout>
            <c:manualLayout>
              <c:xMode val="edge"/>
              <c:yMode val="edge"/>
              <c:x val="2.8585185185185198E-3"/>
              <c:y val="0.325672777777777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4664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Discount Rate</a:t>
            </a:r>
          </a:p>
        </c:rich>
      </c:tx>
      <c:layout>
        <c:manualLayout>
          <c:xMode val="edge"/>
          <c:yMode val="edge"/>
          <c:x val="0.25077378244091103"/>
          <c:y val="7.404213094418875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49928666399628"/>
          <c:y val="0.16528984490139659"/>
          <c:w val="0.79184333735099899"/>
          <c:h val="0.65700856200435132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5965.2346029788168</c:v>
                </c:pt>
                <c:pt idx="1">
                  <c:v>5207.4412904878154</c:v>
                </c:pt>
                <c:pt idx="2">
                  <c:v>4592.9944521930611</c:v>
                </c:pt>
                <c:pt idx="3">
                  <c:v>4090.2735208211088</c:v>
                </c:pt>
                <c:pt idx="4">
                  <c:v>3675.3645014612084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00-4D33-B0F3-AF9C472D20D1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6714.9700000000012</c:v>
                </c:pt>
                <c:pt idx="1">
                  <c:v>5446.0922385632821</c:v>
                </c:pt>
                <c:pt idx="2">
                  <c:v>4431.5248785758013</c:v>
                </c:pt>
                <c:pt idx="3">
                  <c:v>3612.5482358006443</c:v>
                </c:pt>
                <c:pt idx="4">
                  <c:v>2945.3588160210188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D6-4D78-919A-874B48CDAAB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7473.8830000000016</c:v>
                </c:pt>
                <c:pt idx="1">
                  <c:v>6082.1410614869019</c:v>
                </c:pt>
                <c:pt idx="2">
                  <c:v>4961.5765698245332</c:v>
                </c:pt>
                <c:pt idx="3">
                  <c:v>4051.2637640281109</c:v>
                </c:pt>
                <c:pt idx="4">
                  <c:v>3305.3563011145843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D6-4D78-919A-874B48CDAAB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6788.5599999999977</c:v>
                </c:pt>
                <c:pt idx="1">
                  <c:v>5876.0347643410569</c:v>
                </c:pt>
                <c:pt idx="2">
                  <c:v>5141.6500116574516</c:v>
                </c:pt>
                <c:pt idx="3">
                  <c:v>4545.0465617636801</c:v>
                </c:pt>
                <c:pt idx="4">
                  <c:v>4055.9434151068344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D6-4D78-919A-874B48CDAAB0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3225.8163333333341</c:v>
                </c:pt>
                <c:pt idx="1">
                  <c:v>2034.6486073016458</c:v>
                </c:pt>
                <c:pt idx="2">
                  <c:v>1074.9032230627254</c:v>
                </c:pt>
                <c:pt idx="3">
                  <c:v>294.6840624427623</c:v>
                </c:pt>
                <c:pt idx="4">
                  <c:v>-345.08159403748323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F5-4051-9D53-76E43EF92EDA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ash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8482.1546666666654</c:v>
                </c:pt>
                <c:pt idx="1">
                  <c:v>6939.1872385528632</c:v>
                </c:pt>
                <c:pt idx="2">
                  <c:v>5697.3134880682146</c:v>
                </c:pt>
                <c:pt idx="3">
                  <c:v>4688.7963760034363</c:v>
                </c:pt>
                <c:pt idx="4">
                  <c:v>3862.6822554986529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F5-4051-9D53-76E43EF9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8192"/>
        <c:axId val="373470744"/>
      </c:scatterChart>
      <c:valAx>
        <c:axId val="37347819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0744"/>
        <c:crosses val="autoZero"/>
        <c:crossBetween val="midCat"/>
      </c:valAx>
      <c:valAx>
        <c:axId val="373470744"/>
        <c:scaling>
          <c:orientation val="minMax"/>
          <c:max val="25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</a:t>
                </a:r>
              </a:p>
            </c:rich>
          </c:tx>
          <c:layout>
            <c:manualLayout>
              <c:xMode val="edge"/>
              <c:yMode val="edge"/>
              <c:x val="3.744730499616454E-2"/>
              <c:y val="0.48781142536318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8192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Costs</a:t>
            </a:r>
          </a:p>
        </c:rich>
      </c:tx>
      <c:layout>
        <c:manualLayout>
          <c:xMode val="edge"/>
          <c:yMode val="edge"/>
          <c:x val="0.19245999999999999"/>
          <c:y val="7.055555555555555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54522590162532"/>
          <c:y val="0.16528984490139659"/>
          <c:w val="0.8072683454963846"/>
          <c:h val="0.77657888888888893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20800.659815440074</c:v>
                </c:pt>
                <c:pt idx="1">
                  <c:v>12696.827133816569</c:v>
                </c:pt>
                <c:pt idx="2">
                  <c:v>4592.9944521930611</c:v>
                </c:pt>
                <c:pt idx="3">
                  <c:v>-3510.8382294304502</c:v>
                </c:pt>
                <c:pt idx="4">
                  <c:v>-11614.670911053952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B7-47B0-B89C-86F7889D596F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9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8542.9478693278179</c:v>
                </c:pt>
                <c:pt idx="1">
                  <c:v>6487.2363739518096</c:v>
                </c:pt>
                <c:pt idx="2">
                  <c:v>4431.5248785758013</c:v>
                </c:pt>
                <c:pt idx="3">
                  <c:v>2375.8133831997939</c:v>
                </c:pt>
                <c:pt idx="4">
                  <c:v>320.10188782378464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DF-4B27-B496-EB7DC1997928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9838.5712334338696</c:v>
                </c:pt>
                <c:pt idx="1">
                  <c:v>7400.0739016292009</c:v>
                </c:pt>
                <c:pt idx="2">
                  <c:v>4961.5765698245332</c:v>
                </c:pt>
                <c:pt idx="3">
                  <c:v>2523.0792380198654</c:v>
                </c:pt>
                <c:pt idx="4">
                  <c:v>84.581906215196796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DF-4B27-B496-EB7DC1997928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18240.596762899451</c:v>
                </c:pt>
                <c:pt idx="1">
                  <c:v>11691.123387278451</c:v>
                </c:pt>
                <c:pt idx="2">
                  <c:v>5141.6500116574516</c:v>
                </c:pt>
                <c:pt idx="3">
                  <c:v>-1407.8233639635509</c:v>
                </c:pt>
                <c:pt idx="4">
                  <c:v>-7957.296739584548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DF-4B27-B496-EB7DC1997928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9670.4301095424198</c:v>
                </c:pt>
                <c:pt idx="1">
                  <c:v>5372.6666663025726</c:v>
                </c:pt>
                <c:pt idx="2">
                  <c:v>1074.9032230627254</c:v>
                </c:pt>
                <c:pt idx="3">
                  <c:v>-3222.8602201771228</c:v>
                </c:pt>
                <c:pt idx="4">
                  <c:v>-7520.6236634169691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B3-4B56-8BE8-FB2A39CADDFC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12160.149625007181</c:v>
                </c:pt>
                <c:pt idx="1">
                  <c:v>8942.6131691055307</c:v>
                </c:pt>
                <c:pt idx="2">
                  <c:v>5697.3134880682146</c:v>
                </c:pt>
                <c:pt idx="3">
                  <c:v>2452.013807030904</c:v>
                </c:pt>
                <c:pt idx="4">
                  <c:v>-793.28587400641663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B3-4B56-8BE8-FB2A39CA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6232"/>
        <c:axId val="373475840"/>
      </c:scatterChart>
      <c:valAx>
        <c:axId val="37347623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5840"/>
        <c:crosses val="autoZero"/>
        <c:crossBetween val="midCat"/>
      </c:valAx>
      <c:valAx>
        <c:axId val="373475840"/>
        <c:scaling>
          <c:orientation val="minMax"/>
          <c:max val="25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(£ ha-1)</a:t>
                </a:r>
              </a:p>
            </c:rich>
          </c:tx>
          <c:layout>
            <c:manualLayout>
              <c:xMode val="edge"/>
              <c:yMode val="edge"/>
              <c:x val="1.7799507773129178E-2"/>
              <c:y val="0.43441645027721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6232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Sida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2843190233563039"/>
          <c:y val="7.05012202183984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276999479992567E-2"/>
          <c:y val="0.137904413153182"/>
          <c:w val="0.87144722267198149"/>
          <c:h val="0.60601085393098564"/>
        </c:manualLayout>
      </c:layout>
      <c:scatterChart>
        <c:scatterStyle val="smoothMarker"/>
        <c:varyColors val="0"/>
        <c:ser>
          <c:idx val="4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-5929.4816514027079</c:v>
                </c:pt>
                <c:pt idx="1">
                  <c:v>-2427.2892141699922</c:v>
                </c:pt>
                <c:pt idx="2">
                  <c:v>1074.9032230627254</c:v>
                </c:pt>
                <c:pt idx="3">
                  <c:v>4577.0956602954429</c:v>
                </c:pt>
                <c:pt idx="4">
                  <c:v>8079.2880975281569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AA-4D6E-8E29-53D4F3764966}"/>
            </c:ext>
          </c:extLst>
        </c:ser>
        <c:ser>
          <c:idx val="2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-5929.4816514027079</c:v>
                </c:pt>
                <c:pt idx="1">
                  <c:v>-2427.2892141699922</c:v>
                </c:pt>
                <c:pt idx="2">
                  <c:v>1074.9032230627254</c:v>
                </c:pt>
                <c:pt idx="3">
                  <c:v>4577.0956602954411</c:v>
                </c:pt>
                <c:pt idx="4">
                  <c:v>8079.2880975281569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2F-45EC-A8C5-FF6AE2BBC09A}"/>
            </c:ext>
          </c:extLst>
        </c:ser>
        <c:ser>
          <c:idx val="0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9670.4301095424198</c:v>
                </c:pt>
                <c:pt idx="1">
                  <c:v>5372.6666663025726</c:v>
                </c:pt>
                <c:pt idx="2">
                  <c:v>1074.9032230627254</c:v>
                </c:pt>
                <c:pt idx="3">
                  <c:v>-3222.8602201771228</c:v>
                </c:pt>
                <c:pt idx="4">
                  <c:v>-7520.6236634169691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AA-4D6E-8E29-53D4F3764966}"/>
            </c:ext>
          </c:extLst>
        </c:ser>
        <c:ser>
          <c:idx val="1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3225.8163333333341</c:v>
                </c:pt>
                <c:pt idx="1">
                  <c:v>2034.6486073016458</c:v>
                </c:pt>
                <c:pt idx="2">
                  <c:v>1074.9032230627254</c:v>
                </c:pt>
                <c:pt idx="3">
                  <c:v>294.6840624427623</c:v>
                </c:pt>
                <c:pt idx="4">
                  <c:v>-345.08159403748323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AA-4D6E-8E29-53D4F376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7016"/>
        <c:axId val="373477800"/>
      </c:scatterChart>
      <c:valAx>
        <c:axId val="37347701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800"/>
        <c:crosses val="autoZero"/>
        <c:crossBetween val="midCat"/>
        <c:majorUnit val="0.5"/>
      </c:valAx>
      <c:valAx>
        <c:axId val="37347780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41937528859547"/>
          <c:y val="0.68705933534969643"/>
          <c:w val="0.2595537445247158"/>
          <c:h val="0.31097794040826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Silphium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-3824.5541269976452</c:v>
                </c:pt>
                <c:pt idx="1">
                  <c:v>1016.2833760664525</c:v>
                </c:pt>
                <c:pt idx="2">
                  <c:v>5697.3134880682146</c:v>
                </c:pt>
                <c:pt idx="3">
                  <c:v>10458.247295601148</c:v>
                </c:pt>
                <c:pt idx="4">
                  <c:v>15219.181103134073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6A-47B7-9069-161FFCE46771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-3824.5541269976452</c:v>
                </c:pt>
                <c:pt idx="1">
                  <c:v>936.37968053528402</c:v>
                </c:pt>
                <c:pt idx="2">
                  <c:v>5697.3134880682146</c:v>
                </c:pt>
                <c:pt idx="3">
                  <c:v>10458.247295601152</c:v>
                </c:pt>
                <c:pt idx="4">
                  <c:v>15219.181103134073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3A-4BEB-907D-03B7ED0D823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12160.149625007181</c:v>
                </c:pt>
                <c:pt idx="1">
                  <c:v>8942.6131691055307</c:v>
                </c:pt>
                <c:pt idx="2">
                  <c:v>5697.3134880682146</c:v>
                </c:pt>
                <c:pt idx="3">
                  <c:v>2452.013807030904</c:v>
                </c:pt>
                <c:pt idx="4">
                  <c:v>-793.28587400641663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6A-47B7-9069-161FFCE46771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8482.1546666666654</c:v>
                </c:pt>
                <c:pt idx="1">
                  <c:v>6939.1872385528632</c:v>
                </c:pt>
                <c:pt idx="2">
                  <c:v>5697.3134880682146</c:v>
                </c:pt>
                <c:pt idx="3">
                  <c:v>4688.7963760034363</c:v>
                </c:pt>
                <c:pt idx="4">
                  <c:v>3862.6822554986529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86A-47B7-9069-161FFCE46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1136"/>
        <c:axId val="373472312"/>
      </c:scatterChart>
      <c:valAx>
        <c:axId val="37347113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2312"/>
        <c:crosses val="autoZero"/>
        <c:crossBetween val="midCat"/>
      </c:valAx>
      <c:valAx>
        <c:axId val="37347231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1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286220777997394"/>
          <c:y val="0.71472378139021309"/>
          <c:w val="0.22242213231941191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Rotation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-13541.620128170027</c:v>
                </c:pt>
                <c:pt idx="1">
                  <c:v>-4474.312837988482</c:v>
                </c:pt>
                <c:pt idx="2">
                  <c:v>4592.9944521930611</c:v>
                </c:pt>
                <c:pt idx="3">
                  <c:v>13660.301742374611</c:v>
                </c:pt>
                <c:pt idx="4">
                  <c:v>22727.609032556153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63-4BFF-B9DA-99CF59EC2199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-13541.620128170027</c:v>
                </c:pt>
                <c:pt idx="1">
                  <c:v>-4474.312837988482</c:v>
                </c:pt>
                <c:pt idx="2">
                  <c:v>4592.9944521930611</c:v>
                </c:pt>
                <c:pt idx="3">
                  <c:v>13660.301742374611</c:v>
                </c:pt>
                <c:pt idx="4">
                  <c:v>22727.609032556153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63-4BFF-B9DA-99CF59EC219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20800.659815440074</c:v>
                </c:pt>
                <c:pt idx="1">
                  <c:v>12696.827133816569</c:v>
                </c:pt>
                <c:pt idx="2">
                  <c:v>4592.9944521930611</c:v>
                </c:pt>
                <c:pt idx="3">
                  <c:v>-3510.8382294304502</c:v>
                </c:pt>
                <c:pt idx="4">
                  <c:v>-11614.670911053952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63-4BFF-B9DA-99CF59EC2199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5965.2346029788168</c:v>
                </c:pt>
                <c:pt idx="1">
                  <c:v>5207.4412904878154</c:v>
                </c:pt>
                <c:pt idx="2">
                  <c:v>4592.9944521930611</c:v>
                </c:pt>
                <c:pt idx="3">
                  <c:v>4090.2735208211088</c:v>
                </c:pt>
                <c:pt idx="4">
                  <c:v>3675.3645014612084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63-4BFF-B9DA-99CF59EC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3488"/>
        <c:axId val="478138632"/>
      </c:scatterChart>
      <c:valAx>
        <c:axId val="37347348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8632"/>
        <c:crosses val="autoZero"/>
        <c:crossBetween val="midCat"/>
      </c:valAx>
      <c:valAx>
        <c:axId val="47813863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3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SRC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-1445.3777556750306</c:v>
                </c:pt>
                <c:pt idx="1">
                  <c:v>1493.0735614503847</c:v>
                </c:pt>
                <c:pt idx="2">
                  <c:v>4431.5248785758013</c:v>
                </c:pt>
                <c:pt idx="3">
                  <c:v>7369.9761957012161</c:v>
                </c:pt>
                <c:pt idx="4">
                  <c:v>10308.427512826633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00-47B4-AA36-4CBDAB0047C5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-1445.3777556750306</c:v>
                </c:pt>
                <c:pt idx="1">
                  <c:v>1493.0735614503847</c:v>
                </c:pt>
                <c:pt idx="2">
                  <c:v>4431.5248785758013</c:v>
                </c:pt>
                <c:pt idx="3">
                  <c:v>7369.9761957012161</c:v>
                </c:pt>
                <c:pt idx="4">
                  <c:v>10308.427512826633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00-47B4-AA36-4CBDAB0047C5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8542.9478693278179</c:v>
                </c:pt>
                <c:pt idx="1">
                  <c:v>6487.2363739518096</c:v>
                </c:pt>
                <c:pt idx="2">
                  <c:v>4431.5248785758013</c:v>
                </c:pt>
                <c:pt idx="3">
                  <c:v>2375.8133831997939</c:v>
                </c:pt>
                <c:pt idx="4">
                  <c:v>320.10188782378464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00-47B4-AA36-4CBDAB0047C5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6714.9700000000012</c:v>
                </c:pt>
                <c:pt idx="1">
                  <c:v>5446.0922385632821</c:v>
                </c:pt>
                <c:pt idx="2">
                  <c:v>4431.5248785758013</c:v>
                </c:pt>
                <c:pt idx="3">
                  <c:v>3612.5482358006443</c:v>
                </c:pt>
                <c:pt idx="4">
                  <c:v>2945.3588160210188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00-47B4-AA36-4CBDAB00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1968"/>
        <c:axId val="478136280"/>
      </c:scatterChart>
      <c:valAx>
        <c:axId val="47813196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6280"/>
        <c:crosses val="autoZero"/>
        <c:crossBetween val="midCat"/>
      </c:valAx>
      <c:valAx>
        <c:axId val="47813628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Miscanthus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-2210.9494285323503</c:v>
                </c:pt>
                <c:pt idx="1">
                  <c:v>1375.3135706460916</c:v>
                </c:pt>
                <c:pt idx="2">
                  <c:v>4961.5765698245332</c:v>
                </c:pt>
                <c:pt idx="3">
                  <c:v>8547.8395690029756</c:v>
                </c:pt>
                <c:pt idx="4">
                  <c:v>12134.102568181414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D-45AC-9859-EEDF3F583B5C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-2210.9494285323503</c:v>
                </c:pt>
                <c:pt idx="1">
                  <c:v>1375.3135706460916</c:v>
                </c:pt>
                <c:pt idx="2">
                  <c:v>4961.5765698245332</c:v>
                </c:pt>
                <c:pt idx="3">
                  <c:v>8547.8395690029756</c:v>
                </c:pt>
                <c:pt idx="4">
                  <c:v>12134.102568181414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D-45AC-9859-EEDF3F583B5C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alpha val="99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9838.5712334338696</c:v>
                </c:pt>
                <c:pt idx="1">
                  <c:v>7400.0739016292009</c:v>
                </c:pt>
                <c:pt idx="2">
                  <c:v>4961.5765698245332</c:v>
                </c:pt>
                <c:pt idx="3">
                  <c:v>2523.0792380198654</c:v>
                </c:pt>
                <c:pt idx="4">
                  <c:v>84.581906215196796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2D-45AC-9859-EEDF3F583B5C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7473.8830000000016</c:v>
                </c:pt>
                <c:pt idx="1">
                  <c:v>6082.1410614869019</c:v>
                </c:pt>
                <c:pt idx="2">
                  <c:v>4961.5765698245332</c:v>
                </c:pt>
                <c:pt idx="3">
                  <c:v>4051.2637640281109</c:v>
                </c:pt>
                <c:pt idx="4">
                  <c:v>3305.3563011145843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2D-45AC-9859-EEDF3F583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3928"/>
        <c:axId val="478132752"/>
      </c:scatterChart>
      <c:valAx>
        <c:axId val="47813392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752"/>
        <c:crosses val="autoZero"/>
        <c:crossBetween val="midCat"/>
      </c:valAx>
      <c:valAx>
        <c:axId val="47813275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3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81756</xdr:colOff>
      <xdr:row>7</xdr:row>
      <xdr:rowOff>21166</xdr:rowOff>
    </xdr:from>
    <xdr:to>
      <xdr:col>12</xdr:col>
      <xdr:colOff>2360084</xdr:colOff>
      <xdr:row>19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089" y="1280583"/>
          <a:ext cx="2278328" cy="2264834"/>
        </a:xfrm>
        <a:prstGeom prst="rect">
          <a:avLst/>
        </a:prstGeom>
      </xdr:spPr>
    </xdr:pic>
    <xdr:clientData/>
  </xdr:twoCellAnchor>
  <xdr:twoCellAnchor editAs="oneCell">
    <xdr:from>
      <xdr:col>13</xdr:col>
      <xdr:colOff>84667</xdr:colOff>
      <xdr:row>7</xdr:row>
      <xdr:rowOff>21167</xdr:rowOff>
    </xdr:from>
    <xdr:to>
      <xdr:col>13</xdr:col>
      <xdr:colOff>2391834</xdr:colOff>
      <xdr:row>19</xdr:row>
      <xdr:rowOff>116416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1" r="9544" b="1939"/>
        <a:stretch/>
      </xdr:blipFill>
      <xdr:spPr>
        <a:xfrm>
          <a:off x="12848167" y="1280584"/>
          <a:ext cx="2307167" cy="2254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0450175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114800" y="498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76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102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128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</xdr:col>
      <xdr:colOff>0</xdr:colOff>
      <xdr:row>154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90678000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44767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44767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44767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44767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44767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22</xdr:col>
      <xdr:colOff>0</xdr:colOff>
      <xdr:row>128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162550" y="3208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65341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00000000-0008-0000-0F00-000087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00000000-0008-0000-0F00-000088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00000000-0008-0000-0F00-000089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00000000-0008-0000-0F00-00008A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00000000-0008-0000-0F00-00008B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00000000-0008-0000-0F00-00008C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00000000-0008-0000-0F00-00008D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42" name="TextBox 116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43" name="TextBox 117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144" name="TextBox 118">
          <a:extLst>
            <a:ext uri="{FF2B5EF4-FFF2-40B4-BE49-F238E27FC236}">
              <a16:creationId xmlns:a16="http://schemas.microsoft.com/office/drawing/2014/main" id="{00000000-0008-0000-0F00-000090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145" name="TextBox 119">
          <a:extLst>
            <a:ext uri="{FF2B5EF4-FFF2-40B4-BE49-F238E27FC236}">
              <a16:creationId xmlns:a16="http://schemas.microsoft.com/office/drawing/2014/main" id="{00000000-0008-0000-0F00-000091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00000000-0008-0000-0F00-000092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00000000-0008-0000-0F00-000093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00000000-0008-0000-0F00-000095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00000000-0008-0000-0F00-000097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00000000-0008-0000-0F00-00009A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9F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F00-0000A6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F00-0000A7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F00-0000A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F00-0000A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F00-0000A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F00-0000A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F00-0000AC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F00-0000AD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F00-0000AE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AF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B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B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F00-0000B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F00-0000B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F00-0000B4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F00-0000B5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F00-0000B6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F00-0000B7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F00-0000B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F00-0000B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B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F00-0000B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F00-0000BC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F00-0000BD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F00-0000BE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F00-0000C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F00-0000C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F00-0000C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C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96" name="TextBox 108">
          <a:extLst>
            <a:ext uri="{FF2B5EF4-FFF2-40B4-BE49-F238E27FC236}">
              <a16:creationId xmlns:a16="http://schemas.microsoft.com/office/drawing/2014/main" id="{00000000-0008-0000-0F00-0000C4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97" name="TextBox 109">
          <a:extLst>
            <a:ext uri="{FF2B5EF4-FFF2-40B4-BE49-F238E27FC236}">
              <a16:creationId xmlns:a16="http://schemas.microsoft.com/office/drawing/2014/main" id="{00000000-0008-0000-0F00-0000C5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98" name="TextBox 110">
          <a:extLst>
            <a:ext uri="{FF2B5EF4-FFF2-40B4-BE49-F238E27FC236}">
              <a16:creationId xmlns:a16="http://schemas.microsoft.com/office/drawing/2014/main" id="{00000000-0008-0000-0F00-0000C6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99" name="TextBox 111">
          <a:extLst>
            <a:ext uri="{FF2B5EF4-FFF2-40B4-BE49-F238E27FC236}">
              <a16:creationId xmlns:a16="http://schemas.microsoft.com/office/drawing/2014/main" id="{00000000-0008-0000-0F00-0000C7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00" name="TextBox 112">
          <a:extLst>
            <a:ext uri="{FF2B5EF4-FFF2-40B4-BE49-F238E27FC236}">
              <a16:creationId xmlns:a16="http://schemas.microsoft.com/office/drawing/2014/main" id="{00000000-0008-0000-0F00-0000C8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F00-0000C9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F00-0000CA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F00-0000CB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F00-0000CC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05" name="TextBox 113">
          <a:extLst>
            <a:ext uri="{FF2B5EF4-FFF2-40B4-BE49-F238E27FC236}">
              <a16:creationId xmlns:a16="http://schemas.microsoft.com/office/drawing/2014/main" id="{00000000-0008-0000-0F00-0000CD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06" name="TextBox 114">
          <a:extLst>
            <a:ext uri="{FF2B5EF4-FFF2-40B4-BE49-F238E27FC236}">
              <a16:creationId xmlns:a16="http://schemas.microsoft.com/office/drawing/2014/main" id="{00000000-0008-0000-0F00-0000CE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07" name="TextBox 115">
          <a:extLst>
            <a:ext uri="{FF2B5EF4-FFF2-40B4-BE49-F238E27FC236}">
              <a16:creationId xmlns:a16="http://schemas.microsoft.com/office/drawing/2014/main" id="{00000000-0008-0000-0F00-0000CF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08" name="TextBox 116">
          <a:extLst>
            <a:ext uri="{FF2B5EF4-FFF2-40B4-BE49-F238E27FC236}">
              <a16:creationId xmlns:a16="http://schemas.microsoft.com/office/drawing/2014/main" id="{00000000-0008-0000-0F00-0000D0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09" name="TextBox 117">
          <a:extLst>
            <a:ext uri="{FF2B5EF4-FFF2-40B4-BE49-F238E27FC236}">
              <a16:creationId xmlns:a16="http://schemas.microsoft.com/office/drawing/2014/main" id="{00000000-0008-0000-0F00-0000D1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10" name="TextBox 108">
          <a:extLst>
            <a:ext uri="{FF2B5EF4-FFF2-40B4-BE49-F238E27FC236}">
              <a16:creationId xmlns:a16="http://schemas.microsoft.com/office/drawing/2014/main" id="{00000000-0008-0000-0F00-0000D2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11" name="TextBox 109">
          <a:extLst>
            <a:ext uri="{FF2B5EF4-FFF2-40B4-BE49-F238E27FC236}">
              <a16:creationId xmlns:a16="http://schemas.microsoft.com/office/drawing/2014/main" id="{00000000-0008-0000-0F00-0000D3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12" name="TextBox 110">
          <a:extLst>
            <a:ext uri="{FF2B5EF4-FFF2-40B4-BE49-F238E27FC236}">
              <a16:creationId xmlns:a16="http://schemas.microsoft.com/office/drawing/2014/main" id="{00000000-0008-0000-0F00-0000D4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13" name="TextBox 111">
          <a:extLst>
            <a:ext uri="{FF2B5EF4-FFF2-40B4-BE49-F238E27FC236}">
              <a16:creationId xmlns:a16="http://schemas.microsoft.com/office/drawing/2014/main" id="{00000000-0008-0000-0F00-0000D5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88</xdr:col>
      <xdr:colOff>0</xdr:colOff>
      <xdr:row>133</xdr:row>
      <xdr:rowOff>0</xdr:rowOff>
    </xdr:from>
    <xdr:ext cx="65" cy="172227"/>
    <xdr:sp macro="" textlink="">
      <xdr:nvSpPr>
        <xdr:cNvPr id="214" name="TextBox 112">
          <a:extLst>
            <a:ext uri="{FF2B5EF4-FFF2-40B4-BE49-F238E27FC236}">
              <a16:creationId xmlns:a16="http://schemas.microsoft.com/office/drawing/2014/main" id="{00000000-0008-0000-0F00-0000D6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F00-0000D7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F00-0000D8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F00-0000D9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F00-0000DA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19" name="TextBox 118">
          <a:extLst>
            <a:ext uri="{FF2B5EF4-FFF2-40B4-BE49-F238E27FC236}">
              <a16:creationId xmlns:a16="http://schemas.microsoft.com/office/drawing/2014/main" id="{00000000-0008-0000-0F00-0000DB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0" name="TextBox 119">
          <a:extLst>
            <a:ext uri="{FF2B5EF4-FFF2-40B4-BE49-F238E27FC236}">
              <a16:creationId xmlns:a16="http://schemas.microsoft.com/office/drawing/2014/main" id="{00000000-0008-0000-0F00-0000DC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1" name="TextBox 120">
          <a:extLst>
            <a:ext uri="{FF2B5EF4-FFF2-40B4-BE49-F238E27FC236}">
              <a16:creationId xmlns:a16="http://schemas.microsoft.com/office/drawing/2014/main" id="{00000000-0008-0000-0F00-0000DD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2" name="TextBox 121">
          <a:extLst>
            <a:ext uri="{FF2B5EF4-FFF2-40B4-BE49-F238E27FC236}">
              <a16:creationId xmlns:a16="http://schemas.microsoft.com/office/drawing/2014/main" id="{00000000-0008-0000-0F00-0000DE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3" name="TextBox 122">
          <a:extLst>
            <a:ext uri="{FF2B5EF4-FFF2-40B4-BE49-F238E27FC236}">
              <a16:creationId xmlns:a16="http://schemas.microsoft.com/office/drawing/2014/main" id="{00000000-0008-0000-0F00-0000DF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4" name="TextBox 113">
          <a:extLst>
            <a:ext uri="{FF2B5EF4-FFF2-40B4-BE49-F238E27FC236}">
              <a16:creationId xmlns:a16="http://schemas.microsoft.com/office/drawing/2014/main" id="{00000000-0008-0000-0F00-0000E0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5" name="TextBox 114">
          <a:extLst>
            <a:ext uri="{FF2B5EF4-FFF2-40B4-BE49-F238E27FC236}">
              <a16:creationId xmlns:a16="http://schemas.microsoft.com/office/drawing/2014/main" id="{00000000-0008-0000-0F00-0000E1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6" name="TextBox 115">
          <a:extLst>
            <a:ext uri="{FF2B5EF4-FFF2-40B4-BE49-F238E27FC236}">
              <a16:creationId xmlns:a16="http://schemas.microsoft.com/office/drawing/2014/main" id="{00000000-0008-0000-0F00-0000E2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7" name="TextBox 116">
          <a:extLst>
            <a:ext uri="{FF2B5EF4-FFF2-40B4-BE49-F238E27FC236}">
              <a16:creationId xmlns:a16="http://schemas.microsoft.com/office/drawing/2014/main" id="{00000000-0008-0000-0F00-0000E3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8" name="TextBox 117">
          <a:extLst>
            <a:ext uri="{FF2B5EF4-FFF2-40B4-BE49-F238E27FC236}">
              <a16:creationId xmlns:a16="http://schemas.microsoft.com/office/drawing/2014/main" id="{00000000-0008-0000-0F00-0000E4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29" name="TextBox 108">
          <a:extLst>
            <a:ext uri="{FF2B5EF4-FFF2-40B4-BE49-F238E27FC236}">
              <a16:creationId xmlns:a16="http://schemas.microsoft.com/office/drawing/2014/main" id="{00000000-0008-0000-0F00-0000E5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30" name="TextBox 109">
          <a:extLst>
            <a:ext uri="{FF2B5EF4-FFF2-40B4-BE49-F238E27FC236}">
              <a16:creationId xmlns:a16="http://schemas.microsoft.com/office/drawing/2014/main" id="{00000000-0008-0000-0F00-0000E6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31" name="TextBox 110">
          <a:extLst>
            <a:ext uri="{FF2B5EF4-FFF2-40B4-BE49-F238E27FC236}">
              <a16:creationId xmlns:a16="http://schemas.microsoft.com/office/drawing/2014/main" id="{00000000-0008-0000-0F00-0000E7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32" name="TextBox 111">
          <a:extLst>
            <a:ext uri="{FF2B5EF4-FFF2-40B4-BE49-F238E27FC236}">
              <a16:creationId xmlns:a16="http://schemas.microsoft.com/office/drawing/2014/main" id="{00000000-0008-0000-0F00-0000E8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33" name="TextBox 112">
          <a:extLst>
            <a:ext uri="{FF2B5EF4-FFF2-40B4-BE49-F238E27FC236}">
              <a16:creationId xmlns:a16="http://schemas.microsoft.com/office/drawing/2014/main" id="{00000000-0008-0000-0F00-0000E9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F00-0000EA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F00-0000EB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F00-0000EC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F00-0000ED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38" name="TextBox 123">
          <a:extLst>
            <a:ext uri="{FF2B5EF4-FFF2-40B4-BE49-F238E27FC236}">
              <a16:creationId xmlns:a16="http://schemas.microsoft.com/office/drawing/2014/main" id="{00000000-0008-0000-0F00-0000EE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39" name="TextBox 124">
          <a:extLst>
            <a:ext uri="{FF2B5EF4-FFF2-40B4-BE49-F238E27FC236}">
              <a16:creationId xmlns:a16="http://schemas.microsoft.com/office/drawing/2014/main" id="{00000000-0008-0000-0F00-0000EF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0" name="TextBox 125">
          <a:extLst>
            <a:ext uri="{FF2B5EF4-FFF2-40B4-BE49-F238E27FC236}">
              <a16:creationId xmlns:a16="http://schemas.microsoft.com/office/drawing/2014/main" id="{00000000-0008-0000-0F00-0000F0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1" name="TextBox 126">
          <a:extLst>
            <a:ext uri="{FF2B5EF4-FFF2-40B4-BE49-F238E27FC236}">
              <a16:creationId xmlns:a16="http://schemas.microsoft.com/office/drawing/2014/main" id="{00000000-0008-0000-0F00-0000F1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2" name="TextBox 127">
          <a:extLst>
            <a:ext uri="{FF2B5EF4-FFF2-40B4-BE49-F238E27FC236}">
              <a16:creationId xmlns:a16="http://schemas.microsoft.com/office/drawing/2014/main" id="{00000000-0008-0000-0F00-0000F2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3" name="TextBox 118">
          <a:extLst>
            <a:ext uri="{FF2B5EF4-FFF2-40B4-BE49-F238E27FC236}">
              <a16:creationId xmlns:a16="http://schemas.microsoft.com/office/drawing/2014/main" id="{00000000-0008-0000-0F00-0000F3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4" name="TextBox 119">
          <a:extLst>
            <a:ext uri="{FF2B5EF4-FFF2-40B4-BE49-F238E27FC236}">
              <a16:creationId xmlns:a16="http://schemas.microsoft.com/office/drawing/2014/main" id="{00000000-0008-0000-0F00-0000F4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5" name="TextBox 120">
          <a:extLst>
            <a:ext uri="{FF2B5EF4-FFF2-40B4-BE49-F238E27FC236}">
              <a16:creationId xmlns:a16="http://schemas.microsoft.com/office/drawing/2014/main" id="{00000000-0008-0000-0F00-0000F5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6" name="TextBox 121">
          <a:extLst>
            <a:ext uri="{FF2B5EF4-FFF2-40B4-BE49-F238E27FC236}">
              <a16:creationId xmlns:a16="http://schemas.microsoft.com/office/drawing/2014/main" id="{00000000-0008-0000-0F00-0000F6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7" name="TextBox 122">
          <a:extLst>
            <a:ext uri="{FF2B5EF4-FFF2-40B4-BE49-F238E27FC236}">
              <a16:creationId xmlns:a16="http://schemas.microsoft.com/office/drawing/2014/main" id="{00000000-0008-0000-0F00-0000F7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8" name="TextBox 113">
          <a:extLst>
            <a:ext uri="{FF2B5EF4-FFF2-40B4-BE49-F238E27FC236}">
              <a16:creationId xmlns:a16="http://schemas.microsoft.com/office/drawing/2014/main" id="{00000000-0008-0000-0F00-0000F8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49" name="TextBox 114">
          <a:extLst>
            <a:ext uri="{FF2B5EF4-FFF2-40B4-BE49-F238E27FC236}">
              <a16:creationId xmlns:a16="http://schemas.microsoft.com/office/drawing/2014/main" id="{00000000-0008-0000-0F00-0000F9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50" name="TextBox 115">
          <a:extLst>
            <a:ext uri="{FF2B5EF4-FFF2-40B4-BE49-F238E27FC236}">
              <a16:creationId xmlns:a16="http://schemas.microsoft.com/office/drawing/2014/main" id="{00000000-0008-0000-0F00-0000FA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51" name="TextBox 116">
          <a:extLst>
            <a:ext uri="{FF2B5EF4-FFF2-40B4-BE49-F238E27FC236}">
              <a16:creationId xmlns:a16="http://schemas.microsoft.com/office/drawing/2014/main" id="{00000000-0008-0000-0F00-0000FB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52" name="TextBox 117">
          <a:extLst>
            <a:ext uri="{FF2B5EF4-FFF2-40B4-BE49-F238E27FC236}">
              <a16:creationId xmlns:a16="http://schemas.microsoft.com/office/drawing/2014/main" id="{00000000-0008-0000-0F00-0000FC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53" name="TextBox 108">
          <a:extLst>
            <a:ext uri="{FF2B5EF4-FFF2-40B4-BE49-F238E27FC236}">
              <a16:creationId xmlns:a16="http://schemas.microsoft.com/office/drawing/2014/main" id="{00000000-0008-0000-0F00-0000FD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54" name="TextBox 109">
          <a:extLst>
            <a:ext uri="{FF2B5EF4-FFF2-40B4-BE49-F238E27FC236}">
              <a16:creationId xmlns:a16="http://schemas.microsoft.com/office/drawing/2014/main" id="{00000000-0008-0000-0F00-0000FE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55" name="TextBox 110">
          <a:extLst>
            <a:ext uri="{FF2B5EF4-FFF2-40B4-BE49-F238E27FC236}">
              <a16:creationId xmlns:a16="http://schemas.microsoft.com/office/drawing/2014/main" id="{00000000-0008-0000-0F00-0000FF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56" name="TextBox 111">
          <a:extLst>
            <a:ext uri="{FF2B5EF4-FFF2-40B4-BE49-F238E27FC236}">
              <a16:creationId xmlns:a16="http://schemas.microsoft.com/office/drawing/2014/main" id="{00000000-0008-0000-0F00-000000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57" name="TextBox 112">
          <a:extLst>
            <a:ext uri="{FF2B5EF4-FFF2-40B4-BE49-F238E27FC236}">
              <a16:creationId xmlns:a16="http://schemas.microsoft.com/office/drawing/2014/main" id="{00000000-0008-0000-0F00-000001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F00-000002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F00-000003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F00-000004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F00-000005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0F00-000006010000}"/>
            </a:ext>
          </a:extLst>
        </xdr:cNvPr>
        <xdr:cNvSpPr txBox="1"/>
      </xdr:nvSpPr>
      <xdr:spPr>
        <a:xfrm>
          <a:off x="14484350" y="9775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F00-000007010000}"/>
            </a:ext>
          </a:extLst>
        </xdr:cNvPr>
        <xdr:cNvSpPr txBox="1"/>
      </xdr:nvSpPr>
      <xdr:spPr>
        <a:xfrm>
          <a:off x="14484350" y="9775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F00-000008010000}"/>
            </a:ext>
          </a:extLst>
        </xdr:cNvPr>
        <xdr:cNvSpPr txBox="1"/>
      </xdr:nvSpPr>
      <xdr:spPr>
        <a:xfrm>
          <a:off x="14484350" y="9775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09010000}"/>
            </a:ext>
          </a:extLst>
        </xdr:cNvPr>
        <xdr:cNvSpPr txBox="1"/>
      </xdr:nvSpPr>
      <xdr:spPr>
        <a:xfrm>
          <a:off x="14484350" y="9775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0A010000}"/>
            </a:ext>
          </a:extLst>
        </xdr:cNvPr>
        <xdr:cNvSpPr txBox="1"/>
      </xdr:nvSpPr>
      <xdr:spPr>
        <a:xfrm>
          <a:off x="14484350" y="9775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000-000066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000-00006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000-00007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000-00007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1000-000076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1000-00007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1000-000079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1000-00007A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1000-00007B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1000-00007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1000-00007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1000-00007E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1000-00007F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1000-000080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1000-00008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1000-00008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1000-00008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1000-00008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1000-000088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1000-000089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1000-00008A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1000-00008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1000-00008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1000-00008D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1000-00008E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1000-00008F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1000-00009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1000-00009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00000000-0008-0000-1000-000092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00000000-0008-0000-1000-000093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00000000-0008-0000-1000-000094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00000000-0008-0000-1000-000095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00000000-0008-0000-1000-000096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00000000-0008-0000-1000-000097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00000000-0008-0000-1000-000098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00000000-0008-0000-1000-000099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00000000-0008-0000-1000-00009A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00000000-0008-0000-1000-00009B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00000000-0008-0000-1000-00009C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00000000-0008-0000-1000-00009D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00000000-0008-0000-1000-00009E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59" name="TextBox 133">
          <a:extLst>
            <a:ext uri="{FF2B5EF4-FFF2-40B4-BE49-F238E27FC236}">
              <a16:creationId xmlns:a16="http://schemas.microsoft.com/office/drawing/2014/main" id="{00000000-0008-0000-1000-00009F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60" name="TextBox 134">
          <a:extLst>
            <a:ext uri="{FF2B5EF4-FFF2-40B4-BE49-F238E27FC236}">
              <a16:creationId xmlns:a16="http://schemas.microsoft.com/office/drawing/2014/main" id="{00000000-0008-0000-1000-0000A0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61" name="TextBox 135">
          <a:extLst>
            <a:ext uri="{FF2B5EF4-FFF2-40B4-BE49-F238E27FC236}">
              <a16:creationId xmlns:a16="http://schemas.microsoft.com/office/drawing/2014/main" id="{00000000-0008-0000-1000-0000A1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62" name="TextBox 136">
          <a:extLst>
            <a:ext uri="{FF2B5EF4-FFF2-40B4-BE49-F238E27FC236}">
              <a16:creationId xmlns:a16="http://schemas.microsoft.com/office/drawing/2014/main" id="{00000000-0008-0000-1000-0000A2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63" name="TextBox 137">
          <a:extLst>
            <a:ext uri="{FF2B5EF4-FFF2-40B4-BE49-F238E27FC236}">
              <a16:creationId xmlns:a16="http://schemas.microsoft.com/office/drawing/2014/main" id="{00000000-0008-0000-1000-0000A3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64" name="TextBox 138">
          <a:extLst>
            <a:ext uri="{FF2B5EF4-FFF2-40B4-BE49-F238E27FC236}">
              <a16:creationId xmlns:a16="http://schemas.microsoft.com/office/drawing/2014/main" id="{00000000-0008-0000-1000-0000A4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65" name="TextBox 139">
          <a:extLst>
            <a:ext uri="{FF2B5EF4-FFF2-40B4-BE49-F238E27FC236}">
              <a16:creationId xmlns:a16="http://schemas.microsoft.com/office/drawing/2014/main" id="{00000000-0008-0000-1000-0000A5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66" name="TextBox 140">
          <a:extLst>
            <a:ext uri="{FF2B5EF4-FFF2-40B4-BE49-F238E27FC236}">
              <a16:creationId xmlns:a16="http://schemas.microsoft.com/office/drawing/2014/main" id="{00000000-0008-0000-1000-0000A6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67" name="TextBox 141">
          <a:extLst>
            <a:ext uri="{FF2B5EF4-FFF2-40B4-BE49-F238E27FC236}">
              <a16:creationId xmlns:a16="http://schemas.microsoft.com/office/drawing/2014/main" id="{00000000-0008-0000-1000-0000A7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68" name="TextBox 142">
          <a:extLst>
            <a:ext uri="{FF2B5EF4-FFF2-40B4-BE49-F238E27FC236}">
              <a16:creationId xmlns:a16="http://schemas.microsoft.com/office/drawing/2014/main" id="{00000000-0008-0000-1000-0000A8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69" name="TextBox 143">
          <a:extLst>
            <a:ext uri="{FF2B5EF4-FFF2-40B4-BE49-F238E27FC236}">
              <a16:creationId xmlns:a16="http://schemas.microsoft.com/office/drawing/2014/main" id="{00000000-0008-0000-1000-0000A9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70" name="TextBox 144">
          <a:extLst>
            <a:ext uri="{FF2B5EF4-FFF2-40B4-BE49-F238E27FC236}">
              <a16:creationId xmlns:a16="http://schemas.microsoft.com/office/drawing/2014/main" id="{00000000-0008-0000-1000-0000AA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1000-0000AF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1000-0000B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1000-0000B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1000-0000B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000-0000B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000-0000B4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000-0000B5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000-0000B6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1000-0000B7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1000-0000B8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1000-0000B9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1000-0000BA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1000-0000BB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1000-0000BC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1000-0000BD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000-0000BE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000-0000BF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000-0000C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000-0000C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000-0000C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1000-0000C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1000-0000C4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1000-0000C5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1000-0000C6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000-0000C7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000-0000C8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000-0000C9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000-0000CA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000-0000CB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000-0000CC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000-0000CD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1000-0000CE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1000-0000CF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1000-0000D0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1000-0000D1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1000-0000D2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1000-0000D3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1000-0000D4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1000-0000D5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1000-0000D6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1000-0000D7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1000-0000D8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1000-0000D9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1000-0000DA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1000-0000DB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1000-0000DC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1000-0000DD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1000-0000DE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1000-0000DF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1000-0000E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1000-0000E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1000-0000E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27" name="TextBox 108">
          <a:extLst>
            <a:ext uri="{FF2B5EF4-FFF2-40B4-BE49-F238E27FC236}">
              <a16:creationId xmlns:a16="http://schemas.microsoft.com/office/drawing/2014/main" id="{00000000-0008-0000-1000-0000E3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28" name="TextBox 109">
          <a:extLst>
            <a:ext uri="{FF2B5EF4-FFF2-40B4-BE49-F238E27FC236}">
              <a16:creationId xmlns:a16="http://schemas.microsoft.com/office/drawing/2014/main" id="{00000000-0008-0000-1000-0000E4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29" name="TextBox 110">
          <a:extLst>
            <a:ext uri="{FF2B5EF4-FFF2-40B4-BE49-F238E27FC236}">
              <a16:creationId xmlns:a16="http://schemas.microsoft.com/office/drawing/2014/main" id="{00000000-0008-0000-1000-0000E5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30" name="TextBox 111">
          <a:extLst>
            <a:ext uri="{FF2B5EF4-FFF2-40B4-BE49-F238E27FC236}">
              <a16:creationId xmlns:a16="http://schemas.microsoft.com/office/drawing/2014/main" id="{00000000-0008-0000-1000-0000E6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31" name="TextBox 112">
          <a:extLst>
            <a:ext uri="{FF2B5EF4-FFF2-40B4-BE49-F238E27FC236}">
              <a16:creationId xmlns:a16="http://schemas.microsoft.com/office/drawing/2014/main" id="{00000000-0008-0000-1000-0000E7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1000-0000E8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1000-0000E9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1000-0000EA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1000-0000EB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36" name="TextBox 120">
          <a:extLst>
            <a:ext uri="{FF2B5EF4-FFF2-40B4-BE49-F238E27FC236}">
              <a16:creationId xmlns:a16="http://schemas.microsoft.com/office/drawing/2014/main" id="{00000000-0008-0000-1000-0000EC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37" name="TextBox 121">
          <a:extLst>
            <a:ext uri="{FF2B5EF4-FFF2-40B4-BE49-F238E27FC236}">
              <a16:creationId xmlns:a16="http://schemas.microsoft.com/office/drawing/2014/main" id="{00000000-0008-0000-1000-0000ED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38" name="TextBox 122">
          <a:extLst>
            <a:ext uri="{FF2B5EF4-FFF2-40B4-BE49-F238E27FC236}">
              <a16:creationId xmlns:a16="http://schemas.microsoft.com/office/drawing/2014/main" id="{00000000-0008-0000-1000-0000EE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39" name="TextBox 123">
          <a:extLst>
            <a:ext uri="{FF2B5EF4-FFF2-40B4-BE49-F238E27FC236}">
              <a16:creationId xmlns:a16="http://schemas.microsoft.com/office/drawing/2014/main" id="{00000000-0008-0000-1000-0000EF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40" name="TextBox 124">
          <a:extLst>
            <a:ext uri="{FF2B5EF4-FFF2-40B4-BE49-F238E27FC236}">
              <a16:creationId xmlns:a16="http://schemas.microsoft.com/office/drawing/2014/main" id="{00000000-0008-0000-1000-0000F0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41" name="TextBox 108">
          <a:extLst>
            <a:ext uri="{FF2B5EF4-FFF2-40B4-BE49-F238E27FC236}">
              <a16:creationId xmlns:a16="http://schemas.microsoft.com/office/drawing/2014/main" id="{00000000-0008-0000-1000-0000F1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42" name="TextBox 109">
          <a:extLst>
            <a:ext uri="{FF2B5EF4-FFF2-40B4-BE49-F238E27FC236}">
              <a16:creationId xmlns:a16="http://schemas.microsoft.com/office/drawing/2014/main" id="{00000000-0008-0000-1000-0000F2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43" name="TextBox 110">
          <a:extLst>
            <a:ext uri="{FF2B5EF4-FFF2-40B4-BE49-F238E27FC236}">
              <a16:creationId xmlns:a16="http://schemas.microsoft.com/office/drawing/2014/main" id="{00000000-0008-0000-1000-0000F3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44" name="TextBox 111">
          <a:extLst>
            <a:ext uri="{FF2B5EF4-FFF2-40B4-BE49-F238E27FC236}">
              <a16:creationId xmlns:a16="http://schemas.microsoft.com/office/drawing/2014/main" id="{00000000-0008-0000-1000-0000F4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44</xdr:col>
      <xdr:colOff>0</xdr:colOff>
      <xdr:row>133</xdr:row>
      <xdr:rowOff>0</xdr:rowOff>
    </xdr:from>
    <xdr:ext cx="65" cy="172227"/>
    <xdr:sp macro="" textlink="">
      <xdr:nvSpPr>
        <xdr:cNvPr id="245" name="TextBox 112">
          <a:extLst>
            <a:ext uri="{FF2B5EF4-FFF2-40B4-BE49-F238E27FC236}">
              <a16:creationId xmlns:a16="http://schemas.microsoft.com/office/drawing/2014/main" id="{00000000-0008-0000-1000-0000F5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1000-0000F6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1000-0000F7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1000-0000F8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1000-0000F9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0" name="TextBox 125">
          <a:extLst>
            <a:ext uri="{FF2B5EF4-FFF2-40B4-BE49-F238E27FC236}">
              <a16:creationId xmlns:a16="http://schemas.microsoft.com/office/drawing/2014/main" id="{00000000-0008-0000-1000-0000FA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1" name="TextBox 126">
          <a:extLst>
            <a:ext uri="{FF2B5EF4-FFF2-40B4-BE49-F238E27FC236}">
              <a16:creationId xmlns:a16="http://schemas.microsoft.com/office/drawing/2014/main" id="{00000000-0008-0000-1000-0000FB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2" name="TextBox 127">
          <a:extLst>
            <a:ext uri="{FF2B5EF4-FFF2-40B4-BE49-F238E27FC236}">
              <a16:creationId xmlns:a16="http://schemas.microsoft.com/office/drawing/2014/main" id="{00000000-0008-0000-1000-0000FC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3" name="TextBox 128">
          <a:extLst>
            <a:ext uri="{FF2B5EF4-FFF2-40B4-BE49-F238E27FC236}">
              <a16:creationId xmlns:a16="http://schemas.microsoft.com/office/drawing/2014/main" id="{00000000-0008-0000-1000-0000FD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4" name="TextBox 129">
          <a:extLst>
            <a:ext uri="{FF2B5EF4-FFF2-40B4-BE49-F238E27FC236}">
              <a16:creationId xmlns:a16="http://schemas.microsoft.com/office/drawing/2014/main" id="{00000000-0008-0000-1000-0000FE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00000000-0008-0000-1000-0000FF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00000000-0008-0000-1000-000000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00000000-0008-0000-1000-000001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00000000-0008-0000-1000-000002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00000000-0008-0000-1000-000003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00000000-0008-0000-1000-000004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00000000-0008-0000-1000-000005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000000-0008-0000-1000-000006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00000000-0008-0000-1000-000007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00000000-0008-0000-1000-000008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1000-00000901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1000-00000A01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1000-00000B01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1000-00000C01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69" name="TextBox 130">
          <a:extLst>
            <a:ext uri="{FF2B5EF4-FFF2-40B4-BE49-F238E27FC236}">
              <a16:creationId xmlns:a16="http://schemas.microsoft.com/office/drawing/2014/main" id="{00000000-0008-0000-1000-00000D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0" name="TextBox 131">
          <a:extLst>
            <a:ext uri="{FF2B5EF4-FFF2-40B4-BE49-F238E27FC236}">
              <a16:creationId xmlns:a16="http://schemas.microsoft.com/office/drawing/2014/main" id="{00000000-0008-0000-1000-00000E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1" name="TextBox 132">
          <a:extLst>
            <a:ext uri="{FF2B5EF4-FFF2-40B4-BE49-F238E27FC236}">
              <a16:creationId xmlns:a16="http://schemas.microsoft.com/office/drawing/2014/main" id="{00000000-0008-0000-1000-00000F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2" name="TextBox 133">
          <a:extLst>
            <a:ext uri="{FF2B5EF4-FFF2-40B4-BE49-F238E27FC236}">
              <a16:creationId xmlns:a16="http://schemas.microsoft.com/office/drawing/2014/main" id="{00000000-0008-0000-1000-000010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3" name="TextBox 134">
          <a:extLst>
            <a:ext uri="{FF2B5EF4-FFF2-40B4-BE49-F238E27FC236}">
              <a16:creationId xmlns:a16="http://schemas.microsoft.com/office/drawing/2014/main" id="{00000000-0008-0000-1000-000011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4" name="TextBox 125">
          <a:extLst>
            <a:ext uri="{FF2B5EF4-FFF2-40B4-BE49-F238E27FC236}">
              <a16:creationId xmlns:a16="http://schemas.microsoft.com/office/drawing/2014/main" id="{00000000-0008-0000-1000-000012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5" name="TextBox 126">
          <a:extLst>
            <a:ext uri="{FF2B5EF4-FFF2-40B4-BE49-F238E27FC236}">
              <a16:creationId xmlns:a16="http://schemas.microsoft.com/office/drawing/2014/main" id="{00000000-0008-0000-1000-000013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6" name="TextBox 127">
          <a:extLst>
            <a:ext uri="{FF2B5EF4-FFF2-40B4-BE49-F238E27FC236}">
              <a16:creationId xmlns:a16="http://schemas.microsoft.com/office/drawing/2014/main" id="{00000000-0008-0000-1000-000014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7" name="TextBox 128">
          <a:extLst>
            <a:ext uri="{FF2B5EF4-FFF2-40B4-BE49-F238E27FC236}">
              <a16:creationId xmlns:a16="http://schemas.microsoft.com/office/drawing/2014/main" id="{00000000-0008-0000-1000-000015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8" name="TextBox 129">
          <a:extLst>
            <a:ext uri="{FF2B5EF4-FFF2-40B4-BE49-F238E27FC236}">
              <a16:creationId xmlns:a16="http://schemas.microsoft.com/office/drawing/2014/main" id="{00000000-0008-0000-1000-000016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00000000-0008-0000-1000-000017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00000000-0008-0000-1000-000018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00000000-0008-0000-1000-000019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00000000-0008-0000-1000-00001A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00000000-0008-0000-1000-00001B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00000000-0008-0000-1000-00001C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00000000-0008-0000-1000-00001D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000000-0008-0000-1000-00001E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00000000-0008-0000-1000-00001F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00000000-0008-0000-1000-000020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1000-00002101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1000-00002201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1000-00002301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1000-00002401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3" name="TextBox 135">
          <a:extLst>
            <a:ext uri="{FF2B5EF4-FFF2-40B4-BE49-F238E27FC236}">
              <a16:creationId xmlns:a16="http://schemas.microsoft.com/office/drawing/2014/main" id="{00000000-0008-0000-1000-000025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4" name="TextBox 136">
          <a:extLst>
            <a:ext uri="{FF2B5EF4-FFF2-40B4-BE49-F238E27FC236}">
              <a16:creationId xmlns:a16="http://schemas.microsoft.com/office/drawing/2014/main" id="{00000000-0008-0000-1000-000026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5" name="TextBox 137">
          <a:extLst>
            <a:ext uri="{FF2B5EF4-FFF2-40B4-BE49-F238E27FC236}">
              <a16:creationId xmlns:a16="http://schemas.microsoft.com/office/drawing/2014/main" id="{00000000-0008-0000-1000-000027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6" name="TextBox 138">
          <a:extLst>
            <a:ext uri="{FF2B5EF4-FFF2-40B4-BE49-F238E27FC236}">
              <a16:creationId xmlns:a16="http://schemas.microsoft.com/office/drawing/2014/main" id="{00000000-0008-0000-1000-000028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7" name="TextBox 139">
          <a:extLst>
            <a:ext uri="{FF2B5EF4-FFF2-40B4-BE49-F238E27FC236}">
              <a16:creationId xmlns:a16="http://schemas.microsoft.com/office/drawing/2014/main" id="{00000000-0008-0000-1000-000029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8" name="TextBox 130">
          <a:extLst>
            <a:ext uri="{FF2B5EF4-FFF2-40B4-BE49-F238E27FC236}">
              <a16:creationId xmlns:a16="http://schemas.microsoft.com/office/drawing/2014/main" id="{00000000-0008-0000-1000-00002A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9" name="TextBox 131">
          <a:extLst>
            <a:ext uri="{FF2B5EF4-FFF2-40B4-BE49-F238E27FC236}">
              <a16:creationId xmlns:a16="http://schemas.microsoft.com/office/drawing/2014/main" id="{00000000-0008-0000-1000-00002B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0" name="TextBox 132">
          <a:extLst>
            <a:ext uri="{FF2B5EF4-FFF2-40B4-BE49-F238E27FC236}">
              <a16:creationId xmlns:a16="http://schemas.microsoft.com/office/drawing/2014/main" id="{00000000-0008-0000-1000-00002C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1" name="TextBox 133">
          <a:extLst>
            <a:ext uri="{FF2B5EF4-FFF2-40B4-BE49-F238E27FC236}">
              <a16:creationId xmlns:a16="http://schemas.microsoft.com/office/drawing/2014/main" id="{00000000-0008-0000-1000-00002D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2" name="TextBox 134">
          <a:extLst>
            <a:ext uri="{FF2B5EF4-FFF2-40B4-BE49-F238E27FC236}">
              <a16:creationId xmlns:a16="http://schemas.microsoft.com/office/drawing/2014/main" id="{00000000-0008-0000-1000-00002E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3" name="TextBox 125">
          <a:extLst>
            <a:ext uri="{FF2B5EF4-FFF2-40B4-BE49-F238E27FC236}">
              <a16:creationId xmlns:a16="http://schemas.microsoft.com/office/drawing/2014/main" id="{00000000-0008-0000-1000-00002F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4" name="TextBox 126">
          <a:extLst>
            <a:ext uri="{FF2B5EF4-FFF2-40B4-BE49-F238E27FC236}">
              <a16:creationId xmlns:a16="http://schemas.microsoft.com/office/drawing/2014/main" id="{00000000-0008-0000-1000-000030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5" name="TextBox 127">
          <a:extLst>
            <a:ext uri="{FF2B5EF4-FFF2-40B4-BE49-F238E27FC236}">
              <a16:creationId xmlns:a16="http://schemas.microsoft.com/office/drawing/2014/main" id="{00000000-0008-0000-1000-000031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6" name="TextBox 128">
          <a:extLst>
            <a:ext uri="{FF2B5EF4-FFF2-40B4-BE49-F238E27FC236}">
              <a16:creationId xmlns:a16="http://schemas.microsoft.com/office/drawing/2014/main" id="{00000000-0008-0000-1000-000032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7" name="TextBox 129">
          <a:extLst>
            <a:ext uri="{FF2B5EF4-FFF2-40B4-BE49-F238E27FC236}">
              <a16:creationId xmlns:a16="http://schemas.microsoft.com/office/drawing/2014/main" id="{00000000-0008-0000-1000-000033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8" name="TextBox 120">
          <a:extLst>
            <a:ext uri="{FF2B5EF4-FFF2-40B4-BE49-F238E27FC236}">
              <a16:creationId xmlns:a16="http://schemas.microsoft.com/office/drawing/2014/main" id="{00000000-0008-0000-1000-000034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9" name="TextBox 121">
          <a:extLst>
            <a:ext uri="{FF2B5EF4-FFF2-40B4-BE49-F238E27FC236}">
              <a16:creationId xmlns:a16="http://schemas.microsoft.com/office/drawing/2014/main" id="{00000000-0008-0000-1000-000035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0" name="TextBox 122">
          <a:extLst>
            <a:ext uri="{FF2B5EF4-FFF2-40B4-BE49-F238E27FC236}">
              <a16:creationId xmlns:a16="http://schemas.microsoft.com/office/drawing/2014/main" id="{00000000-0008-0000-1000-000036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1" name="TextBox 123">
          <a:extLst>
            <a:ext uri="{FF2B5EF4-FFF2-40B4-BE49-F238E27FC236}">
              <a16:creationId xmlns:a16="http://schemas.microsoft.com/office/drawing/2014/main" id="{00000000-0008-0000-1000-000037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2" name="TextBox 124">
          <a:extLst>
            <a:ext uri="{FF2B5EF4-FFF2-40B4-BE49-F238E27FC236}">
              <a16:creationId xmlns:a16="http://schemas.microsoft.com/office/drawing/2014/main" id="{00000000-0008-0000-1000-000038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3" name="TextBox 108">
          <a:extLst>
            <a:ext uri="{FF2B5EF4-FFF2-40B4-BE49-F238E27FC236}">
              <a16:creationId xmlns:a16="http://schemas.microsoft.com/office/drawing/2014/main" id="{00000000-0008-0000-1000-000039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4" name="TextBox 109">
          <a:extLst>
            <a:ext uri="{FF2B5EF4-FFF2-40B4-BE49-F238E27FC236}">
              <a16:creationId xmlns:a16="http://schemas.microsoft.com/office/drawing/2014/main" id="{00000000-0008-0000-1000-00003A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5" name="TextBox 110">
          <a:extLst>
            <a:ext uri="{FF2B5EF4-FFF2-40B4-BE49-F238E27FC236}">
              <a16:creationId xmlns:a16="http://schemas.microsoft.com/office/drawing/2014/main" id="{00000000-0008-0000-1000-00003B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6" name="TextBox 111">
          <a:extLst>
            <a:ext uri="{FF2B5EF4-FFF2-40B4-BE49-F238E27FC236}">
              <a16:creationId xmlns:a16="http://schemas.microsoft.com/office/drawing/2014/main" id="{00000000-0008-0000-1000-00003C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7" name="TextBox 112">
          <a:extLst>
            <a:ext uri="{FF2B5EF4-FFF2-40B4-BE49-F238E27FC236}">
              <a16:creationId xmlns:a16="http://schemas.microsoft.com/office/drawing/2014/main" id="{00000000-0008-0000-1000-00003D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1000-00003E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1000-00003F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1000-000040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1000-000041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1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1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1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1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1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1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1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1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100-00005C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100-00005D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100-00005E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100-00005F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100-000060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100-000061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100-000062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100-000063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100-000064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100-000065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100-000066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100-000067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100-000068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100-000069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100-00006A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100-00006B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100-00006C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100-00006D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100-00006E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100-00006F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100-000070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100-000071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100-000072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100-000073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100-000074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00000000-0008-0000-1100-000075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00000000-0008-0000-1100-000076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00000000-0008-0000-1100-000077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00000000-0008-0000-1100-000078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00000000-0008-0000-1100-000079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00000000-0008-0000-1100-00007A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00000000-0008-0000-1100-00007B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00000000-0008-0000-1100-00007C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00000000-0008-0000-1100-00007D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00000000-0008-0000-1100-00007E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00000000-0008-0000-1100-00007F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00000000-0008-0000-1100-000080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00000000-0008-0000-1100-000081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00000000-0008-0000-1100-000082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00000000-0008-0000-1100-000083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00000000-0008-0000-1100-000084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00000000-0008-0000-1100-000085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00000000-0008-0000-1100-000086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00000000-0008-0000-1100-000087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00000000-0008-0000-1100-000088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00000000-0008-0000-1100-000089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00000000-0008-0000-1100-00008A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00000000-0008-0000-1100-00008B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00000000-0008-0000-1100-00008C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00000000-0008-0000-1100-00008D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1100-00008E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1100-00008F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1100-00009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1100-00009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100-00009A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100-00009B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100-00009C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100-00009D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1100-00009E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1100-00009F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1100-0000A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1100-0000A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100-0000A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100-0000A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100-0000A4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100-0000A5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1100-0000A6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1100-0000A7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100-0000A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1100-0000A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1100-0000A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1100-0000A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1100-0000AC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1100-0000AD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1100-0000AE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1100-0000AF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1100-0000B0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1100-0000B1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1100-0000B2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100-0000B3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100-0000B4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100-0000B5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100-0000B6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1100-0000B7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1100-0000B8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1100-0000B9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1100-0000BA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1100-0000BB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1100-0000BC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1100-0000BD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100-0000BE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100-0000BF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100-0000C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100-0000C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100-0000C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1100-0000C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1100-0000C4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1100-0000C5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1100-0000C6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100-0000C7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100-0000C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100-0000C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100-0000C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100-0000C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100-0000CC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100-0000CD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1100-0000CE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1100-0000CF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1100-0000D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1100-0000D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0" name="TextBox 120">
          <a:extLst>
            <a:ext uri="{FF2B5EF4-FFF2-40B4-BE49-F238E27FC236}">
              <a16:creationId xmlns:a16="http://schemas.microsoft.com/office/drawing/2014/main" id="{00000000-0008-0000-1100-0000D2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1" name="TextBox 121">
          <a:extLst>
            <a:ext uri="{FF2B5EF4-FFF2-40B4-BE49-F238E27FC236}">
              <a16:creationId xmlns:a16="http://schemas.microsoft.com/office/drawing/2014/main" id="{00000000-0008-0000-1100-0000D3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2" name="TextBox 122">
          <a:extLst>
            <a:ext uri="{FF2B5EF4-FFF2-40B4-BE49-F238E27FC236}">
              <a16:creationId xmlns:a16="http://schemas.microsoft.com/office/drawing/2014/main" id="{00000000-0008-0000-1100-0000D4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3" name="TextBox 123">
          <a:extLst>
            <a:ext uri="{FF2B5EF4-FFF2-40B4-BE49-F238E27FC236}">
              <a16:creationId xmlns:a16="http://schemas.microsoft.com/office/drawing/2014/main" id="{00000000-0008-0000-1100-0000D5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4" name="TextBox 124">
          <a:extLst>
            <a:ext uri="{FF2B5EF4-FFF2-40B4-BE49-F238E27FC236}">
              <a16:creationId xmlns:a16="http://schemas.microsoft.com/office/drawing/2014/main" id="{00000000-0008-0000-1100-0000D6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5" name="TextBox 108">
          <a:extLst>
            <a:ext uri="{FF2B5EF4-FFF2-40B4-BE49-F238E27FC236}">
              <a16:creationId xmlns:a16="http://schemas.microsoft.com/office/drawing/2014/main" id="{00000000-0008-0000-1100-0000D7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6" name="TextBox 109">
          <a:extLst>
            <a:ext uri="{FF2B5EF4-FFF2-40B4-BE49-F238E27FC236}">
              <a16:creationId xmlns:a16="http://schemas.microsoft.com/office/drawing/2014/main" id="{00000000-0008-0000-1100-0000D8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7" name="TextBox 110">
          <a:extLst>
            <a:ext uri="{FF2B5EF4-FFF2-40B4-BE49-F238E27FC236}">
              <a16:creationId xmlns:a16="http://schemas.microsoft.com/office/drawing/2014/main" id="{00000000-0008-0000-1100-0000D9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8" name="TextBox 111">
          <a:extLst>
            <a:ext uri="{FF2B5EF4-FFF2-40B4-BE49-F238E27FC236}">
              <a16:creationId xmlns:a16="http://schemas.microsoft.com/office/drawing/2014/main" id="{00000000-0008-0000-1100-0000DA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133</xdr:row>
      <xdr:rowOff>0</xdr:rowOff>
    </xdr:from>
    <xdr:ext cx="65" cy="172227"/>
    <xdr:sp macro="" textlink="">
      <xdr:nvSpPr>
        <xdr:cNvPr id="219" name="TextBox 112">
          <a:extLst>
            <a:ext uri="{FF2B5EF4-FFF2-40B4-BE49-F238E27FC236}">
              <a16:creationId xmlns:a16="http://schemas.microsoft.com/office/drawing/2014/main" id="{00000000-0008-0000-1100-0000DB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1100-0000DC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1100-0000DD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1100-0000DE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1100-0000DF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24" name="TextBox 91">
          <a:extLst>
            <a:ext uri="{FF2B5EF4-FFF2-40B4-BE49-F238E27FC236}">
              <a16:creationId xmlns:a16="http://schemas.microsoft.com/office/drawing/2014/main" id="{00000000-0008-0000-1100-0000E0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25" name="TextBox 92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26" name="TextBox 93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27" name="TextBox 94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28" name="TextBox 95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29" name="TextBox 12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30" name="TextBox 12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31" name="TextBox 12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32" name="TextBox 12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33" name="TextBox 124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34" name="TextBox 108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35" name="TextBox 109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36" name="TextBox 110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37" name="TextBox 111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45</xdr:col>
      <xdr:colOff>0</xdr:colOff>
      <xdr:row>133</xdr:row>
      <xdr:rowOff>0</xdr:rowOff>
    </xdr:from>
    <xdr:ext cx="65" cy="172227"/>
    <xdr:sp macro="" textlink="">
      <xdr:nvSpPr>
        <xdr:cNvPr id="238" name="TextBox 112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43" name="TextBox 96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44" name="TextBox 97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45" name="TextBox 98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46" name="TextBox 99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47" name="TextBox 100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48" name="TextBox 91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49" name="TextBox 9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0" name="TextBox 9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1" name="TextBox 9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2" name="TextBox 9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3" name="TextBox 120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4" name="TextBox 121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5" name="TextBox 122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6" name="TextBox 123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7" name="TextBox 124">
          <a:extLst>
            <a:ext uri="{FF2B5EF4-FFF2-40B4-BE49-F238E27FC236}">
              <a16:creationId xmlns:a16="http://schemas.microsoft.com/office/drawing/2014/main" id="{00000000-0008-0000-1100-000001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8" name="TextBox 108">
          <a:extLst>
            <a:ext uri="{FF2B5EF4-FFF2-40B4-BE49-F238E27FC236}">
              <a16:creationId xmlns:a16="http://schemas.microsoft.com/office/drawing/2014/main" id="{00000000-0008-0000-1100-000002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59" name="TextBox 109">
          <a:extLst>
            <a:ext uri="{FF2B5EF4-FFF2-40B4-BE49-F238E27FC236}">
              <a16:creationId xmlns:a16="http://schemas.microsoft.com/office/drawing/2014/main" id="{00000000-0008-0000-1100-000003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60" name="TextBox 110">
          <a:extLst>
            <a:ext uri="{FF2B5EF4-FFF2-40B4-BE49-F238E27FC236}">
              <a16:creationId xmlns:a16="http://schemas.microsoft.com/office/drawing/2014/main" id="{00000000-0008-0000-1100-000004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61" name="TextBox 111">
          <a:extLst>
            <a:ext uri="{FF2B5EF4-FFF2-40B4-BE49-F238E27FC236}">
              <a16:creationId xmlns:a16="http://schemas.microsoft.com/office/drawing/2014/main" id="{00000000-0008-0000-1100-000005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69</xdr:col>
      <xdr:colOff>0</xdr:colOff>
      <xdr:row>133</xdr:row>
      <xdr:rowOff>0</xdr:rowOff>
    </xdr:from>
    <xdr:ext cx="65" cy="172227"/>
    <xdr:sp macro="" textlink="">
      <xdr:nvSpPr>
        <xdr:cNvPr id="262" name="TextBox 112">
          <a:extLst>
            <a:ext uri="{FF2B5EF4-FFF2-40B4-BE49-F238E27FC236}">
              <a16:creationId xmlns:a16="http://schemas.microsoft.com/office/drawing/2014/main" id="{00000000-0008-0000-1100-000006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1100-00000801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1100-00000A01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67" name="TextBox 101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68" name="TextBox 102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69" name="TextBox 103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0" name="TextBox 104">
          <a:extLst>
            <a:ext uri="{FF2B5EF4-FFF2-40B4-BE49-F238E27FC236}">
              <a16:creationId xmlns:a16="http://schemas.microsoft.com/office/drawing/2014/main" id="{00000000-0008-0000-1100-00000E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1" name="TextBox 105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2" name="TextBox 96">
          <a:extLst>
            <a:ext uri="{FF2B5EF4-FFF2-40B4-BE49-F238E27FC236}">
              <a16:creationId xmlns:a16="http://schemas.microsoft.com/office/drawing/2014/main" id="{00000000-0008-0000-1100-000010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3" name="TextBox 97">
          <a:extLst>
            <a:ext uri="{FF2B5EF4-FFF2-40B4-BE49-F238E27FC236}">
              <a16:creationId xmlns:a16="http://schemas.microsoft.com/office/drawing/2014/main" id="{00000000-0008-0000-1100-000011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4" name="TextBox 98">
          <a:extLst>
            <a:ext uri="{FF2B5EF4-FFF2-40B4-BE49-F238E27FC236}">
              <a16:creationId xmlns:a16="http://schemas.microsoft.com/office/drawing/2014/main" id="{00000000-0008-0000-1100-000012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5" name="TextBox 99">
          <a:extLst>
            <a:ext uri="{FF2B5EF4-FFF2-40B4-BE49-F238E27FC236}">
              <a16:creationId xmlns:a16="http://schemas.microsoft.com/office/drawing/2014/main" id="{00000000-0008-0000-1100-000013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6" name="TextBox 100">
          <a:extLst>
            <a:ext uri="{FF2B5EF4-FFF2-40B4-BE49-F238E27FC236}">
              <a16:creationId xmlns:a16="http://schemas.microsoft.com/office/drawing/2014/main" id="{00000000-0008-0000-1100-000014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7" name="TextBox 91">
          <a:extLst>
            <a:ext uri="{FF2B5EF4-FFF2-40B4-BE49-F238E27FC236}">
              <a16:creationId xmlns:a16="http://schemas.microsoft.com/office/drawing/2014/main" id="{00000000-0008-0000-1100-000015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8" name="TextBox 92">
          <a:extLst>
            <a:ext uri="{FF2B5EF4-FFF2-40B4-BE49-F238E27FC236}">
              <a16:creationId xmlns:a16="http://schemas.microsoft.com/office/drawing/2014/main" id="{00000000-0008-0000-1100-000016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79" name="TextBox 93">
          <a:extLst>
            <a:ext uri="{FF2B5EF4-FFF2-40B4-BE49-F238E27FC236}">
              <a16:creationId xmlns:a16="http://schemas.microsoft.com/office/drawing/2014/main" id="{00000000-0008-0000-1100-000017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0" name="TextBox 94">
          <a:extLst>
            <a:ext uri="{FF2B5EF4-FFF2-40B4-BE49-F238E27FC236}">
              <a16:creationId xmlns:a16="http://schemas.microsoft.com/office/drawing/2014/main" id="{00000000-0008-0000-1100-000018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1" name="TextBox 95">
          <a:extLst>
            <a:ext uri="{FF2B5EF4-FFF2-40B4-BE49-F238E27FC236}">
              <a16:creationId xmlns:a16="http://schemas.microsoft.com/office/drawing/2014/main" id="{00000000-0008-0000-1100-000019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2" name="TextBox 120">
          <a:extLst>
            <a:ext uri="{FF2B5EF4-FFF2-40B4-BE49-F238E27FC236}">
              <a16:creationId xmlns:a16="http://schemas.microsoft.com/office/drawing/2014/main" id="{00000000-0008-0000-1100-00001A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3" name="TextBox 121">
          <a:extLst>
            <a:ext uri="{FF2B5EF4-FFF2-40B4-BE49-F238E27FC236}">
              <a16:creationId xmlns:a16="http://schemas.microsoft.com/office/drawing/2014/main" id="{00000000-0008-0000-1100-00001B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4" name="TextBox 122">
          <a:extLst>
            <a:ext uri="{FF2B5EF4-FFF2-40B4-BE49-F238E27FC236}">
              <a16:creationId xmlns:a16="http://schemas.microsoft.com/office/drawing/2014/main" id="{00000000-0008-0000-1100-00001C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5" name="TextBox 123">
          <a:extLst>
            <a:ext uri="{FF2B5EF4-FFF2-40B4-BE49-F238E27FC236}">
              <a16:creationId xmlns:a16="http://schemas.microsoft.com/office/drawing/2014/main" id="{00000000-0008-0000-1100-00001D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6" name="TextBox 124">
          <a:extLst>
            <a:ext uri="{FF2B5EF4-FFF2-40B4-BE49-F238E27FC236}">
              <a16:creationId xmlns:a16="http://schemas.microsoft.com/office/drawing/2014/main" id="{00000000-0008-0000-1100-00001E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7" name="TextBox 108">
          <a:extLst>
            <a:ext uri="{FF2B5EF4-FFF2-40B4-BE49-F238E27FC236}">
              <a16:creationId xmlns:a16="http://schemas.microsoft.com/office/drawing/2014/main" id="{00000000-0008-0000-1100-00001F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8" name="TextBox 109">
          <a:extLst>
            <a:ext uri="{FF2B5EF4-FFF2-40B4-BE49-F238E27FC236}">
              <a16:creationId xmlns:a16="http://schemas.microsoft.com/office/drawing/2014/main" id="{00000000-0008-0000-1100-000020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89" name="TextBox 110">
          <a:extLst>
            <a:ext uri="{FF2B5EF4-FFF2-40B4-BE49-F238E27FC236}">
              <a16:creationId xmlns:a16="http://schemas.microsoft.com/office/drawing/2014/main" id="{00000000-0008-0000-1100-000021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90" name="TextBox 111">
          <a:extLst>
            <a:ext uri="{FF2B5EF4-FFF2-40B4-BE49-F238E27FC236}">
              <a16:creationId xmlns:a16="http://schemas.microsoft.com/office/drawing/2014/main" id="{00000000-0008-0000-1100-000022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93</xdr:col>
      <xdr:colOff>0</xdr:colOff>
      <xdr:row>133</xdr:row>
      <xdr:rowOff>0</xdr:rowOff>
    </xdr:from>
    <xdr:ext cx="65" cy="172227"/>
    <xdr:sp macro="" textlink="">
      <xdr:nvSpPr>
        <xdr:cNvPr id="291" name="TextBox 112">
          <a:extLst>
            <a:ext uri="{FF2B5EF4-FFF2-40B4-BE49-F238E27FC236}">
              <a16:creationId xmlns:a16="http://schemas.microsoft.com/office/drawing/2014/main" id="{00000000-0008-0000-1100-000023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1100-00002401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1100-00002501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1100-00002601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1100-00002701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6" name="TextBox 106">
          <a:extLst>
            <a:ext uri="{FF2B5EF4-FFF2-40B4-BE49-F238E27FC236}">
              <a16:creationId xmlns:a16="http://schemas.microsoft.com/office/drawing/2014/main" id="{00000000-0008-0000-1100-000028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7" name="TextBox 107">
          <a:extLst>
            <a:ext uri="{FF2B5EF4-FFF2-40B4-BE49-F238E27FC236}">
              <a16:creationId xmlns:a16="http://schemas.microsoft.com/office/drawing/2014/main" id="{00000000-0008-0000-1100-000029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8" name="TextBox 108">
          <a:extLst>
            <a:ext uri="{FF2B5EF4-FFF2-40B4-BE49-F238E27FC236}">
              <a16:creationId xmlns:a16="http://schemas.microsoft.com/office/drawing/2014/main" id="{00000000-0008-0000-1100-00002A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299" name="TextBox 109">
          <a:extLst>
            <a:ext uri="{FF2B5EF4-FFF2-40B4-BE49-F238E27FC236}">
              <a16:creationId xmlns:a16="http://schemas.microsoft.com/office/drawing/2014/main" id="{00000000-0008-0000-1100-00002B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0" name="TextBox 110">
          <a:extLst>
            <a:ext uri="{FF2B5EF4-FFF2-40B4-BE49-F238E27FC236}">
              <a16:creationId xmlns:a16="http://schemas.microsoft.com/office/drawing/2014/main" id="{00000000-0008-0000-1100-00002C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1" name="TextBox 101">
          <a:extLst>
            <a:ext uri="{FF2B5EF4-FFF2-40B4-BE49-F238E27FC236}">
              <a16:creationId xmlns:a16="http://schemas.microsoft.com/office/drawing/2014/main" id="{00000000-0008-0000-1100-00002D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2" name="TextBox 102">
          <a:extLst>
            <a:ext uri="{FF2B5EF4-FFF2-40B4-BE49-F238E27FC236}">
              <a16:creationId xmlns:a16="http://schemas.microsoft.com/office/drawing/2014/main" id="{00000000-0008-0000-1100-00002E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3" name="TextBox 103">
          <a:extLst>
            <a:ext uri="{FF2B5EF4-FFF2-40B4-BE49-F238E27FC236}">
              <a16:creationId xmlns:a16="http://schemas.microsoft.com/office/drawing/2014/main" id="{00000000-0008-0000-1100-00002F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4" name="TextBox 104">
          <a:extLst>
            <a:ext uri="{FF2B5EF4-FFF2-40B4-BE49-F238E27FC236}">
              <a16:creationId xmlns:a16="http://schemas.microsoft.com/office/drawing/2014/main" id="{00000000-0008-0000-1100-000030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5" name="TextBox 105">
          <a:extLst>
            <a:ext uri="{FF2B5EF4-FFF2-40B4-BE49-F238E27FC236}">
              <a16:creationId xmlns:a16="http://schemas.microsoft.com/office/drawing/2014/main" id="{00000000-0008-0000-1100-000031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6" name="TextBox 96">
          <a:extLst>
            <a:ext uri="{FF2B5EF4-FFF2-40B4-BE49-F238E27FC236}">
              <a16:creationId xmlns:a16="http://schemas.microsoft.com/office/drawing/2014/main" id="{00000000-0008-0000-1100-000032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7" name="TextBox 97">
          <a:extLst>
            <a:ext uri="{FF2B5EF4-FFF2-40B4-BE49-F238E27FC236}">
              <a16:creationId xmlns:a16="http://schemas.microsoft.com/office/drawing/2014/main" id="{00000000-0008-0000-1100-000033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8" name="TextBox 98">
          <a:extLst>
            <a:ext uri="{FF2B5EF4-FFF2-40B4-BE49-F238E27FC236}">
              <a16:creationId xmlns:a16="http://schemas.microsoft.com/office/drawing/2014/main" id="{00000000-0008-0000-1100-000034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09" name="TextBox 99">
          <a:extLst>
            <a:ext uri="{FF2B5EF4-FFF2-40B4-BE49-F238E27FC236}">
              <a16:creationId xmlns:a16="http://schemas.microsoft.com/office/drawing/2014/main" id="{00000000-0008-0000-1100-000035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0" name="TextBox 100">
          <a:extLst>
            <a:ext uri="{FF2B5EF4-FFF2-40B4-BE49-F238E27FC236}">
              <a16:creationId xmlns:a16="http://schemas.microsoft.com/office/drawing/2014/main" id="{00000000-0008-0000-1100-000036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1" name="TextBox 91">
          <a:extLst>
            <a:ext uri="{FF2B5EF4-FFF2-40B4-BE49-F238E27FC236}">
              <a16:creationId xmlns:a16="http://schemas.microsoft.com/office/drawing/2014/main" id="{00000000-0008-0000-1100-000037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2" name="TextBox 92">
          <a:extLst>
            <a:ext uri="{FF2B5EF4-FFF2-40B4-BE49-F238E27FC236}">
              <a16:creationId xmlns:a16="http://schemas.microsoft.com/office/drawing/2014/main" id="{00000000-0008-0000-1100-000038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3" name="TextBox 93">
          <a:extLst>
            <a:ext uri="{FF2B5EF4-FFF2-40B4-BE49-F238E27FC236}">
              <a16:creationId xmlns:a16="http://schemas.microsoft.com/office/drawing/2014/main" id="{00000000-0008-0000-1100-000039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4" name="TextBox 94">
          <a:extLst>
            <a:ext uri="{FF2B5EF4-FFF2-40B4-BE49-F238E27FC236}">
              <a16:creationId xmlns:a16="http://schemas.microsoft.com/office/drawing/2014/main" id="{00000000-0008-0000-1100-00003A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5" name="TextBox 95">
          <a:extLst>
            <a:ext uri="{FF2B5EF4-FFF2-40B4-BE49-F238E27FC236}">
              <a16:creationId xmlns:a16="http://schemas.microsoft.com/office/drawing/2014/main" id="{00000000-0008-0000-1100-00003B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6" name="TextBox 120">
          <a:extLst>
            <a:ext uri="{FF2B5EF4-FFF2-40B4-BE49-F238E27FC236}">
              <a16:creationId xmlns:a16="http://schemas.microsoft.com/office/drawing/2014/main" id="{00000000-0008-0000-1100-00003C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7" name="TextBox 121">
          <a:extLst>
            <a:ext uri="{FF2B5EF4-FFF2-40B4-BE49-F238E27FC236}">
              <a16:creationId xmlns:a16="http://schemas.microsoft.com/office/drawing/2014/main" id="{00000000-0008-0000-1100-00003D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8" name="TextBox 122">
          <a:extLst>
            <a:ext uri="{FF2B5EF4-FFF2-40B4-BE49-F238E27FC236}">
              <a16:creationId xmlns:a16="http://schemas.microsoft.com/office/drawing/2014/main" id="{00000000-0008-0000-1100-00003E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19" name="TextBox 123">
          <a:extLst>
            <a:ext uri="{FF2B5EF4-FFF2-40B4-BE49-F238E27FC236}">
              <a16:creationId xmlns:a16="http://schemas.microsoft.com/office/drawing/2014/main" id="{00000000-0008-0000-1100-00003F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20" name="TextBox 124">
          <a:extLst>
            <a:ext uri="{FF2B5EF4-FFF2-40B4-BE49-F238E27FC236}">
              <a16:creationId xmlns:a16="http://schemas.microsoft.com/office/drawing/2014/main" id="{00000000-0008-0000-1100-000040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21" name="TextBox 108">
          <a:extLst>
            <a:ext uri="{FF2B5EF4-FFF2-40B4-BE49-F238E27FC236}">
              <a16:creationId xmlns:a16="http://schemas.microsoft.com/office/drawing/2014/main" id="{00000000-0008-0000-1100-000041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22" name="TextBox 109">
          <a:extLst>
            <a:ext uri="{FF2B5EF4-FFF2-40B4-BE49-F238E27FC236}">
              <a16:creationId xmlns:a16="http://schemas.microsoft.com/office/drawing/2014/main" id="{00000000-0008-0000-1100-000042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23" name="TextBox 110">
          <a:extLst>
            <a:ext uri="{FF2B5EF4-FFF2-40B4-BE49-F238E27FC236}">
              <a16:creationId xmlns:a16="http://schemas.microsoft.com/office/drawing/2014/main" id="{00000000-0008-0000-1100-000043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24" name="TextBox 111">
          <a:extLst>
            <a:ext uri="{FF2B5EF4-FFF2-40B4-BE49-F238E27FC236}">
              <a16:creationId xmlns:a16="http://schemas.microsoft.com/office/drawing/2014/main" id="{00000000-0008-0000-1100-000044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117</xdr:col>
      <xdr:colOff>0</xdr:colOff>
      <xdr:row>133</xdr:row>
      <xdr:rowOff>0</xdr:rowOff>
    </xdr:from>
    <xdr:ext cx="65" cy="172227"/>
    <xdr:sp macro="" textlink="">
      <xdr:nvSpPr>
        <xdr:cNvPr id="325" name="TextBox 112">
          <a:extLst>
            <a:ext uri="{FF2B5EF4-FFF2-40B4-BE49-F238E27FC236}">
              <a16:creationId xmlns:a16="http://schemas.microsoft.com/office/drawing/2014/main" id="{00000000-0008-0000-1100-000045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1100-00004601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1100-00004701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1100-00004801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1100-00004901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2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2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2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2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2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2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2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2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2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2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2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2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2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2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2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2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2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2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2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2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2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2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200-00005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200-00005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200-00005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200-00005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200-00006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200-00006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200-00006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200-00006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200-00006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200-00006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200-00006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200-00006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200-00007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00000000-0008-0000-1200-000075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00000000-0008-0000-1200-000076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00000000-0008-0000-1200-000077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00000000-0008-0000-1200-000078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00000000-0008-0000-1200-000079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00000000-0008-0000-1200-00007A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00000000-0008-0000-1200-00007B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00000000-0008-0000-1200-00007C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00000000-0008-0000-1200-00007D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00000000-0008-0000-1200-00007E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00000000-0008-0000-1200-00007F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00000000-0008-0000-1200-000080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00000000-0008-0000-1200-000081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00000000-0008-0000-1200-000082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00000000-0008-0000-1200-000083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00000000-0008-0000-1200-000084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00000000-0008-0000-1200-000085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00000000-0008-0000-1200-000086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00000000-0008-0000-1200-000087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00000000-0008-0000-1200-000088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00000000-0008-0000-1200-000089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00000000-0008-0000-1200-00008A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00000000-0008-0000-1200-00008B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00000000-0008-0000-1200-00008C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00000000-0008-0000-1200-00008D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1200-00008E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1200-00008F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1200-00009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1200-00009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1200-00009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1200-00009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1200-000094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1200-000095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1200-000096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1200-000097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1200-000098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1200-000099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200-00009A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200-00009B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200-00009C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200-00009D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1200-00009E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1200-00009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1200-0000A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1200-0000A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200-0000A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200-0000A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200-0000A4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200-0000A5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1200-0000A6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1200-0000A7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200-0000A8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1200-0000A9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1200-0000AA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1200-0000AB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1200-0000AC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1200-0000AD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1200-0000AE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1200-0000A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1200-0000B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1200-0000B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8" name="TextBox 91">
          <a:extLst>
            <a:ext uri="{FF2B5EF4-FFF2-40B4-BE49-F238E27FC236}">
              <a16:creationId xmlns:a16="http://schemas.microsoft.com/office/drawing/2014/main" id="{00000000-0008-0000-1200-0000B2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9" name="TextBox 92">
          <a:extLst>
            <a:ext uri="{FF2B5EF4-FFF2-40B4-BE49-F238E27FC236}">
              <a16:creationId xmlns:a16="http://schemas.microsoft.com/office/drawing/2014/main" id="{00000000-0008-0000-1200-0000B3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0" name="TextBox 93">
          <a:extLst>
            <a:ext uri="{FF2B5EF4-FFF2-40B4-BE49-F238E27FC236}">
              <a16:creationId xmlns:a16="http://schemas.microsoft.com/office/drawing/2014/main" id="{00000000-0008-0000-1200-0000B4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1" name="TextBox 94">
          <a:extLst>
            <a:ext uri="{FF2B5EF4-FFF2-40B4-BE49-F238E27FC236}">
              <a16:creationId xmlns:a16="http://schemas.microsoft.com/office/drawing/2014/main" id="{00000000-0008-0000-1200-0000B5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2" name="TextBox 95">
          <a:extLst>
            <a:ext uri="{FF2B5EF4-FFF2-40B4-BE49-F238E27FC236}">
              <a16:creationId xmlns:a16="http://schemas.microsoft.com/office/drawing/2014/main" id="{00000000-0008-0000-1200-0000B6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3" name="TextBox 120">
          <a:extLst>
            <a:ext uri="{FF2B5EF4-FFF2-40B4-BE49-F238E27FC236}">
              <a16:creationId xmlns:a16="http://schemas.microsoft.com/office/drawing/2014/main" id="{00000000-0008-0000-1200-0000B7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4" name="TextBox 121">
          <a:extLst>
            <a:ext uri="{FF2B5EF4-FFF2-40B4-BE49-F238E27FC236}">
              <a16:creationId xmlns:a16="http://schemas.microsoft.com/office/drawing/2014/main" id="{00000000-0008-0000-1200-0000B8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5" name="TextBox 122">
          <a:extLst>
            <a:ext uri="{FF2B5EF4-FFF2-40B4-BE49-F238E27FC236}">
              <a16:creationId xmlns:a16="http://schemas.microsoft.com/office/drawing/2014/main" id="{00000000-0008-0000-1200-0000B9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6" name="TextBox 123">
          <a:extLst>
            <a:ext uri="{FF2B5EF4-FFF2-40B4-BE49-F238E27FC236}">
              <a16:creationId xmlns:a16="http://schemas.microsoft.com/office/drawing/2014/main" id="{00000000-0008-0000-1200-0000BA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7" name="TextBox 124">
          <a:extLst>
            <a:ext uri="{FF2B5EF4-FFF2-40B4-BE49-F238E27FC236}">
              <a16:creationId xmlns:a16="http://schemas.microsoft.com/office/drawing/2014/main" id="{00000000-0008-0000-1200-0000BB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8" name="TextBox 108">
          <a:extLst>
            <a:ext uri="{FF2B5EF4-FFF2-40B4-BE49-F238E27FC236}">
              <a16:creationId xmlns:a16="http://schemas.microsoft.com/office/drawing/2014/main" id="{00000000-0008-0000-1200-0000BC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9" name="TextBox 109">
          <a:extLst>
            <a:ext uri="{FF2B5EF4-FFF2-40B4-BE49-F238E27FC236}">
              <a16:creationId xmlns:a16="http://schemas.microsoft.com/office/drawing/2014/main" id="{00000000-0008-0000-1200-0000BD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0" name="TextBox 110">
          <a:extLst>
            <a:ext uri="{FF2B5EF4-FFF2-40B4-BE49-F238E27FC236}">
              <a16:creationId xmlns:a16="http://schemas.microsoft.com/office/drawing/2014/main" id="{00000000-0008-0000-1200-0000BE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1" name="TextBox 111">
          <a:extLst>
            <a:ext uri="{FF2B5EF4-FFF2-40B4-BE49-F238E27FC236}">
              <a16:creationId xmlns:a16="http://schemas.microsoft.com/office/drawing/2014/main" id="{00000000-0008-0000-1200-0000BF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2" name="TextBox 112">
          <a:extLst>
            <a:ext uri="{FF2B5EF4-FFF2-40B4-BE49-F238E27FC236}">
              <a16:creationId xmlns:a16="http://schemas.microsoft.com/office/drawing/2014/main" id="{00000000-0008-0000-1200-0000C0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200-0000C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200-0000C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1200-0000C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1200-0000C4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7" name="TextBox 91">
          <a:extLst>
            <a:ext uri="{FF2B5EF4-FFF2-40B4-BE49-F238E27FC236}">
              <a16:creationId xmlns:a16="http://schemas.microsoft.com/office/drawing/2014/main" id="{00000000-0008-0000-1200-0000C5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8" name="TextBox 92">
          <a:extLst>
            <a:ext uri="{FF2B5EF4-FFF2-40B4-BE49-F238E27FC236}">
              <a16:creationId xmlns:a16="http://schemas.microsoft.com/office/drawing/2014/main" id="{00000000-0008-0000-1200-0000C6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9" name="TextBox 93">
          <a:extLst>
            <a:ext uri="{FF2B5EF4-FFF2-40B4-BE49-F238E27FC236}">
              <a16:creationId xmlns:a16="http://schemas.microsoft.com/office/drawing/2014/main" id="{00000000-0008-0000-1200-0000C7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0" name="TextBox 94">
          <a:extLst>
            <a:ext uri="{FF2B5EF4-FFF2-40B4-BE49-F238E27FC236}">
              <a16:creationId xmlns:a16="http://schemas.microsoft.com/office/drawing/2014/main" id="{00000000-0008-0000-1200-0000C8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1" name="TextBox 95">
          <a:extLst>
            <a:ext uri="{FF2B5EF4-FFF2-40B4-BE49-F238E27FC236}">
              <a16:creationId xmlns:a16="http://schemas.microsoft.com/office/drawing/2014/main" id="{00000000-0008-0000-1200-0000C9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2" name="TextBox 91">
          <a:extLst>
            <a:ext uri="{FF2B5EF4-FFF2-40B4-BE49-F238E27FC236}">
              <a16:creationId xmlns:a16="http://schemas.microsoft.com/office/drawing/2014/main" id="{00000000-0008-0000-1200-0000CA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3" name="TextBox 92">
          <a:extLst>
            <a:ext uri="{FF2B5EF4-FFF2-40B4-BE49-F238E27FC236}">
              <a16:creationId xmlns:a16="http://schemas.microsoft.com/office/drawing/2014/main" id="{00000000-0008-0000-1200-0000CB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4" name="TextBox 93">
          <a:extLst>
            <a:ext uri="{FF2B5EF4-FFF2-40B4-BE49-F238E27FC236}">
              <a16:creationId xmlns:a16="http://schemas.microsoft.com/office/drawing/2014/main" id="{00000000-0008-0000-1200-0000CC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5" name="TextBox 94">
          <a:extLst>
            <a:ext uri="{FF2B5EF4-FFF2-40B4-BE49-F238E27FC236}">
              <a16:creationId xmlns:a16="http://schemas.microsoft.com/office/drawing/2014/main" id="{00000000-0008-0000-1200-0000CD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6" name="TextBox 95">
          <a:extLst>
            <a:ext uri="{FF2B5EF4-FFF2-40B4-BE49-F238E27FC236}">
              <a16:creationId xmlns:a16="http://schemas.microsoft.com/office/drawing/2014/main" id="{00000000-0008-0000-1200-0000CE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7" name="TextBox 120">
          <a:extLst>
            <a:ext uri="{FF2B5EF4-FFF2-40B4-BE49-F238E27FC236}">
              <a16:creationId xmlns:a16="http://schemas.microsoft.com/office/drawing/2014/main" id="{00000000-0008-0000-1200-0000CF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8" name="TextBox 121">
          <a:extLst>
            <a:ext uri="{FF2B5EF4-FFF2-40B4-BE49-F238E27FC236}">
              <a16:creationId xmlns:a16="http://schemas.microsoft.com/office/drawing/2014/main" id="{00000000-0008-0000-1200-0000D0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9" name="TextBox 122">
          <a:extLst>
            <a:ext uri="{FF2B5EF4-FFF2-40B4-BE49-F238E27FC236}">
              <a16:creationId xmlns:a16="http://schemas.microsoft.com/office/drawing/2014/main" id="{00000000-0008-0000-1200-0000D1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0" name="TextBox 123">
          <a:extLst>
            <a:ext uri="{FF2B5EF4-FFF2-40B4-BE49-F238E27FC236}">
              <a16:creationId xmlns:a16="http://schemas.microsoft.com/office/drawing/2014/main" id="{00000000-0008-0000-1200-0000D2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1" name="TextBox 124">
          <a:extLst>
            <a:ext uri="{FF2B5EF4-FFF2-40B4-BE49-F238E27FC236}">
              <a16:creationId xmlns:a16="http://schemas.microsoft.com/office/drawing/2014/main" id="{00000000-0008-0000-1200-0000D3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2" name="TextBox 108">
          <a:extLst>
            <a:ext uri="{FF2B5EF4-FFF2-40B4-BE49-F238E27FC236}">
              <a16:creationId xmlns:a16="http://schemas.microsoft.com/office/drawing/2014/main" id="{00000000-0008-0000-1200-0000D4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3" name="TextBox 109">
          <a:extLst>
            <a:ext uri="{FF2B5EF4-FFF2-40B4-BE49-F238E27FC236}">
              <a16:creationId xmlns:a16="http://schemas.microsoft.com/office/drawing/2014/main" id="{00000000-0008-0000-1200-0000D5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4" name="TextBox 110">
          <a:extLst>
            <a:ext uri="{FF2B5EF4-FFF2-40B4-BE49-F238E27FC236}">
              <a16:creationId xmlns:a16="http://schemas.microsoft.com/office/drawing/2014/main" id="{00000000-0008-0000-1200-0000D6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5" name="TextBox 111">
          <a:extLst>
            <a:ext uri="{FF2B5EF4-FFF2-40B4-BE49-F238E27FC236}">
              <a16:creationId xmlns:a16="http://schemas.microsoft.com/office/drawing/2014/main" id="{00000000-0008-0000-1200-0000D7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6" name="TextBox 112">
          <a:extLst>
            <a:ext uri="{FF2B5EF4-FFF2-40B4-BE49-F238E27FC236}">
              <a16:creationId xmlns:a16="http://schemas.microsoft.com/office/drawing/2014/main" id="{00000000-0008-0000-1200-0000D8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1200-0000D9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1200-0000DA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1200-0000DB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1200-0000DC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1" name="TextBox 91">
          <a:extLst>
            <a:ext uri="{FF2B5EF4-FFF2-40B4-BE49-F238E27FC236}">
              <a16:creationId xmlns:a16="http://schemas.microsoft.com/office/drawing/2014/main" id="{00000000-0008-0000-1200-0000DD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2" name="TextBox 92">
          <a:extLst>
            <a:ext uri="{FF2B5EF4-FFF2-40B4-BE49-F238E27FC236}">
              <a16:creationId xmlns:a16="http://schemas.microsoft.com/office/drawing/2014/main" id="{00000000-0008-0000-1200-0000DE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3" name="TextBox 93">
          <a:extLst>
            <a:ext uri="{FF2B5EF4-FFF2-40B4-BE49-F238E27FC236}">
              <a16:creationId xmlns:a16="http://schemas.microsoft.com/office/drawing/2014/main" id="{00000000-0008-0000-1200-0000DF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4" name="TextBox 94">
          <a:extLst>
            <a:ext uri="{FF2B5EF4-FFF2-40B4-BE49-F238E27FC236}">
              <a16:creationId xmlns:a16="http://schemas.microsoft.com/office/drawing/2014/main" id="{00000000-0008-0000-1200-0000E0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5" name="TextBox 95">
          <a:extLst>
            <a:ext uri="{FF2B5EF4-FFF2-40B4-BE49-F238E27FC236}">
              <a16:creationId xmlns:a16="http://schemas.microsoft.com/office/drawing/2014/main" id="{00000000-0008-0000-1200-0000E1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6" name="TextBox 91">
          <a:extLst>
            <a:ext uri="{FF2B5EF4-FFF2-40B4-BE49-F238E27FC236}">
              <a16:creationId xmlns:a16="http://schemas.microsoft.com/office/drawing/2014/main" id="{00000000-0008-0000-1200-0000E2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7" name="TextBox 92">
          <a:extLst>
            <a:ext uri="{FF2B5EF4-FFF2-40B4-BE49-F238E27FC236}">
              <a16:creationId xmlns:a16="http://schemas.microsoft.com/office/drawing/2014/main" id="{00000000-0008-0000-1200-0000E3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8" name="TextBox 93">
          <a:extLst>
            <a:ext uri="{FF2B5EF4-FFF2-40B4-BE49-F238E27FC236}">
              <a16:creationId xmlns:a16="http://schemas.microsoft.com/office/drawing/2014/main" id="{00000000-0008-0000-1200-0000E4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9" name="TextBox 94">
          <a:extLst>
            <a:ext uri="{FF2B5EF4-FFF2-40B4-BE49-F238E27FC236}">
              <a16:creationId xmlns:a16="http://schemas.microsoft.com/office/drawing/2014/main" id="{00000000-0008-0000-1200-0000E5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0" name="TextBox 95">
          <a:extLst>
            <a:ext uri="{FF2B5EF4-FFF2-40B4-BE49-F238E27FC236}">
              <a16:creationId xmlns:a16="http://schemas.microsoft.com/office/drawing/2014/main" id="{00000000-0008-0000-1200-0000E6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1" name="TextBox 120">
          <a:extLst>
            <a:ext uri="{FF2B5EF4-FFF2-40B4-BE49-F238E27FC236}">
              <a16:creationId xmlns:a16="http://schemas.microsoft.com/office/drawing/2014/main" id="{00000000-0008-0000-1200-0000E7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2" name="TextBox 121">
          <a:extLst>
            <a:ext uri="{FF2B5EF4-FFF2-40B4-BE49-F238E27FC236}">
              <a16:creationId xmlns:a16="http://schemas.microsoft.com/office/drawing/2014/main" id="{00000000-0008-0000-1200-0000E8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3" name="TextBox 122">
          <a:extLst>
            <a:ext uri="{FF2B5EF4-FFF2-40B4-BE49-F238E27FC236}">
              <a16:creationId xmlns:a16="http://schemas.microsoft.com/office/drawing/2014/main" id="{00000000-0008-0000-1200-0000E9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4" name="TextBox 123">
          <a:extLst>
            <a:ext uri="{FF2B5EF4-FFF2-40B4-BE49-F238E27FC236}">
              <a16:creationId xmlns:a16="http://schemas.microsoft.com/office/drawing/2014/main" id="{00000000-0008-0000-1200-0000EA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5" name="TextBox 124">
          <a:extLst>
            <a:ext uri="{FF2B5EF4-FFF2-40B4-BE49-F238E27FC236}">
              <a16:creationId xmlns:a16="http://schemas.microsoft.com/office/drawing/2014/main" id="{00000000-0008-0000-1200-0000EB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6" name="TextBox 108">
          <a:extLst>
            <a:ext uri="{FF2B5EF4-FFF2-40B4-BE49-F238E27FC236}">
              <a16:creationId xmlns:a16="http://schemas.microsoft.com/office/drawing/2014/main" id="{00000000-0008-0000-1200-0000EC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7" name="TextBox 109">
          <a:extLst>
            <a:ext uri="{FF2B5EF4-FFF2-40B4-BE49-F238E27FC236}">
              <a16:creationId xmlns:a16="http://schemas.microsoft.com/office/drawing/2014/main" id="{00000000-0008-0000-1200-0000ED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8" name="TextBox 110">
          <a:extLst>
            <a:ext uri="{FF2B5EF4-FFF2-40B4-BE49-F238E27FC236}">
              <a16:creationId xmlns:a16="http://schemas.microsoft.com/office/drawing/2014/main" id="{00000000-0008-0000-1200-0000EE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9" name="TextBox 111">
          <a:extLst>
            <a:ext uri="{FF2B5EF4-FFF2-40B4-BE49-F238E27FC236}">
              <a16:creationId xmlns:a16="http://schemas.microsoft.com/office/drawing/2014/main" id="{00000000-0008-0000-1200-0000EF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0" name="TextBox 112">
          <a:extLst>
            <a:ext uri="{FF2B5EF4-FFF2-40B4-BE49-F238E27FC236}">
              <a16:creationId xmlns:a16="http://schemas.microsoft.com/office/drawing/2014/main" id="{00000000-0008-0000-1200-0000F0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1200-0000F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1200-0000F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1200-0000F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1200-0000F4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5" name="TextBox 91">
          <a:extLst>
            <a:ext uri="{FF2B5EF4-FFF2-40B4-BE49-F238E27FC236}">
              <a16:creationId xmlns:a16="http://schemas.microsoft.com/office/drawing/2014/main" id="{00000000-0008-0000-1200-0000F5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6" name="TextBox 92">
          <a:extLst>
            <a:ext uri="{FF2B5EF4-FFF2-40B4-BE49-F238E27FC236}">
              <a16:creationId xmlns:a16="http://schemas.microsoft.com/office/drawing/2014/main" id="{00000000-0008-0000-1200-0000F6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7" name="TextBox 93">
          <a:extLst>
            <a:ext uri="{FF2B5EF4-FFF2-40B4-BE49-F238E27FC236}">
              <a16:creationId xmlns:a16="http://schemas.microsoft.com/office/drawing/2014/main" id="{00000000-0008-0000-1200-0000F7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8" name="TextBox 94">
          <a:extLst>
            <a:ext uri="{FF2B5EF4-FFF2-40B4-BE49-F238E27FC236}">
              <a16:creationId xmlns:a16="http://schemas.microsoft.com/office/drawing/2014/main" id="{00000000-0008-0000-1200-0000F8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9" name="TextBox 95">
          <a:extLst>
            <a:ext uri="{FF2B5EF4-FFF2-40B4-BE49-F238E27FC236}">
              <a16:creationId xmlns:a16="http://schemas.microsoft.com/office/drawing/2014/main" id="{00000000-0008-0000-1200-0000F9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0" name="TextBox 91">
          <a:extLst>
            <a:ext uri="{FF2B5EF4-FFF2-40B4-BE49-F238E27FC236}">
              <a16:creationId xmlns:a16="http://schemas.microsoft.com/office/drawing/2014/main" id="{00000000-0008-0000-1200-0000FA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1" name="TextBox 92">
          <a:extLst>
            <a:ext uri="{FF2B5EF4-FFF2-40B4-BE49-F238E27FC236}">
              <a16:creationId xmlns:a16="http://schemas.microsoft.com/office/drawing/2014/main" id="{00000000-0008-0000-1200-0000FB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2" name="TextBox 93">
          <a:extLst>
            <a:ext uri="{FF2B5EF4-FFF2-40B4-BE49-F238E27FC236}">
              <a16:creationId xmlns:a16="http://schemas.microsoft.com/office/drawing/2014/main" id="{00000000-0008-0000-1200-0000FC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3" name="TextBox 94">
          <a:extLst>
            <a:ext uri="{FF2B5EF4-FFF2-40B4-BE49-F238E27FC236}">
              <a16:creationId xmlns:a16="http://schemas.microsoft.com/office/drawing/2014/main" id="{00000000-0008-0000-1200-0000FD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4" name="TextBox 95">
          <a:extLst>
            <a:ext uri="{FF2B5EF4-FFF2-40B4-BE49-F238E27FC236}">
              <a16:creationId xmlns:a16="http://schemas.microsoft.com/office/drawing/2014/main" id="{00000000-0008-0000-1200-0000FE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00000000-0008-0000-1200-0000FF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00000000-0008-0000-1200-000000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00000000-0008-0000-1200-000001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00000000-0008-0000-1200-000002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00000000-0008-0000-1200-000003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00000000-0008-0000-1200-000004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00000000-0008-0000-1200-000005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000000-0008-0000-1200-000006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00000000-0008-0000-1200-000007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00000000-0008-0000-1200-000008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1200-000009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1200-00000A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1200-00000B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1200-00000C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69" name="TextBox 91">
          <a:extLst>
            <a:ext uri="{FF2B5EF4-FFF2-40B4-BE49-F238E27FC236}">
              <a16:creationId xmlns:a16="http://schemas.microsoft.com/office/drawing/2014/main" id="{00000000-0008-0000-1200-00000D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0" name="TextBox 92">
          <a:extLst>
            <a:ext uri="{FF2B5EF4-FFF2-40B4-BE49-F238E27FC236}">
              <a16:creationId xmlns:a16="http://schemas.microsoft.com/office/drawing/2014/main" id="{00000000-0008-0000-1200-00000E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1" name="TextBox 93">
          <a:extLst>
            <a:ext uri="{FF2B5EF4-FFF2-40B4-BE49-F238E27FC236}">
              <a16:creationId xmlns:a16="http://schemas.microsoft.com/office/drawing/2014/main" id="{00000000-0008-0000-1200-00000F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2" name="TextBox 94">
          <a:extLst>
            <a:ext uri="{FF2B5EF4-FFF2-40B4-BE49-F238E27FC236}">
              <a16:creationId xmlns:a16="http://schemas.microsoft.com/office/drawing/2014/main" id="{00000000-0008-0000-1200-000010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3" name="TextBox 95">
          <a:extLst>
            <a:ext uri="{FF2B5EF4-FFF2-40B4-BE49-F238E27FC236}">
              <a16:creationId xmlns:a16="http://schemas.microsoft.com/office/drawing/2014/main" id="{00000000-0008-0000-1200-000011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4" name="TextBox 91">
          <a:extLst>
            <a:ext uri="{FF2B5EF4-FFF2-40B4-BE49-F238E27FC236}">
              <a16:creationId xmlns:a16="http://schemas.microsoft.com/office/drawing/2014/main" id="{00000000-0008-0000-1200-000012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5" name="TextBox 92">
          <a:extLst>
            <a:ext uri="{FF2B5EF4-FFF2-40B4-BE49-F238E27FC236}">
              <a16:creationId xmlns:a16="http://schemas.microsoft.com/office/drawing/2014/main" id="{00000000-0008-0000-1200-000013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6" name="TextBox 93">
          <a:extLst>
            <a:ext uri="{FF2B5EF4-FFF2-40B4-BE49-F238E27FC236}">
              <a16:creationId xmlns:a16="http://schemas.microsoft.com/office/drawing/2014/main" id="{00000000-0008-0000-1200-000014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7" name="TextBox 94">
          <a:extLst>
            <a:ext uri="{FF2B5EF4-FFF2-40B4-BE49-F238E27FC236}">
              <a16:creationId xmlns:a16="http://schemas.microsoft.com/office/drawing/2014/main" id="{00000000-0008-0000-1200-000015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8" name="TextBox 95">
          <a:extLst>
            <a:ext uri="{FF2B5EF4-FFF2-40B4-BE49-F238E27FC236}">
              <a16:creationId xmlns:a16="http://schemas.microsoft.com/office/drawing/2014/main" id="{00000000-0008-0000-1200-000016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00000000-0008-0000-1200-000017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00000000-0008-0000-1200-000018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00000000-0008-0000-1200-000019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00000000-0008-0000-1200-00001A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00000000-0008-0000-1200-00001B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00000000-0008-0000-1200-00001C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00000000-0008-0000-1200-00001D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000000-0008-0000-1200-00001E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00000000-0008-0000-1200-00001F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00000000-0008-0000-1200-000020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1200-000021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1200-000022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1200-000023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1200-000024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1200-00003D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1200-00003E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1200-00003F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1200-000040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1200-000041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1200-000042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1200-000043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1200-000044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1200-000045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1200-000046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1200-000047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1200-000048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1200-000049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1200-00004A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1200-00004B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1200-00004C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234950</xdr:colOff>
      <xdr:row>16</xdr:row>
      <xdr:rowOff>0</xdr:rowOff>
    </xdr:from>
    <xdr:to>
      <xdr:col>15</xdr:col>
      <xdr:colOff>191750</xdr:colOff>
      <xdr:row>26</xdr:row>
      <xdr:rowOff>22000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374020</xdr:colOff>
      <xdr:row>16</xdr:row>
      <xdr:rowOff>86303</xdr:rowOff>
    </xdr:from>
    <xdr:to>
      <xdr:col>20</xdr:col>
      <xdr:colOff>330820</xdr:colOff>
      <xdr:row>26</xdr:row>
      <xdr:rowOff>111478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490070</xdr:colOff>
      <xdr:row>32</xdr:row>
      <xdr:rowOff>154415</xdr:rowOff>
    </xdr:from>
    <xdr:to>
      <xdr:col>20</xdr:col>
      <xdr:colOff>446870</xdr:colOff>
      <xdr:row>42</xdr:row>
      <xdr:rowOff>176415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560743</xdr:colOff>
      <xdr:row>33</xdr:row>
      <xdr:rowOff>6351</xdr:rowOff>
    </xdr:from>
    <xdr:to>
      <xdr:col>15</xdr:col>
      <xdr:colOff>517543</xdr:colOff>
      <xdr:row>43</xdr:row>
      <xdr:rowOff>28351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535517</xdr:colOff>
      <xdr:row>76</xdr:row>
      <xdr:rowOff>108528</xdr:rowOff>
    </xdr:from>
    <xdr:to>
      <xdr:col>18</xdr:col>
      <xdr:colOff>80232</xdr:colOff>
      <xdr:row>97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670846</xdr:colOff>
      <xdr:row>77</xdr:row>
      <xdr:rowOff>45381</xdr:rowOff>
    </xdr:from>
    <xdr:to>
      <xdr:col>25</xdr:col>
      <xdr:colOff>668514</xdr:colOff>
      <xdr:row>98</xdr:row>
      <xdr:rowOff>70204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656167</xdr:colOff>
      <xdr:row>76</xdr:row>
      <xdr:rowOff>105833</xdr:rowOff>
    </xdr:from>
    <xdr:to>
      <xdr:col>33</xdr:col>
      <xdr:colOff>651718</xdr:colOff>
      <xdr:row>97</xdr:row>
      <xdr:rowOff>130656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63500</xdr:colOff>
      <xdr:row>76</xdr:row>
      <xdr:rowOff>148167</xdr:rowOff>
    </xdr:from>
    <xdr:to>
      <xdr:col>42</xdr:col>
      <xdr:colOff>64343</xdr:colOff>
      <xdr:row>97</xdr:row>
      <xdr:rowOff>172990</xdr:rowOff>
    </xdr:to>
    <xdr:graphicFrame macro="">
      <xdr:nvGraphicFramePr>
        <xdr:cNvPr id="9" name="Chart 7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666750</xdr:colOff>
      <xdr:row>76</xdr:row>
      <xdr:rowOff>127000</xdr:rowOff>
    </xdr:from>
    <xdr:to>
      <xdr:col>49</xdr:col>
      <xdr:colOff>667594</xdr:colOff>
      <xdr:row>97</xdr:row>
      <xdr:rowOff>151823</xdr:rowOff>
    </xdr:to>
    <xdr:graphicFrame macro="">
      <xdr:nvGraphicFramePr>
        <xdr:cNvPr id="10" name="Chart 7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656167</xdr:colOff>
      <xdr:row>76</xdr:row>
      <xdr:rowOff>105833</xdr:rowOff>
    </xdr:from>
    <xdr:to>
      <xdr:col>57</xdr:col>
      <xdr:colOff>657009</xdr:colOff>
      <xdr:row>97</xdr:row>
      <xdr:rowOff>130656</xdr:rowOff>
    </xdr:to>
    <xdr:graphicFrame macro="">
      <xdr:nvGraphicFramePr>
        <xdr:cNvPr id="11" name="Chart 7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R83"/>
  <sheetViews>
    <sheetView topLeftCell="A13" zoomScale="60" zoomScaleNormal="60" workbookViewId="0">
      <selection activeCell="N23" sqref="N23"/>
    </sheetView>
  </sheetViews>
  <sheetFormatPr defaultColWidth="9" defaultRowHeight="14" x14ac:dyDescent="0.3"/>
  <cols>
    <col min="10" max="10" width="17.58203125" customWidth="1"/>
    <col min="11" max="11" width="22.58203125" bestFit="1" customWidth="1"/>
    <col min="12" max="12" width="14.08203125" customWidth="1"/>
    <col min="13" max="14" width="32" customWidth="1"/>
    <col min="16" max="16" width="10" customWidth="1"/>
  </cols>
  <sheetData>
    <row r="2" spans="2:18" ht="14.5" x14ac:dyDescent="0.35">
      <c r="B2" s="1024"/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25"/>
      <c r="O2" s="1025"/>
      <c r="P2" s="1025"/>
      <c r="Q2" s="1025"/>
      <c r="R2" s="1026"/>
    </row>
    <row r="3" spans="2:18" ht="14.5" x14ac:dyDescent="0.35">
      <c r="B3" s="1027" t="s">
        <v>399</v>
      </c>
      <c r="C3" s="1028"/>
      <c r="D3" s="1028" t="s">
        <v>382</v>
      </c>
      <c r="E3" s="1029"/>
      <c r="F3" s="1029"/>
      <c r="G3" s="1029"/>
      <c r="H3" s="1029"/>
      <c r="I3" s="1029"/>
      <c r="J3" s="1029"/>
      <c r="K3" s="1030"/>
      <c r="L3" s="1029"/>
      <c r="M3" s="1029"/>
      <c r="N3" s="1030"/>
      <c r="O3" s="1030"/>
      <c r="P3" s="1030"/>
      <c r="Q3" s="1030"/>
      <c r="R3" s="1031"/>
    </row>
    <row r="4" spans="2:18" ht="14.5" x14ac:dyDescent="0.35">
      <c r="B4" s="1027" t="s">
        <v>400</v>
      </c>
      <c r="C4" s="1028"/>
      <c r="D4" s="1028" t="s">
        <v>655</v>
      </c>
      <c r="E4" s="1029"/>
      <c r="F4" s="1029"/>
      <c r="G4" s="1029"/>
      <c r="H4" s="1029"/>
      <c r="I4" s="1029"/>
      <c r="J4" s="1029"/>
      <c r="K4" s="1030"/>
      <c r="L4" s="1029"/>
      <c r="M4" s="1029"/>
      <c r="N4" s="1030"/>
      <c r="O4" s="1030"/>
      <c r="P4" s="1030"/>
      <c r="Q4" s="1030"/>
      <c r="R4" s="1031"/>
    </row>
    <row r="5" spans="2:18" ht="14.5" x14ac:dyDescent="0.35">
      <c r="B5" s="1027" t="s">
        <v>654</v>
      </c>
      <c r="C5" s="1028"/>
      <c r="D5" s="1029"/>
      <c r="E5" s="1029"/>
      <c r="F5" s="1029"/>
      <c r="G5" s="1029"/>
      <c r="H5" s="1029"/>
      <c r="I5" s="1029"/>
      <c r="J5" s="1029"/>
      <c r="K5" s="1030"/>
      <c r="L5" s="1029"/>
      <c r="M5" s="1029"/>
      <c r="N5" s="1030"/>
      <c r="O5" s="1030"/>
      <c r="P5" s="1030"/>
      <c r="Q5" s="1030"/>
      <c r="R5" s="1031"/>
    </row>
    <row r="6" spans="2:18" ht="14.5" x14ac:dyDescent="0.35">
      <c r="B6" s="1032"/>
      <c r="C6" s="1029"/>
      <c r="D6" s="1029"/>
      <c r="E6" s="1029"/>
      <c r="F6" s="1029"/>
      <c r="G6" s="1029"/>
      <c r="H6" s="1029"/>
      <c r="I6" s="1029"/>
      <c r="J6" s="1029"/>
      <c r="K6" s="1030"/>
      <c r="L6" s="1029"/>
      <c r="M6" s="1029"/>
      <c r="N6" s="1030"/>
      <c r="O6" s="1030"/>
      <c r="P6" s="1030"/>
      <c r="Q6" s="1030"/>
      <c r="R6" s="1031"/>
    </row>
    <row r="7" spans="2:18" ht="14.5" x14ac:dyDescent="0.35">
      <c r="B7" s="1033" t="s">
        <v>378</v>
      </c>
      <c r="C7" s="1029"/>
      <c r="D7" s="1029"/>
      <c r="E7" s="1029"/>
      <c r="F7" s="1029"/>
      <c r="G7" s="1029"/>
      <c r="H7" s="1029"/>
      <c r="I7" s="1029"/>
      <c r="J7" s="1029"/>
      <c r="K7" s="1034"/>
      <c r="L7" s="1029"/>
      <c r="M7" s="1054" t="s">
        <v>671</v>
      </c>
      <c r="N7" s="1054" t="s">
        <v>672</v>
      </c>
      <c r="O7" s="1030"/>
      <c r="P7" s="1030"/>
      <c r="Q7" s="1030"/>
      <c r="R7" s="1031"/>
    </row>
    <row r="8" spans="2:18" ht="14.5" x14ac:dyDescent="0.35">
      <c r="B8" s="1033"/>
      <c r="C8" s="1029"/>
      <c r="D8" s="1029"/>
      <c r="E8" s="1029"/>
      <c r="F8" s="1029"/>
      <c r="G8" s="1029"/>
      <c r="H8" s="1029"/>
      <c r="I8" s="1029"/>
      <c r="J8" s="1029"/>
      <c r="K8" s="1034"/>
      <c r="L8" s="1029"/>
      <c r="M8" s="1055"/>
      <c r="N8" s="1058"/>
      <c r="O8" s="1030"/>
      <c r="P8" s="1030"/>
      <c r="Q8" s="1030"/>
      <c r="R8" s="1031"/>
    </row>
    <row r="9" spans="2:18" ht="14.5" x14ac:dyDescent="0.35">
      <c r="B9" s="1035" t="s">
        <v>401</v>
      </c>
      <c r="C9" s="1029"/>
      <c r="D9" s="1029"/>
      <c r="E9" s="1029"/>
      <c r="F9" s="1029"/>
      <c r="G9" s="1029"/>
      <c r="H9" s="1029"/>
      <c r="I9" s="1029"/>
      <c r="J9" s="1029"/>
      <c r="K9" s="1034"/>
      <c r="L9" s="1029"/>
      <c r="M9" s="1055"/>
      <c r="N9" s="1058"/>
      <c r="O9" s="1030"/>
      <c r="P9" s="1030"/>
      <c r="Q9" s="1030"/>
      <c r="R9" s="1031"/>
    </row>
    <row r="10" spans="2:18" ht="14.5" x14ac:dyDescent="0.35">
      <c r="B10" s="1035" t="s">
        <v>377</v>
      </c>
      <c r="C10" s="1029"/>
      <c r="D10" s="1029"/>
      <c r="E10" s="1029"/>
      <c r="F10" s="1029"/>
      <c r="G10" s="1029"/>
      <c r="H10" s="1029"/>
      <c r="I10" s="1029"/>
      <c r="J10" s="1029"/>
      <c r="K10" s="1034"/>
      <c r="L10" s="1029"/>
      <c r="M10" s="1055"/>
      <c r="N10" s="1058"/>
      <c r="O10" s="1030"/>
      <c r="P10" s="1030"/>
      <c r="Q10" s="1030"/>
      <c r="R10" s="1031"/>
    </row>
    <row r="11" spans="2:18" ht="14.5" x14ac:dyDescent="0.35">
      <c r="B11" s="1035" t="s">
        <v>402</v>
      </c>
      <c r="C11" s="1029"/>
      <c r="D11" s="1029"/>
      <c r="E11" s="1029"/>
      <c r="F11" s="1029"/>
      <c r="G11" s="1029"/>
      <c r="H11" s="1029"/>
      <c r="I11" s="1029"/>
      <c r="J11" s="1029"/>
      <c r="K11" s="1034"/>
      <c r="L11" s="1029"/>
      <c r="M11" s="1055"/>
      <c r="N11" s="1058"/>
      <c r="O11" s="1030"/>
      <c r="P11" s="1030"/>
      <c r="Q11" s="1030"/>
      <c r="R11" s="1031"/>
    </row>
    <row r="12" spans="2:18" ht="14.5" x14ac:dyDescent="0.35">
      <c r="B12" s="1032"/>
      <c r="C12" s="1029"/>
      <c r="D12" s="1029"/>
      <c r="E12" s="1029"/>
      <c r="F12" s="1029"/>
      <c r="G12" s="1029"/>
      <c r="H12" s="1029"/>
      <c r="I12" s="1029"/>
      <c r="J12" s="1029"/>
      <c r="K12" s="1034"/>
      <c r="L12" s="1029"/>
      <c r="M12" s="1055"/>
      <c r="N12" s="1058"/>
      <c r="O12" s="1030"/>
      <c r="P12" s="1030"/>
      <c r="Q12" s="1030"/>
      <c r="R12" s="1031"/>
    </row>
    <row r="13" spans="2:18" ht="14.5" x14ac:dyDescent="0.35">
      <c r="B13" s="1033" t="s">
        <v>381</v>
      </c>
      <c r="C13" s="1029"/>
      <c r="D13" s="1029"/>
      <c r="E13" s="1029"/>
      <c r="F13" s="1029"/>
      <c r="G13" s="1029"/>
      <c r="H13" s="1029"/>
      <c r="I13" s="1029"/>
      <c r="J13" s="1029"/>
      <c r="K13" s="1029"/>
      <c r="L13" s="1029"/>
      <c r="M13" s="1055"/>
      <c r="N13" s="1058"/>
      <c r="O13" s="1030"/>
      <c r="P13" s="1030"/>
      <c r="Q13" s="1030"/>
      <c r="R13" s="1031"/>
    </row>
    <row r="14" spans="2:18" ht="14.5" x14ac:dyDescent="0.35">
      <c r="B14" s="1032"/>
      <c r="C14" s="1029"/>
      <c r="D14" s="1029"/>
      <c r="E14" s="1029"/>
      <c r="F14" s="1029"/>
      <c r="G14" s="1029"/>
      <c r="H14" s="1029"/>
      <c r="I14" s="1029"/>
      <c r="J14" s="1029"/>
      <c r="K14" s="1029"/>
      <c r="L14" s="1029"/>
      <c r="M14" s="1055"/>
      <c r="N14" s="1058"/>
      <c r="O14" s="1030"/>
      <c r="P14" s="1030"/>
      <c r="Q14" s="1030"/>
      <c r="R14" s="1031"/>
    </row>
    <row r="15" spans="2:18" ht="14.5" x14ac:dyDescent="0.35">
      <c r="B15" s="1035" t="s">
        <v>380</v>
      </c>
      <c r="C15" s="1029"/>
      <c r="D15" s="1029"/>
      <c r="E15" s="1029"/>
      <c r="F15" s="1029"/>
      <c r="G15" s="1029"/>
      <c r="H15" s="1029"/>
      <c r="I15" s="1029"/>
      <c r="J15" s="1030"/>
      <c r="K15" s="1029"/>
      <c r="L15" s="1029"/>
      <c r="M15" s="1055"/>
      <c r="N15" s="1058"/>
      <c r="O15" s="1030"/>
      <c r="P15" s="1030"/>
      <c r="Q15" s="1030"/>
      <c r="R15" s="1031"/>
    </row>
    <row r="16" spans="2:18" ht="14.5" x14ac:dyDescent="0.35">
      <c r="B16" s="1035"/>
      <c r="C16" s="1029"/>
      <c r="D16" s="1029"/>
      <c r="E16" s="1029"/>
      <c r="F16" s="1029"/>
      <c r="G16" s="1029"/>
      <c r="H16" s="1029"/>
      <c r="I16" s="1029"/>
      <c r="J16" s="1029"/>
      <c r="K16" s="1029"/>
      <c r="L16" s="1029"/>
      <c r="M16" s="1055"/>
      <c r="N16" s="1058"/>
      <c r="O16" s="1030"/>
      <c r="P16" s="1030"/>
      <c r="Q16" s="1030"/>
      <c r="R16" s="1031"/>
    </row>
    <row r="17" spans="2:18" ht="14.5" x14ac:dyDescent="0.35">
      <c r="B17" s="1035" t="s">
        <v>379</v>
      </c>
      <c r="C17" s="1029"/>
      <c r="D17" s="1029"/>
      <c r="E17" s="1029"/>
      <c r="F17" s="1029"/>
      <c r="G17" s="1029"/>
      <c r="H17" s="1029"/>
      <c r="I17" s="1029"/>
      <c r="J17" s="1029"/>
      <c r="K17" s="1029"/>
      <c r="L17" s="1029"/>
      <c r="M17" s="1055"/>
      <c r="N17" s="1058"/>
      <c r="O17" s="1030"/>
      <c r="P17" s="1030"/>
      <c r="Q17" s="1030"/>
      <c r="R17" s="1031"/>
    </row>
    <row r="18" spans="2:18" ht="14.5" x14ac:dyDescent="0.35">
      <c r="B18" s="1035"/>
      <c r="C18" s="1029"/>
      <c r="D18" s="1029"/>
      <c r="E18" s="1029"/>
      <c r="F18" s="1029"/>
      <c r="G18" s="1029"/>
      <c r="H18" s="1029"/>
      <c r="I18" s="1029"/>
      <c r="J18" s="1029"/>
      <c r="K18" s="1029"/>
      <c r="L18" s="1029"/>
      <c r="M18" s="1055"/>
      <c r="N18" s="1058"/>
      <c r="O18" s="1030"/>
      <c r="P18" s="1030"/>
      <c r="Q18" s="1030"/>
      <c r="R18" s="1031"/>
    </row>
    <row r="19" spans="2:18" ht="14.5" x14ac:dyDescent="0.35">
      <c r="B19" s="1032"/>
      <c r="C19" s="1034" t="s">
        <v>214</v>
      </c>
      <c r="D19" s="1029"/>
      <c r="E19" s="1029"/>
      <c r="F19" s="1036" t="s">
        <v>386</v>
      </c>
      <c r="G19" s="1029"/>
      <c r="H19" s="1034" t="s">
        <v>389</v>
      </c>
      <c r="I19" s="1029"/>
      <c r="J19" s="1030"/>
      <c r="K19" s="1037">
        <f>AVERAGE(30,45)</f>
        <v>37.5</v>
      </c>
      <c r="L19" s="1038" t="s">
        <v>656</v>
      </c>
      <c r="M19" s="1056"/>
      <c r="N19" s="1056"/>
      <c r="O19" s="1023"/>
      <c r="P19" s="1029"/>
      <c r="Q19" s="1030"/>
      <c r="R19" s="1031"/>
    </row>
    <row r="20" spans="2:18" ht="14.5" x14ac:dyDescent="0.35">
      <c r="B20" s="1032"/>
      <c r="C20" s="1034"/>
      <c r="D20" s="1029"/>
      <c r="E20" s="1029"/>
      <c r="F20" s="1036"/>
      <c r="G20" s="1029"/>
      <c r="H20" s="1034" t="s">
        <v>614</v>
      </c>
      <c r="I20" s="1029"/>
      <c r="J20" s="1030"/>
      <c r="K20" s="1037">
        <v>12</v>
      </c>
      <c r="L20" s="1036" t="s">
        <v>657</v>
      </c>
      <c r="M20" s="1057"/>
      <c r="N20" s="1057"/>
      <c r="O20" s="1023"/>
      <c r="P20" s="1029"/>
      <c r="Q20" s="1030"/>
      <c r="R20" s="1031"/>
    </row>
    <row r="21" spans="2:18" ht="14.5" x14ac:dyDescent="0.35">
      <c r="B21" s="1032"/>
      <c r="C21" s="1034"/>
      <c r="D21" s="1029"/>
      <c r="E21" s="1029"/>
      <c r="F21" s="1030"/>
      <c r="G21" s="1029"/>
      <c r="H21" s="1034" t="s">
        <v>641</v>
      </c>
      <c r="I21" s="1029"/>
      <c r="J21" s="1030"/>
      <c r="K21" s="1039">
        <v>166.3</v>
      </c>
      <c r="L21" s="1038" t="s">
        <v>658</v>
      </c>
      <c r="M21" s="1023"/>
      <c r="N21" s="1023"/>
      <c r="O21" s="1023"/>
      <c r="P21" s="1029"/>
      <c r="Q21" s="1030"/>
      <c r="R21" s="1031"/>
    </row>
    <row r="22" spans="2:18" ht="14.5" x14ac:dyDescent="0.35">
      <c r="B22" s="1035"/>
      <c r="C22" s="1029"/>
      <c r="D22" s="1029"/>
      <c r="E22" s="1029"/>
      <c r="F22" s="1030"/>
      <c r="G22" s="1029"/>
      <c r="H22" s="1034" t="s">
        <v>575</v>
      </c>
      <c r="I22" s="1029"/>
      <c r="J22" s="1030"/>
      <c r="K22" s="1039">
        <v>85</v>
      </c>
      <c r="L22" s="1038" t="s">
        <v>658</v>
      </c>
      <c r="M22" s="1023"/>
      <c r="N22" s="1023"/>
      <c r="O22" s="1023"/>
      <c r="P22" s="1029"/>
      <c r="Q22" s="1030"/>
      <c r="R22" s="1031"/>
    </row>
    <row r="23" spans="2:18" ht="14.5" x14ac:dyDescent="0.35">
      <c r="B23" s="1035"/>
      <c r="C23" s="1029"/>
      <c r="D23" s="1029"/>
      <c r="E23" s="1029"/>
      <c r="F23" s="1030"/>
      <c r="G23" s="1029"/>
      <c r="H23" s="1034" t="s">
        <v>576</v>
      </c>
      <c r="I23" s="1029"/>
      <c r="J23" s="1030"/>
      <c r="K23" s="1039">
        <v>3</v>
      </c>
      <c r="L23" s="1038" t="s">
        <v>659</v>
      </c>
      <c r="M23" s="1023"/>
      <c r="N23" s="1023"/>
      <c r="O23" s="1023"/>
      <c r="P23" s="1029"/>
      <c r="Q23" s="1030"/>
      <c r="R23" s="1031"/>
    </row>
    <row r="24" spans="2:18" ht="14.5" x14ac:dyDescent="0.35">
      <c r="B24" s="1035"/>
      <c r="C24" s="1029"/>
      <c r="D24" s="1029"/>
      <c r="E24" s="1029"/>
      <c r="F24" s="1030"/>
      <c r="G24" s="1029"/>
      <c r="H24" s="1034" t="s">
        <v>577</v>
      </c>
      <c r="I24" s="1029"/>
      <c r="J24" s="1030"/>
      <c r="K24" s="1039">
        <v>175</v>
      </c>
      <c r="L24" s="1038" t="s">
        <v>658</v>
      </c>
      <c r="M24" s="1023"/>
      <c r="N24" s="1023"/>
      <c r="O24" s="1023"/>
      <c r="P24" s="1029"/>
      <c r="Q24" s="1030"/>
      <c r="R24" s="1031"/>
    </row>
    <row r="25" spans="2:18" ht="14.5" x14ac:dyDescent="0.35">
      <c r="B25" s="1035"/>
      <c r="C25" s="1029"/>
      <c r="D25" s="1029"/>
      <c r="E25" s="1029"/>
      <c r="F25" s="1030"/>
      <c r="G25" s="1029"/>
      <c r="H25" s="1034"/>
      <c r="I25" s="1029"/>
      <c r="J25" s="1030"/>
      <c r="K25" s="1038"/>
      <c r="L25" s="1038"/>
      <c r="M25" s="1023"/>
      <c r="N25" s="1023"/>
      <c r="O25" s="1023"/>
      <c r="P25" s="1029"/>
      <c r="Q25" s="1030"/>
      <c r="R25" s="1031"/>
    </row>
    <row r="26" spans="2:18" ht="14.5" x14ac:dyDescent="0.35">
      <c r="B26" s="1035"/>
      <c r="C26" s="1029"/>
      <c r="D26" s="1029"/>
      <c r="E26" s="1029"/>
      <c r="F26" s="1034" t="s">
        <v>388</v>
      </c>
      <c r="G26" s="1029"/>
      <c r="H26" s="1034" t="s">
        <v>547</v>
      </c>
      <c r="I26" s="1029"/>
      <c r="J26" s="1030"/>
      <c r="K26" s="1039">
        <v>55</v>
      </c>
      <c r="L26" s="1038" t="s">
        <v>658</v>
      </c>
      <c r="M26" s="1023"/>
      <c r="N26" s="1023"/>
      <c r="O26" s="1023"/>
      <c r="P26" s="1029"/>
      <c r="Q26" s="1030"/>
      <c r="R26" s="1031"/>
    </row>
    <row r="27" spans="2:18" ht="14.5" x14ac:dyDescent="0.35">
      <c r="B27" s="1035"/>
      <c r="C27" s="1029"/>
      <c r="D27" s="1029"/>
      <c r="E27" s="1029"/>
      <c r="F27" s="1034"/>
      <c r="G27" s="1029"/>
      <c r="H27" s="1034" t="s">
        <v>553</v>
      </c>
      <c r="I27" s="1029"/>
      <c r="J27" s="1030"/>
      <c r="K27" s="1038" t="s">
        <v>550</v>
      </c>
      <c r="L27" s="1038" t="s">
        <v>658</v>
      </c>
      <c r="M27" s="1023"/>
      <c r="N27" s="1023"/>
      <c r="O27" s="1023"/>
      <c r="P27" s="1029"/>
      <c r="Q27" s="1030"/>
      <c r="R27" s="1031"/>
    </row>
    <row r="28" spans="2:18" ht="14.5" x14ac:dyDescent="0.35">
      <c r="B28" s="1035"/>
      <c r="C28" s="1029"/>
      <c r="D28" s="1029"/>
      <c r="E28" s="1029"/>
      <c r="F28" s="1034"/>
      <c r="G28" s="1029"/>
      <c r="H28" s="1040" t="s">
        <v>552</v>
      </c>
      <c r="I28" s="1029"/>
      <c r="J28" s="1030"/>
      <c r="K28" s="1038" t="s">
        <v>554</v>
      </c>
      <c r="L28" s="1038" t="s">
        <v>658</v>
      </c>
      <c r="M28" s="1023"/>
      <c r="N28" s="1023"/>
      <c r="O28" s="1023"/>
      <c r="P28" s="1029"/>
      <c r="Q28" s="1030"/>
      <c r="R28" s="1031"/>
    </row>
    <row r="29" spans="2:18" ht="14.5" x14ac:dyDescent="0.35">
      <c r="B29" s="1035"/>
      <c r="C29" s="1029"/>
      <c r="D29" s="1029"/>
      <c r="E29" s="1029"/>
      <c r="F29" s="1034"/>
      <c r="G29" s="1029"/>
      <c r="H29" s="1040" t="s">
        <v>561</v>
      </c>
      <c r="I29" s="1029"/>
      <c r="J29" s="1030"/>
      <c r="K29" s="1038" t="s">
        <v>555</v>
      </c>
      <c r="L29" s="1038" t="s">
        <v>658</v>
      </c>
      <c r="M29" s="1023"/>
      <c r="N29" s="1023"/>
      <c r="O29" s="1023"/>
      <c r="P29" s="1029"/>
      <c r="Q29" s="1030"/>
      <c r="R29" s="1031"/>
    </row>
    <row r="30" spans="2:18" ht="14.5" x14ac:dyDescent="0.35">
      <c r="B30" s="1035"/>
      <c r="C30" s="1029"/>
      <c r="D30" s="1029"/>
      <c r="E30" s="1029"/>
      <c r="F30" s="1034"/>
      <c r="G30" s="1029"/>
      <c r="H30" s="1040" t="s">
        <v>562</v>
      </c>
      <c r="I30" s="1029"/>
      <c r="J30" s="1030"/>
      <c r="K30" s="1038" t="s">
        <v>563</v>
      </c>
      <c r="L30" s="1038" t="s">
        <v>658</v>
      </c>
      <c r="M30" s="1023"/>
      <c r="N30" s="1023"/>
      <c r="O30" s="1023"/>
      <c r="P30" s="1029"/>
      <c r="Q30" s="1030"/>
      <c r="R30" s="1031"/>
    </row>
    <row r="31" spans="2:18" ht="14.5" x14ac:dyDescent="0.35">
      <c r="B31" s="1035"/>
      <c r="C31" s="1029"/>
      <c r="D31" s="1029"/>
      <c r="E31" s="1029"/>
      <c r="F31" s="1034"/>
      <c r="G31" s="1029"/>
      <c r="H31" s="1040" t="s">
        <v>566</v>
      </c>
      <c r="I31" s="1029"/>
      <c r="J31" s="1030"/>
      <c r="K31" s="1039">
        <v>50</v>
      </c>
      <c r="L31" s="1038" t="s">
        <v>658</v>
      </c>
      <c r="M31" s="1023"/>
      <c r="N31" s="1023"/>
      <c r="O31" s="1023"/>
      <c r="P31" s="1029"/>
      <c r="Q31" s="1030"/>
      <c r="R31" s="1031"/>
    </row>
    <row r="32" spans="2:18" ht="14.5" x14ac:dyDescent="0.35">
      <c r="B32" s="1035"/>
      <c r="C32" s="1029"/>
      <c r="D32" s="1029"/>
      <c r="E32" s="1029"/>
      <c r="F32" s="1034"/>
      <c r="G32" s="1029"/>
      <c r="H32" s="1040" t="s">
        <v>569</v>
      </c>
      <c r="I32" s="1029"/>
      <c r="J32" s="1029"/>
      <c r="K32" s="1039">
        <v>450</v>
      </c>
      <c r="L32" s="1038" t="s">
        <v>658</v>
      </c>
      <c r="M32" s="1023"/>
      <c r="N32" s="1023"/>
      <c r="O32" s="1023"/>
      <c r="P32" s="1029"/>
      <c r="Q32" s="1030"/>
      <c r="R32" s="1031"/>
    </row>
    <row r="33" spans="2:18" ht="14.5" x14ac:dyDescent="0.35">
      <c r="B33" s="1035"/>
      <c r="C33" s="1029"/>
      <c r="D33" s="1029"/>
      <c r="E33" s="1029"/>
      <c r="F33" s="1034"/>
      <c r="G33" s="1029"/>
      <c r="H33" s="1030"/>
      <c r="I33" s="1030"/>
      <c r="J33" s="1030"/>
      <c r="K33" s="1030"/>
      <c r="L33" s="1030"/>
      <c r="M33" s="1023"/>
      <c r="N33" s="1023"/>
      <c r="O33" s="1023"/>
      <c r="P33" s="1029"/>
      <c r="Q33" s="1030"/>
      <c r="R33" s="1031"/>
    </row>
    <row r="34" spans="2:18" ht="14.5" x14ac:dyDescent="0.35">
      <c r="B34" s="1035"/>
      <c r="C34" s="1029"/>
      <c r="D34" s="1029"/>
      <c r="E34" s="1029"/>
      <c r="F34" s="1034"/>
      <c r="G34" s="1029"/>
      <c r="H34" s="1040"/>
      <c r="I34" s="1029"/>
      <c r="J34" s="1029"/>
      <c r="K34" s="1041"/>
      <c r="L34" s="1038"/>
      <c r="M34" s="1023"/>
      <c r="N34" s="1023"/>
      <c r="O34" s="1023"/>
      <c r="P34" s="1029"/>
      <c r="Q34" s="1030"/>
      <c r="R34" s="1031"/>
    </row>
    <row r="35" spans="2:18" ht="14.5" x14ac:dyDescent="0.35">
      <c r="B35" s="1035"/>
      <c r="C35" s="1042" t="s">
        <v>611</v>
      </c>
      <c r="D35" s="1029"/>
      <c r="E35" s="1029"/>
      <c r="F35" s="1036" t="s">
        <v>612</v>
      </c>
      <c r="G35" s="1029"/>
      <c r="H35" s="1040" t="s">
        <v>613</v>
      </c>
      <c r="I35" s="1029"/>
      <c r="J35" s="1029"/>
      <c r="K35" s="1041">
        <f>AVERAGE(35,40)*100/35</f>
        <v>107.14285714285714</v>
      </c>
      <c r="L35" s="1043" t="s">
        <v>660</v>
      </c>
      <c r="M35" s="1023"/>
      <c r="N35" s="1023"/>
      <c r="O35" s="1023"/>
      <c r="P35" s="1029"/>
      <c r="Q35" s="1030"/>
      <c r="R35" s="1031"/>
    </row>
    <row r="36" spans="2:18" ht="14.5" x14ac:dyDescent="0.35">
      <c r="B36" s="1035"/>
      <c r="C36" s="1029"/>
      <c r="D36" s="1029"/>
      <c r="E36" s="1029"/>
      <c r="F36" s="1034"/>
      <c r="G36" s="1029"/>
      <c r="H36" s="1044"/>
      <c r="I36" s="1029"/>
      <c r="J36" s="1029"/>
      <c r="K36" s="1043"/>
      <c r="L36" s="1038"/>
      <c r="M36" s="1023"/>
      <c r="N36" s="1023"/>
      <c r="O36" s="1023"/>
      <c r="P36" s="1029"/>
      <c r="Q36" s="1030"/>
      <c r="R36" s="1031"/>
    </row>
    <row r="37" spans="2:18" ht="14.5" x14ac:dyDescent="0.35">
      <c r="B37" s="1035"/>
      <c r="C37" s="1042" t="s">
        <v>556</v>
      </c>
      <c r="D37" s="1029"/>
      <c r="E37" s="1029"/>
      <c r="F37" s="1036" t="s">
        <v>557</v>
      </c>
      <c r="G37" s="1029"/>
      <c r="H37" s="1034" t="s">
        <v>558</v>
      </c>
      <c r="I37" s="1029"/>
      <c r="J37" s="1029"/>
      <c r="K37" s="1043">
        <v>14000</v>
      </c>
      <c r="L37" s="1038" t="s">
        <v>661</v>
      </c>
      <c r="M37" s="1023"/>
      <c r="N37" s="1023"/>
      <c r="O37" s="1023"/>
      <c r="P37" s="1029"/>
      <c r="Q37" s="1030"/>
      <c r="R37" s="1031"/>
    </row>
    <row r="38" spans="2:18" ht="14.5" x14ac:dyDescent="0.35">
      <c r="B38" s="1035"/>
      <c r="C38" s="1042"/>
      <c r="D38" s="1029"/>
      <c r="E38" s="1029"/>
      <c r="F38" s="1036"/>
      <c r="G38" s="1029"/>
      <c r="H38" s="1034" t="s">
        <v>559</v>
      </c>
      <c r="I38" s="1029"/>
      <c r="J38" s="1029"/>
      <c r="K38" s="1043">
        <v>2.5</v>
      </c>
      <c r="L38" s="1038" t="s">
        <v>662</v>
      </c>
      <c r="M38" s="1023"/>
      <c r="N38" s="1023"/>
      <c r="O38" s="1023"/>
      <c r="P38" s="1029"/>
      <c r="Q38" s="1030"/>
      <c r="R38" s="1031"/>
    </row>
    <row r="39" spans="2:18" ht="14.5" x14ac:dyDescent="0.35">
      <c r="B39" s="1035"/>
      <c r="C39" s="1042"/>
      <c r="D39" s="1029"/>
      <c r="E39" s="1029"/>
      <c r="F39" s="1036"/>
      <c r="G39" s="1029"/>
      <c r="H39" s="1034" t="s">
        <v>560</v>
      </c>
      <c r="I39" s="1029"/>
      <c r="J39" s="1029"/>
      <c r="K39" s="1043">
        <v>525</v>
      </c>
      <c r="L39" s="1038" t="s">
        <v>663</v>
      </c>
      <c r="M39" s="1023"/>
      <c r="N39" s="1023"/>
      <c r="O39" s="1023"/>
      <c r="P39" s="1029"/>
      <c r="Q39" s="1030"/>
      <c r="R39" s="1031"/>
    </row>
    <row r="40" spans="2:18" ht="14.5" x14ac:dyDescent="0.35">
      <c r="B40" s="1035"/>
      <c r="C40" s="1029"/>
      <c r="D40" s="1029"/>
      <c r="E40" s="1029"/>
      <c r="F40" s="1030"/>
      <c r="G40" s="1029"/>
      <c r="H40" s="1034"/>
      <c r="I40" s="1029"/>
      <c r="J40" s="1030"/>
      <c r="K40" s="1038"/>
      <c r="L40" s="1038"/>
      <c r="M40" s="1023"/>
      <c r="N40" s="1023"/>
      <c r="O40" s="1023"/>
      <c r="P40" s="1029"/>
      <c r="Q40" s="1030"/>
      <c r="R40" s="1031"/>
    </row>
    <row r="41" spans="2:18" ht="14.5" x14ac:dyDescent="0.35">
      <c r="B41" s="1035"/>
      <c r="C41" s="1034" t="s">
        <v>494</v>
      </c>
      <c r="D41" s="1029"/>
      <c r="E41" s="1029"/>
      <c r="F41" s="1036" t="s">
        <v>386</v>
      </c>
      <c r="G41" s="1029"/>
      <c r="H41" s="1034" t="s">
        <v>493</v>
      </c>
      <c r="I41" s="1029"/>
      <c r="J41" s="1030"/>
      <c r="K41" s="1038" t="s">
        <v>492</v>
      </c>
      <c r="L41" s="1038" t="s">
        <v>664</v>
      </c>
      <c r="M41" s="1023"/>
      <c r="N41" s="1023"/>
      <c r="O41" s="1023"/>
      <c r="P41" s="1029"/>
      <c r="Q41" s="1030"/>
      <c r="R41" s="1031"/>
    </row>
    <row r="42" spans="2:18" ht="14.5" x14ac:dyDescent="0.35">
      <c r="B42" s="1035"/>
      <c r="C42" s="1034"/>
      <c r="D42" s="1029"/>
      <c r="E42" s="1029"/>
      <c r="F42" s="1036"/>
      <c r="G42" s="1029"/>
      <c r="H42" s="1034"/>
      <c r="I42" s="1029"/>
      <c r="J42" s="1030"/>
      <c r="K42" s="1038"/>
      <c r="L42" s="1038"/>
      <c r="M42" s="1023"/>
      <c r="N42" s="1023"/>
      <c r="O42" s="1023"/>
      <c r="P42" s="1029"/>
      <c r="Q42" s="1030"/>
      <c r="R42" s="1031"/>
    </row>
    <row r="43" spans="2:18" ht="14.5" x14ac:dyDescent="0.35">
      <c r="B43" s="1035"/>
      <c r="C43" s="1034" t="s">
        <v>395</v>
      </c>
      <c r="D43" s="1029"/>
      <c r="E43" s="1029"/>
      <c r="F43" s="1036" t="s">
        <v>386</v>
      </c>
      <c r="G43" s="1029"/>
      <c r="H43" s="1034" t="s">
        <v>640</v>
      </c>
      <c r="I43" s="1029"/>
      <c r="J43" s="1030"/>
      <c r="K43" s="1038" t="s">
        <v>609</v>
      </c>
      <c r="L43" s="1038" t="s">
        <v>662</v>
      </c>
      <c r="M43" s="1023"/>
      <c r="N43" s="1023"/>
      <c r="O43" s="1023"/>
      <c r="P43" s="1029"/>
      <c r="Q43" s="1030"/>
      <c r="R43" s="1031"/>
    </row>
    <row r="44" spans="2:18" ht="14.5" x14ac:dyDescent="0.35">
      <c r="B44" s="1035"/>
      <c r="C44" s="1034"/>
      <c r="D44" s="1029"/>
      <c r="E44" s="1029"/>
      <c r="F44" s="1036"/>
      <c r="G44" s="1029"/>
      <c r="H44" s="1034"/>
      <c r="I44" s="1029"/>
      <c r="J44" s="1030"/>
      <c r="K44" s="1038"/>
      <c r="L44" s="1038"/>
      <c r="M44" s="1023"/>
      <c r="N44" s="1023"/>
      <c r="O44" s="1023"/>
      <c r="P44" s="1029"/>
      <c r="Q44" s="1030"/>
      <c r="R44" s="1031"/>
    </row>
    <row r="45" spans="2:18" ht="14.5" x14ac:dyDescent="0.35">
      <c r="B45" s="1035"/>
      <c r="C45" s="1030"/>
      <c r="D45" s="1029"/>
      <c r="E45" s="1029"/>
      <c r="F45" s="1034" t="s">
        <v>388</v>
      </c>
      <c r="G45" s="1029"/>
      <c r="H45" s="1040" t="s">
        <v>590</v>
      </c>
      <c r="I45" s="1029"/>
      <c r="J45" s="1030"/>
      <c r="K45" s="1038" t="s">
        <v>589</v>
      </c>
      <c r="L45" s="1038" t="s">
        <v>662</v>
      </c>
      <c r="M45" s="1023"/>
      <c r="N45" s="1023"/>
      <c r="O45" s="1023"/>
      <c r="P45" s="1029"/>
      <c r="Q45" s="1030"/>
      <c r="R45" s="1031"/>
    </row>
    <row r="46" spans="2:18" ht="14.5" x14ac:dyDescent="0.35">
      <c r="B46" s="1035"/>
      <c r="C46" s="1034"/>
      <c r="D46" s="1029"/>
      <c r="E46" s="1029"/>
      <c r="F46" s="1034"/>
      <c r="G46" s="1029"/>
      <c r="H46" s="1034"/>
      <c r="I46" s="1029"/>
      <c r="J46" s="1030"/>
      <c r="K46" s="1038"/>
      <c r="L46" s="1038"/>
      <c r="M46" s="1023"/>
      <c r="N46" s="1023"/>
      <c r="O46" s="1023"/>
      <c r="P46" s="1029"/>
      <c r="Q46" s="1030"/>
      <c r="R46" s="1031"/>
    </row>
    <row r="47" spans="2:18" ht="14.5" x14ac:dyDescent="0.35">
      <c r="B47" s="1035"/>
      <c r="C47" s="1036" t="s">
        <v>490</v>
      </c>
      <c r="D47" s="1029"/>
      <c r="E47" s="1029"/>
      <c r="F47" s="1036" t="s">
        <v>388</v>
      </c>
      <c r="G47" s="1029"/>
      <c r="H47" s="1040" t="s">
        <v>396</v>
      </c>
      <c r="I47" s="1029"/>
      <c r="J47" s="1030"/>
      <c r="K47" s="1038">
        <v>170</v>
      </c>
      <c r="L47" s="1038" t="s">
        <v>658</v>
      </c>
      <c r="M47" s="1023"/>
      <c r="N47" s="1023"/>
      <c r="O47" s="1023"/>
      <c r="P47" s="1029"/>
      <c r="Q47" s="1030"/>
      <c r="R47" s="1031"/>
    </row>
    <row r="48" spans="2:18" ht="14.5" x14ac:dyDescent="0.35">
      <c r="B48" s="1035"/>
      <c r="C48" s="1036"/>
      <c r="D48" s="1029"/>
      <c r="E48" s="1029"/>
      <c r="F48" s="1036"/>
      <c r="G48" s="1029"/>
      <c r="H48" s="1034"/>
      <c r="I48" s="1029"/>
      <c r="J48" s="1030"/>
      <c r="K48" s="1038"/>
      <c r="L48" s="1038"/>
      <c r="M48" s="1023"/>
      <c r="N48" s="1023"/>
      <c r="O48" s="1023"/>
      <c r="P48" s="1029"/>
      <c r="Q48" s="1030"/>
      <c r="R48" s="1031"/>
    </row>
    <row r="49" spans="2:18" ht="14.5" x14ac:dyDescent="0.35">
      <c r="B49" s="1035"/>
      <c r="C49" s="1034" t="s">
        <v>393</v>
      </c>
      <c r="D49" s="1029"/>
      <c r="E49" s="1029"/>
      <c r="F49" s="1034" t="s">
        <v>388</v>
      </c>
      <c r="G49" s="1029"/>
      <c r="H49" s="1034" t="s">
        <v>651</v>
      </c>
      <c r="I49" s="1029"/>
      <c r="J49" s="1030"/>
      <c r="K49" s="1038">
        <v>0.33800000000000002</v>
      </c>
      <c r="L49" s="1038" t="s">
        <v>665</v>
      </c>
      <c r="M49" s="1023"/>
      <c r="N49" s="1023"/>
      <c r="O49" s="1023"/>
      <c r="P49" s="1029"/>
      <c r="Q49" s="1030"/>
      <c r="R49" s="1031"/>
    </row>
    <row r="50" spans="2:18" ht="14.5" x14ac:dyDescent="0.35">
      <c r="B50" s="1035"/>
      <c r="C50" s="1034"/>
      <c r="D50" s="1029"/>
      <c r="E50" s="1029"/>
      <c r="F50" s="1034"/>
      <c r="G50" s="1029"/>
      <c r="H50" s="1029"/>
      <c r="I50" s="1029"/>
      <c r="J50" s="1030"/>
      <c r="K50" s="1030"/>
      <c r="L50" s="1030"/>
      <c r="M50" s="1030"/>
      <c r="N50" s="1038"/>
      <c r="O50" s="1038"/>
      <c r="P50" s="1029"/>
      <c r="Q50" s="1030"/>
      <c r="R50" s="1031"/>
    </row>
    <row r="51" spans="2:18" ht="14.5" x14ac:dyDescent="0.35">
      <c r="B51" s="1035"/>
      <c r="C51" s="1034"/>
      <c r="D51" s="1029"/>
      <c r="E51" s="1029"/>
      <c r="F51" s="1034"/>
      <c r="G51" s="1029"/>
      <c r="H51" s="1029"/>
      <c r="I51" s="1029"/>
      <c r="J51" s="1030"/>
      <c r="K51" s="1030"/>
      <c r="L51" s="1030"/>
      <c r="M51" s="1030"/>
      <c r="N51" s="1038"/>
      <c r="O51" s="1038"/>
      <c r="P51" s="1029"/>
      <c r="Q51" s="1030"/>
      <c r="R51" s="1031"/>
    </row>
    <row r="52" spans="2:18" ht="14.5" x14ac:dyDescent="0.35">
      <c r="B52" s="1035" t="s">
        <v>392</v>
      </c>
      <c r="C52" s="1034"/>
      <c r="D52" s="1029"/>
      <c r="E52" s="1029"/>
      <c r="F52" s="1045"/>
      <c r="G52" s="1045"/>
      <c r="H52" s="1045"/>
      <c r="I52" s="1045"/>
      <c r="J52" s="1045"/>
      <c r="K52" s="1045"/>
      <c r="L52" s="1045"/>
      <c r="M52" s="1045"/>
      <c r="N52" s="1045"/>
      <c r="O52" s="1045"/>
      <c r="P52" s="1045"/>
      <c r="Q52" s="1030"/>
      <c r="R52" s="1031"/>
    </row>
    <row r="53" spans="2:18" ht="14.5" x14ac:dyDescent="0.35">
      <c r="B53" s="1035"/>
      <c r="C53" s="1034"/>
      <c r="D53" s="1029"/>
      <c r="E53" s="1029"/>
      <c r="F53" s="1045"/>
      <c r="G53" s="1045"/>
      <c r="H53" s="1045"/>
      <c r="I53" s="1045"/>
      <c r="J53" s="1045"/>
      <c r="K53" s="1045"/>
      <c r="L53" s="1045"/>
      <c r="M53" s="1045"/>
      <c r="N53" s="1045"/>
      <c r="O53" s="1045"/>
      <c r="P53" s="1045"/>
      <c r="Q53" s="1030"/>
      <c r="R53" s="1031"/>
    </row>
    <row r="54" spans="2:18" ht="14.5" x14ac:dyDescent="0.35">
      <c r="B54" s="1035"/>
      <c r="C54" s="1034" t="s">
        <v>386</v>
      </c>
      <c r="D54" s="1029"/>
      <c r="E54" s="1034" t="s">
        <v>592</v>
      </c>
      <c r="F54" s="1029"/>
      <c r="G54" s="1030"/>
      <c r="H54" s="1030"/>
      <c r="I54" s="1030"/>
      <c r="J54" s="1030"/>
      <c r="K54" s="1038" t="s">
        <v>593</v>
      </c>
      <c r="L54" s="1038" t="s">
        <v>658</v>
      </c>
      <c r="M54" s="1034" t="s">
        <v>666</v>
      </c>
      <c r="N54" s="1030"/>
      <c r="O54" s="1030"/>
      <c r="P54" s="1030"/>
      <c r="Q54" s="1030"/>
      <c r="R54" s="1031"/>
    </row>
    <row r="55" spans="2:18" ht="14.5" x14ac:dyDescent="0.35">
      <c r="B55" s="1046"/>
      <c r="C55" s="1034"/>
      <c r="D55" s="1029"/>
      <c r="E55" s="1029"/>
      <c r="F55" s="1029"/>
      <c r="G55" s="1030"/>
      <c r="H55" s="1030"/>
      <c r="I55" s="1030"/>
      <c r="J55" s="1030"/>
      <c r="K55" s="1038"/>
      <c r="L55" s="1038"/>
      <c r="M55" s="1029"/>
      <c r="N55" s="1030"/>
      <c r="O55" s="1030"/>
      <c r="P55" s="1030"/>
      <c r="Q55" s="1030"/>
      <c r="R55" s="1031"/>
    </row>
    <row r="56" spans="2:18" ht="14.5" x14ac:dyDescent="0.35">
      <c r="B56" s="1046"/>
      <c r="C56" s="1034" t="s">
        <v>388</v>
      </c>
      <c r="D56" s="1029"/>
      <c r="E56" s="1034" t="s">
        <v>636</v>
      </c>
      <c r="F56" s="1029"/>
      <c r="G56" s="1030"/>
      <c r="H56" s="1030"/>
      <c r="I56" s="1030"/>
      <c r="J56" s="1030"/>
      <c r="K56" s="1038" t="s">
        <v>643</v>
      </c>
      <c r="L56" s="1038" t="s">
        <v>664</v>
      </c>
      <c r="M56" s="1034"/>
      <c r="N56" s="1030"/>
      <c r="O56" s="1030"/>
      <c r="P56" s="1030"/>
      <c r="Q56" s="1030"/>
      <c r="R56" s="1031"/>
    </row>
    <row r="57" spans="2:18" ht="14.5" x14ac:dyDescent="0.35">
      <c r="B57" s="1035"/>
      <c r="C57" s="1034"/>
      <c r="D57" s="1029"/>
      <c r="E57" s="1034" t="s">
        <v>638</v>
      </c>
      <c r="F57" s="1029"/>
      <c r="G57" s="1030"/>
      <c r="H57" s="1030"/>
      <c r="I57" s="1030"/>
      <c r="J57" s="1030"/>
      <c r="K57" s="1038">
        <v>12.54</v>
      </c>
      <c r="L57" s="1038" t="s">
        <v>664</v>
      </c>
      <c r="M57" s="1034" t="s">
        <v>639</v>
      </c>
      <c r="N57" s="1030"/>
      <c r="O57" s="1030"/>
      <c r="P57" s="1030"/>
      <c r="Q57" s="1030"/>
      <c r="R57" s="1031"/>
    </row>
    <row r="58" spans="2:18" ht="14.5" x14ac:dyDescent="0.35">
      <c r="B58" s="1035"/>
      <c r="C58" s="1034"/>
      <c r="D58" s="1029"/>
      <c r="E58" s="1040" t="s">
        <v>667</v>
      </c>
      <c r="F58" s="1029"/>
      <c r="G58" s="1030"/>
      <c r="H58" s="1030"/>
      <c r="I58" s="1030"/>
      <c r="J58" s="1030"/>
      <c r="K58" s="1038" t="s">
        <v>571</v>
      </c>
      <c r="L58" s="1038" t="s">
        <v>662</v>
      </c>
      <c r="M58" s="1034" t="s">
        <v>591</v>
      </c>
      <c r="N58" s="1030"/>
      <c r="O58" s="1030"/>
      <c r="P58" s="1030"/>
      <c r="Q58" s="1030"/>
      <c r="R58" s="1031"/>
    </row>
    <row r="59" spans="2:18" ht="14.5" x14ac:dyDescent="0.35">
      <c r="B59" s="1035"/>
      <c r="C59" s="1034"/>
      <c r="D59" s="1029"/>
      <c r="E59" s="1040" t="s">
        <v>668</v>
      </c>
      <c r="F59" s="1029"/>
      <c r="G59" s="1030"/>
      <c r="H59" s="1030"/>
      <c r="I59" s="1030"/>
      <c r="J59" s="1030"/>
      <c r="K59" s="1038" t="s">
        <v>572</v>
      </c>
      <c r="L59" s="1038" t="s">
        <v>662</v>
      </c>
      <c r="M59" s="1034" t="s">
        <v>591</v>
      </c>
      <c r="N59" s="1030"/>
      <c r="O59" s="1030"/>
      <c r="P59" s="1030"/>
      <c r="Q59" s="1030"/>
      <c r="R59" s="1031"/>
    </row>
    <row r="60" spans="2:18" ht="14.5" x14ac:dyDescent="0.35">
      <c r="B60" s="1035"/>
      <c r="C60" s="1034"/>
      <c r="D60" s="1029"/>
      <c r="E60" s="1040" t="s">
        <v>594</v>
      </c>
      <c r="F60" s="1029"/>
      <c r="G60" s="1030"/>
      <c r="H60" s="1030"/>
      <c r="I60" s="1030"/>
      <c r="J60" s="1030"/>
      <c r="K60" s="1038" t="s">
        <v>600</v>
      </c>
      <c r="L60" s="1038" t="s">
        <v>658</v>
      </c>
      <c r="M60" s="1034" t="s">
        <v>666</v>
      </c>
      <c r="N60" s="1030"/>
      <c r="O60" s="1030"/>
      <c r="P60" s="1030"/>
      <c r="Q60" s="1030"/>
      <c r="R60" s="1031"/>
    </row>
    <row r="61" spans="2:18" ht="14.5" x14ac:dyDescent="0.35">
      <c r="B61" s="1035"/>
      <c r="C61" s="1034"/>
      <c r="D61" s="1029"/>
      <c r="E61" s="1040" t="s">
        <v>595</v>
      </c>
      <c r="F61" s="1029"/>
      <c r="G61" s="1030"/>
      <c r="H61" s="1030"/>
      <c r="I61" s="1030"/>
      <c r="J61" s="1030"/>
      <c r="K61" s="1038" t="s">
        <v>599</v>
      </c>
      <c r="L61" s="1038" t="s">
        <v>658</v>
      </c>
      <c r="M61" s="1034" t="s">
        <v>666</v>
      </c>
      <c r="N61" s="1030"/>
      <c r="O61" s="1030"/>
      <c r="P61" s="1030"/>
      <c r="Q61" s="1030"/>
      <c r="R61" s="1031"/>
    </row>
    <row r="62" spans="2:18" ht="14.5" x14ac:dyDescent="0.35">
      <c r="B62" s="1035"/>
      <c r="C62" s="1034"/>
      <c r="D62" s="1029"/>
      <c r="E62" s="1040" t="s">
        <v>570</v>
      </c>
      <c r="F62" s="1047"/>
      <c r="G62" s="1047"/>
      <c r="H62" s="1047"/>
      <c r="I62" s="1047"/>
      <c r="J62" s="1047"/>
      <c r="K62" s="1048">
        <v>240.7</v>
      </c>
      <c r="L62" s="1049" t="s">
        <v>669</v>
      </c>
      <c r="M62" s="1034" t="s">
        <v>637</v>
      </c>
      <c r="N62" s="1030"/>
      <c r="O62" s="1030"/>
      <c r="P62" s="1030"/>
      <c r="Q62" s="1030"/>
      <c r="R62" s="1031"/>
    </row>
    <row r="63" spans="2:18" ht="14.5" x14ac:dyDescent="0.35">
      <c r="B63" s="1035"/>
      <c r="C63" s="1034"/>
      <c r="D63" s="1029"/>
      <c r="E63" s="1040"/>
      <c r="F63" s="1047"/>
      <c r="G63" s="1047"/>
      <c r="H63" s="1047"/>
      <c r="I63" s="1047"/>
      <c r="J63" s="1047"/>
      <c r="K63" s="1048"/>
      <c r="L63" s="1049"/>
      <c r="M63" s="1034"/>
      <c r="N63" s="1030"/>
      <c r="O63" s="1030"/>
      <c r="P63" s="1030"/>
      <c r="Q63" s="1030"/>
      <c r="R63" s="1031"/>
    </row>
    <row r="64" spans="2:18" ht="14.5" x14ac:dyDescent="0.35">
      <c r="B64" s="1035"/>
      <c r="C64" s="1034"/>
      <c r="D64" s="1029"/>
      <c r="E64" s="1040"/>
      <c r="F64" s="1047"/>
      <c r="G64" s="1047"/>
      <c r="H64" s="1047"/>
      <c r="I64" s="1047"/>
      <c r="J64" s="1047"/>
      <c r="K64" s="1048"/>
      <c r="L64" s="1049"/>
      <c r="M64" s="1034"/>
      <c r="N64" s="1030"/>
      <c r="O64" s="1030"/>
      <c r="P64" s="1030"/>
      <c r="Q64" s="1030"/>
      <c r="R64" s="1031"/>
    </row>
    <row r="65" spans="2:18" ht="14.5" x14ac:dyDescent="0.35">
      <c r="B65" s="1035" t="s">
        <v>394</v>
      </c>
      <c r="C65" s="1029"/>
      <c r="D65" s="1029"/>
      <c r="E65" s="1029"/>
      <c r="F65" s="1045"/>
      <c r="G65" s="1045"/>
      <c r="H65" s="1045"/>
      <c r="I65" s="1045"/>
      <c r="J65" s="1045"/>
      <c r="K65" s="1045"/>
      <c r="L65" s="1045"/>
      <c r="M65" s="1045"/>
      <c r="N65" s="1045"/>
      <c r="O65" s="1045"/>
      <c r="P65" s="1045"/>
      <c r="Q65" s="1030"/>
      <c r="R65" s="1031"/>
    </row>
    <row r="66" spans="2:18" ht="14.5" x14ac:dyDescent="0.35">
      <c r="B66" s="1035"/>
      <c r="C66" s="1029"/>
      <c r="D66" s="1029"/>
      <c r="E66" s="1029"/>
      <c r="F66" s="1045"/>
      <c r="G66" s="1045"/>
      <c r="H66" s="1045"/>
      <c r="I66" s="1045"/>
      <c r="J66" s="1045"/>
      <c r="K66" s="1045"/>
      <c r="L66" s="1045"/>
      <c r="M66" s="1045"/>
      <c r="N66" s="1045"/>
      <c r="O66" s="1045"/>
      <c r="P66" s="1045"/>
      <c r="Q66" s="1030"/>
      <c r="R66" s="1031"/>
    </row>
    <row r="67" spans="2:18" ht="14.5" x14ac:dyDescent="0.35">
      <c r="B67" s="1035"/>
      <c r="C67" s="1034" t="s">
        <v>386</v>
      </c>
      <c r="D67" s="1030"/>
      <c r="E67" s="1040" t="s">
        <v>642</v>
      </c>
      <c r="F67" s="1030"/>
      <c r="G67" s="1030"/>
      <c r="H67" s="1030"/>
      <c r="I67" s="1030"/>
      <c r="J67" s="1030"/>
      <c r="K67" s="1050">
        <v>3.5</v>
      </c>
      <c r="L67" s="1038" t="s">
        <v>656</v>
      </c>
      <c r="M67" s="1036" t="s">
        <v>213</v>
      </c>
      <c r="O67" s="1030"/>
      <c r="P67" s="1030"/>
      <c r="Q67" s="1030"/>
      <c r="R67" s="1031"/>
    </row>
    <row r="68" spans="2:18" ht="14.5" x14ac:dyDescent="0.35">
      <c r="B68" s="1035"/>
      <c r="C68" s="1034"/>
      <c r="D68" s="1030"/>
      <c r="E68" s="1040"/>
      <c r="F68" s="1030"/>
      <c r="G68" s="1030"/>
      <c r="H68" s="1030"/>
      <c r="I68" s="1030"/>
      <c r="J68" s="1030"/>
      <c r="K68" s="1030"/>
      <c r="L68" s="1030"/>
      <c r="M68" s="1030"/>
      <c r="N68" s="1023"/>
      <c r="O68" s="1030"/>
      <c r="P68" s="1030"/>
      <c r="Q68" s="1030"/>
      <c r="R68" s="1031"/>
    </row>
    <row r="69" spans="2:18" ht="14.5" x14ac:dyDescent="0.35">
      <c r="B69" s="1035"/>
      <c r="C69" s="1034" t="s">
        <v>387</v>
      </c>
      <c r="D69" s="1029"/>
      <c r="E69" s="1040" t="s">
        <v>384</v>
      </c>
      <c r="F69" s="1029"/>
      <c r="G69" s="1029"/>
      <c r="H69" s="1029"/>
      <c r="I69" s="1030"/>
      <c r="J69" s="1030"/>
      <c r="K69" s="1034" t="s">
        <v>385</v>
      </c>
      <c r="L69" s="1038" t="s">
        <v>658</v>
      </c>
      <c r="M69" s="1036" t="s">
        <v>213</v>
      </c>
      <c r="N69" s="1023"/>
      <c r="O69" s="1030"/>
      <c r="P69" s="1030"/>
      <c r="Q69" s="1030"/>
      <c r="R69" s="1031"/>
    </row>
    <row r="70" spans="2:18" ht="14.5" x14ac:dyDescent="0.35">
      <c r="B70" s="1035"/>
      <c r="C70" s="1034"/>
      <c r="D70" s="1029"/>
      <c r="E70" s="1040"/>
      <c r="F70" s="1029"/>
      <c r="G70" s="1029"/>
      <c r="H70" s="1029"/>
      <c r="I70" s="1030"/>
      <c r="J70" s="1030"/>
      <c r="K70" s="1034"/>
      <c r="L70" s="1038"/>
      <c r="M70" s="1036"/>
      <c r="N70" s="1023"/>
      <c r="O70" s="1030"/>
      <c r="P70" s="1030"/>
      <c r="Q70" s="1030"/>
      <c r="R70" s="1031"/>
    </row>
    <row r="71" spans="2:18" ht="14.5" x14ac:dyDescent="0.35">
      <c r="B71" s="1035"/>
      <c r="C71" s="1029"/>
      <c r="D71" s="1029"/>
      <c r="E71" s="1029"/>
      <c r="F71" s="1029"/>
      <c r="G71" s="1029"/>
      <c r="H71" s="1029"/>
      <c r="I71" s="1029"/>
      <c r="J71" s="1029"/>
      <c r="K71" s="1030"/>
      <c r="L71" s="1030"/>
      <c r="M71" s="1030"/>
      <c r="N71" s="1023"/>
      <c r="O71" s="1030"/>
      <c r="P71" s="1030"/>
      <c r="Q71" s="1030"/>
      <c r="R71" s="1031"/>
    </row>
    <row r="72" spans="2:18" ht="14.5" x14ac:dyDescent="0.35">
      <c r="B72" s="1035"/>
      <c r="C72" s="1034" t="s">
        <v>388</v>
      </c>
      <c r="D72" s="1029"/>
      <c r="E72" s="1034" t="s">
        <v>548</v>
      </c>
      <c r="F72" s="1029"/>
      <c r="G72" s="1029"/>
      <c r="H72" s="1029"/>
      <c r="I72" s="1029"/>
      <c r="J72" s="1029"/>
      <c r="K72" s="1036" t="s">
        <v>549</v>
      </c>
      <c r="L72" s="1038" t="s">
        <v>670</v>
      </c>
      <c r="M72" s="1036" t="s">
        <v>214</v>
      </c>
      <c r="N72" s="1023"/>
      <c r="O72" s="1030"/>
      <c r="P72" s="1030"/>
      <c r="Q72" s="1030"/>
      <c r="R72" s="1031"/>
    </row>
    <row r="73" spans="2:18" ht="14.5" x14ac:dyDescent="0.35">
      <c r="B73" s="1035"/>
      <c r="C73" s="1029"/>
      <c r="D73" s="1029"/>
      <c r="E73" s="1040" t="s">
        <v>551</v>
      </c>
      <c r="F73" s="1029"/>
      <c r="G73" s="1029"/>
      <c r="H73" s="1029"/>
      <c r="I73" s="1029"/>
      <c r="J73" s="1029"/>
      <c r="K73" s="1041">
        <v>180</v>
      </c>
      <c r="L73" s="1038" t="s">
        <v>658</v>
      </c>
      <c r="M73" s="1036" t="s">
        <v>214</v>
      </c>
      <c r="N73" s="1023"/>
      <c r="O73" s="1030"/>
      <c r="P73" s="1030"/>
      <c r="Q73" s="1030"/>
      <c r="R73" s="1031"/>
    </row>
    <row r="74" spans="2:18" ht="14.5" x14ac:dyDescent="0.35">
      <c r="B74" s="1035"/>
      <c r="C74" s="1029"/>
      <c r="D74" s="1029"/>
      <c r="E74" s="1040" t="s">
        <v>601</v>
      </c>
      <c r="F74" s="1029"/>
      <c r="G74" s="1029"/>
      <c r="H74" s="1029"/>
      <c r="I74" s="1029"/>
      <c r="J74" s="1029"/>
      <c r="K74" s="1041">
        <v>150</v>
      </c>
      <c r="L74" s="1038" t="s">
        <v>658</v>
      </c>
      <c r="M74" s="1036" t="s">
        <v>214</v>
      </c>
      <c r="N74" s="1023"/>
      <c r="O74" s="1030"/>
      <c r="P74" s="1030"/>
      <c r="Q74" s="1030"/>
      <c r="R74" s="1031"/>
    </row>
    <row r="75" spans="2:18" ht="14.5" x14ac:dyDescent="0.35">
      <c r="B75" s="1046"/>
      <c r="C75" s="1029"/>
      <c r="D75" s="1029"/>
      <c r="E75" s="1040" t="s">
        <v>564</v>
      </c>
      <c r="F75" s="1029"/>
      <c r="G75" s="1029"/>
      <c r="H75" s="1029"/>
      <c r="I75" s="1029"/>
      <c r="J75" s="1029"/>
      <c r="K75" s="1041">
        <v>126.3</v>
      </c>
      <c r="L75" s="1038" t="s">
        <v>658</v>
      </c>
      <c r="M75" s="1036" t="s">
        <v>213</v>
      </c>
      <c r="N75" s="1023"/>
      <c r="O75" s="1030"/>
      <c r="P75" s="1030"/>
      <c r="Q75" s="1030"/>
      <c r="R75" s="1031"/>
    </row>
    <row r="76" spans="2:18" ht="14.5" x14ac:dyDescent="0.35">
      <c r="B76" s="1046"/>
      <c r="C76" s="1029"/>
      <c r="D76" s="1029"/>
      <c r="E76" s="1040" t="s">
        <v>565</v>
      </c>
      <c r="F76" s="1029"/>
      <c r="G76" s="1029"/>
      <c r="H76" s="1029"/>
      <c r="I76" s="1029"/>
      <c r="J76" s="1029"/>
      <c r="K76" s="1043">
        <v>45</v>
      </c>
      <c r="L76" s="1038" t="s">
        <v>658</v>
      </c>
      <c r="M76" s="1036" t="s">
        <v>214</v>
      </c>
      <c r="N76" s="1023"/>
      <c r="O76" s="1030"/>
      <c r="P76" s="1030"/>
      <c r="Q76" s="1030"/>
      <c r="R76" s="1031"/>
    </row>
    <row r="77" spans="2:18" ht="14.5" x14ac:dyDescent="0.35">
      <c r="B77" s="1046"/>
      <c r="C77" s="1029"/>
      <c r="D77" s="1029"/>
      <c r="E77" s="1040" t="s">
        <v>567</v>
      </c>
      <c r="F77" s="1030"/>
      <c r="G77" s="1030"/>
      <c r="H77" s="1030"/>
      <c r="I77" s="1030"/>
      <c r="J77" s="1030"/>
      <c r="K77" s="1043">
        <v>20</v>
      </c>
      <c r="L77" s="1038" t="s">
        <v>658</v>
      </c>
      <c r="M77" s="1036" t="s">
        <v>213</v>
      </c>
      <c r="N77" s="1023"/>
      <c r="O77" s="1030"/>
      <c r="P77" s="1030"/>
      <c r="Q77" s="1030"/>
      <c r="R77" s="1031"/>
    </row>
    <row r="78" spans="2:18" ht="14.5" x14ac:dyDescent="0.35">
      <c r="B78" s="1046"/>
      <c r="C78" s="1029"/>
      <c r="D78" s="1029"/>
      <c r="E78" s="1040" t="s">
        <v>568</v>
      </c>
      <c r="F78" s="1029"/>
      <c r="G78" s="1029"/>
      <c r="H78" s="1029"/>
      <c r="I78" s="1029"/>
      <c r="J78" s="1029"/>
      <c r="K78" s="1043">
        <v>40.299999999999997</v>
      </c>
      <c r="L78" s="1038" t="s">
        <v>658</v>
      </c>
      <c r="M78" s="1036" t="s">
        <v>213</v>
      </c>
      <c r="N78" s="1023"/>
      <c r="O78" s="1030"/>
      <c r="P78" s="1030"/>
      <c r="Q78" s="1030"/>
      <c r="R78" s="1031"/>
    </row>
    <row r="79" spans="2:18" ht="14.5" x14ac:dyDescent="0.35">
      <c r="B79" s="1046"/>
      <c r="C79" s="1029"/>
      <c r="D79" s="1029"/>
      <c r="E79" s="1040" t="s">
        <v>573</v>
      </c>
      <c r="F79" s="1029"/>
      <c r="G79" s="1029"/>
      <c r="H79" s="1029"/>
      <c r="I79" s="1029"/>
      <c r="J79" s="1029"/>
      <c r="K79" s="1041">
        <v>100</v>
      </c>
      <c r="L79" s="1038" t="s">
        <v>658</v>
      </c>
      <c r="M79" s="1036" t="s">
        <v>214</v>
      </c>
      <c r="N79" s="1023"/>
      <c r="O79" s="1030"/>
      <c r="P79" s="1030"/>
      <c r="Q79" s="1030"/>
      <c r="R79" s="1031"/>
    </row>
    <row r="80" spans="2:18" ht="14.5" x14ac:dyDescent="0.35">
      <c r="B80" s="1046"/>
      <c r="C80" s="1029"/>
      <c r="D80" s="1029"/>
      <c r="E80" s="1040" t="s">
        <v>574</v>
      </c>
      <c r="F80" s="1029"/>
      <c r="G80" s="1029"/>
      <c r="H80" s="1029"/>
      <c r="I80" s="1029"/>
      <c r="J80" s="1029"/>
      <c r="K80" s="1041">
        <v>175</v>
      </c>
      <c r="L80" s="1038" t="s">
        <v>658</v>
      </c>
      <c r="M80" s="1036" t="s">
        <v>214</v>
      </c>
      <c r="N80" s="1023"/>
      <c r="O80" s="1030"/>
      <c r="P80" s="1030"/>
      <c r="Q80" s="1030"/>
      <c r="R80" s="1031"/>
    </row>
    <row r="81" spans="2:18" ht="14.5" x14ac:dyDescent="0.35">
      <c r="B81" s="1046"/>
      <c r="C81" s="1030"/>
      <c r="D81" s="1030"/>
      <c r="E81" s="1040" t="s">
        <v>579</v>
      </c>
      <c r="F81" s="1030"/>
      <c r="G81" s="1030"/>
      <c r="H81" s="1030"/>
      <c r="I81" s="1030"/>
      <c r="J81" s="1030"/>
      <c r="K81" s="1043">
        <v>170</v>
      </c>
      <c r="L81" s="1038" t="s">
        <v>658</v>
      </c>
      <c r="M81" s="1036" t="s">
        <v>578</v>
      </c>
      <c r="N81" s="1023"/>
      <c r="O81" s="1030"/>
      <c r="P81" s="1030"/>
      <c r="Q81" s="1030"/>
      <c r="R81" s="1031"/>
    </row>
    <row r="82" spans="2:18" ht="14.5" x14ac:dyDescent="0.35">
      <c r="B82" s="1046"/>
      <c r="C82" s="1030"/>
      <c r="D82" s="1030"/>
      <c r="E82" s="1040" t="s">
        <v>603</v>
      </c>
      <c r="F82" s="1030"/>
      <c r="G82" s="1030"/>
      <c r="H82" s="1030"/>
      <c r="I82" s="1030"/>
      <c r="J82" s="1030"/>
      <c r="K82" s="1043" t="s">
        <v>602</v>
      </c>
      <c r="L82" s="1038" t="s">
        <v>658</v>
      </c>
      <c r="M82" s="1036" t="s">
        <v>214</v>
      </c>
      <c r="N82" s="1023"/>
      <c r="O82" s="1030"/>
      <c r="P82" s="1030"/>
      <c r="Q82" s="1030"/>
      <c r="R82" s="1031"/>
    </row>
    <row r="83" spans="2:18" ht="14.5" x14ac:dyDescent="0.35">
      <c r="B83" s="1051"/>
      <c r="C83" s="1052"/>
      <c r="D83" s="1052"/>
      <c r="E83" s="1052"/>
      <c r="F83" s="1052"/>
      <c r="G83" s="1052"/>
      <c r="H83" s="1052"/>
      <c r="I83" s="1052"/>
      <c r="J83" s="1052"/>
      <c r="K83" s="1052"/>
      <c r="L83" s="1052"/>
      <c r="M83" s="1052"/>
      <c r="N83" s="1052"/>
      <c r="O83" s="1052"/>
      <c r="P83" s="1052"/>
      <c r="Q83" s="1052"/>
      <c r="R83" s="1053"/>
    </row>
  </sheetData>
  <sheetProtection selectLockedCells="1" selectUnlockedCells="1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:P69"/>
  <sheetViews>
    <sheetView topLeftCell="A9" workbookViewId="0">
      <selection activeCell="D24" sqref="D24"/>
    </sheetView>
  </sheetViews>
  <sheetFormatPr defaultColWidth="9" defaultRowHeight="14" x14ac:dyDescent="0.3"/>
  <cols>
    <col min="2" max="2" width="17.75" customWidth="1"/>
  </cols>
  <sheetData>
    <row r="3" spans="2:16" x14ac:dyDescent="0.3"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</row>
    <row r="4" spans="2:16" x14ac:dyDescent="0.3">
      <c r="B4" s="496"/>
      <c r="C4" s="425"/>
      <c r="D4" s="504" t="s">
        <v>4</v>
      </c>
      <c r="E4" s="504" t="s">
        <v>5</v>
      </c>
      <c r="F4" s="504" t="s">
        <v>6</v>
      </c>
      <c r="G4" s="504" t="s">
        <v>7</v>
      </c>
      <c r="H4" s="504" t="s">
        <v>260</v>
      </c>
      <c r="I4" s="364"/>
      <c r="J4" s="364"/>
      <c r="K4" s="364"/>
      <c r="L4" s="364"/>
      <c r="M4" s="364"/>
      <c r="N4" s="364"/>
      <c r="O4" s="364"/>
      <c r="P4" s="364"/>
    </row>
    <row r="5" spans="2:16" x14ac:dyDescent="0.3">
      <c r="B5" s="712" t="s">
        <v>222</v>
      </c>
      <c r="C5" s="712" t="s">
        <v>357</v>
      </c>
      <c r="D5" s="154">
        <f>'Arable Inputs'!D18</f>
        <v>8.25</v>
      </c>
      <c r="E5" s="154">
        <f>'Arable Inputs'!E18</f>
        <v>6.3</v>
      </c>
      <c r="F5" s="154">
        <f>'Arable Inputs'!F18</f>
        <v>3.5</v>
      </c>
      <c r="G5" s="154">
        <f>'Arable Inputs'!G18</f>
        <v>78</v>
      </c>
      <c r="H5" s="154">
        <f>'Arable Inputs'!H18</f>
        <v>12</v>
      </c>
      <c r="I5" s="364"/>
      <c r="J5" s="364"/>
      <c r="K5" s="364"/>
      <c r="L5" s="364"/>
      <c r="M5" s="364"/>
      <c r="N5" s="364"/>
      <c r="O5" s="364"/>
      <c r="P5" s="364"/>
    </row>
    <row r="6" spans="2:16" x14ac:dyDescent="0.3"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</row>
    <row r="7" spans="2:16" x14ac:dyDescent="0.3"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</row>
    <row r="8" spans="2:16" x14ac:dyDescent="0.3">
      <c r="B8" s="496"/>
      <c r="C8" s="425"/>
      <c r="D8" s="504" t="s">
        <v>4</v>
      </c>
      <c r="E8" s="504" t="s">
        <v>5</v>
      </c>
      <c r="F8" s="504" t="s">
        <v>6</v>
      </c>
      <c r="G8" s="504" t="s">
        <v>7</v>
      </c>
      <c r="H8" s="504" t="s">
        <v>260</v>
      </c>
      <c r="I8" s="364"/>
      <c r="J8" s="364"/>
      <c r="K8" s="364"/>
      <c r="L8" s="364"/>
      <c r="M8" s="364"/>
      <c r="N8" s="364"/>
      <c r="O8" s="364"/>
      <c r="P8" s="364"/>
    </row>
    <row r="9" spans="2:16" x14ac:dyDescent="0.3">
      <c r="B9" s="712" t="s">
        <v>224</v>
      </c>
      <c r="C9" s="712" t="s">
        <v>456</v>
      </c>
      <c r="D9" s="155">
        <f>'Arable Inputs'!D25</f>
        <v>162</v>
      </c>
      <c r="E9" s="155">
        <f>'Arable Inputs'!E25</f>
        <v>140</v>
      </c>
      <c r="F9" s="155">
        <f>'Arable Inputs'!F25</f>
        <v>335</v>
      </c>
      <c r="G9" s="155">
        <f>'Arable Inputs'!G25</f>
        <v>27.16</v>
      </c>
      <c r="H9" s="155">
        <f>'Arable Inputs'!H25</f>
        <v>107.1</v>
      </c>
      <c r="I9" s="364"/>
      <c r="J9" s="364"/>
      <c r="K9" s="364"/>
      <c r="L9" s="364"/>
      <c r="M9" s="364"/>
      <c r="N9" s="364"/>
      <c r="O9" s="364"/>
      <c r="P9" s="364"/>
    </row>
    <row r="10" spans="2:16" x14ac:dyDescent="0.3"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</row>
    <row r="11" spans="2:16" x14ac:dyDescent="0.3">
      <c r="B11" s="364"/>
      <c r="C11" s="364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</row>
    <row r="12" spans="2:16" x14ac:dyDescent="0.3">
      <c r="B12" s="712" t="s">
        <v>219</v>
      </c>
      <c r="C12" s="713" t="s">
        <v>481</v>
      </c>
      <c r="D12" s="155">
        <f>'Arable Inputs'!D10</f>
        <v>220</v>
      </c>
      <c r="E12" s="364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</row>
    <row r="13" spans="2:16" x14ac:dyDescent="0.3">
      <c r="B13" s="364"/>
      <c r="C13" s="364"/>
      <c r="D13" s="364"/>
      <c r="E13" s="364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</row>
    <row r="14" spans="2:16" x14ac:dyDescent="0.3"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</row>
    <row r="15" spans="2:16" x14ac:dyDescent="0.3">
      <c r="B15" s="508" t="s">
        <v>354</v>
      </c>
      <c r="C15" s="668"/>
      <c r="D15" s="504" t="s">
        <v>4</v>
      </c>
      <c r="E15" s="504" t="s">
        <v>5</v>
      </c>
      <c r="F15" s="504" t="s">
        <v>6</v>
      </c>
      <c r="G15" s="504" t="s">
        <v>7</v>
      </c>
      <c r="H15" s="504" t="s">
        <v>260</v>
      </c>
      <c r="I15" s="364"/>
      <c r="J15" s="364"/>
      <c r="K15" s="364"/>
      <c r="L15" s="364"/>
      <c r="M15" s="364"/>
      <c r="N15" s="364"/>
      <c r="O15" s="364"/>
      <c r="P15" s="364"/>
    </row>
    <row r="16" spans="2:16" x14ac:dyDescent="0.3">
      <c r="B16" s="353" t="s">
        <v>12</v>
      </c>
      <c r="C16" s="354" t="s">
        <v>460</v>
      </c>
      <c r="D16" s="111">
        <f>'Arable margins'!E47</f>
        <v>684.46423508399835</v>
      </c>
      <c r="E16" s="111">
        <f>'Arable margins'!F47</f>
        <v>418.54877602277168</v>
      </c>
      <c r="F16" s="111">
        <f>'Arable margins'!G47</f>
        <v>541.75901992521074</v>
      </c>
      <c r="G16" s="111">
        <f>'Arable margins'!H47</f>
        <v>793.83573723279574</v>
      </c>
      <c r="H16" s="111">
        <f>'Arable margins'!I47</f>
        <v>528.51499999999999</v>
      </c>
      <c r="I16" s="364"/>
      <c r="J16" s="364"/>
      <c r="K16" s="364"/>
      <c r="L16" s="364"/>
      <c r="M16" s="364"/>
      <c r="N16" s="364"/>
      <c r="O16" s="364"/>
      <c r="P16" s="364"/>
    </row>
    <row r="17" spans="2:16" x14ac:dyDescent="0.3"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</row>
    <row r="18" spans="2:16" x14ac:dyDescent="0.3"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</row>
    <row r="19" spans="2:16" x14ac:dyDescent="0.3">
      <c r="B19" s="508" t="s">
        <v>22</v>
      </c>
      <c r="C19" s="668"/>
      <c r="D19" s="504" t="s">
        <v>4</v>
      </c>
      <c r="E19" s="504" t="s">
        <v>5</v>
      </c>
      <c r="F19" s="504" t="s">
        <v>6</v>
      </c>
      <c r="G19" s="504" t="s">
        <v>7</v>
      </c>
      <c r="H19" s="504" t="s">
        <v>260</v>
      </c>
      <c r="I19" s="364"/>
      <c r="J19" s="364"/>
      <c r="K19" s="364"/>
      <c r="L19" s="364"/>
      <c r="M19" s="364"/>
      <c r="N19" s="364"/>
      <c r="O19" s="364"/>
      <c r="P19" s="364"/>
    </row>
    <row r="20" spans="2:16" x14ac:dyDescent="0.3">
      <c r="B20" s="355" t="s">
        <v>12</v>
      </c>
      <c r="C20" s="354" t="s">
        <v>460</v>
      </c>
      <c r="D20" s="100">
        <f>'Arable margins'!E76</f>
        <v>841.31999999999994</v>
      </c>
      <c r="E20" s="100">
        <f>'Arable margins'!F76</f>
        <v>773.65999999999985</v>
      </c>
      <c r="F20" s="100">
        <f>'Arable margins'!G76</f>
        <v>621.47428571428577</v>
      </c>
      <c r="G20" s="100">
        <f>'Arable margins'!H76</f>
        <v>841.03</v>
      </c>
      <c r="H20" s="100">
        <f>'Arable margins'!I76</f>
        <v>552.40000000000009</v>
      </c>
      <c r="I20" s="364"/>
      <c r="J20" s="364"/>
      <c r="K20" s="364"/>
      <c r="L20" s="364"/>
      <c r="M20" s="364"/>
      <c r="N20" s="364"/>
      <c r="O20" s="364"/>
      <c r="P20" s="364"/>
    </row>
    <row r="21" spans="2:16" x14ac:dyDescent="0.3">
      <c r="B21" s="364"/>
      <c r="C21" s="364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</row>
    <row r="22" spans="2:16" x14ac:dyDescent="0.3"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</row>
    <row r="23" spans="2:16" x14ac:dyDescent="0.3">
      <c r="B23" s="508" t="s">
        <v>368</v>
      </c>
      <c r="C23" s="668"/>
      <c r="D23" s="504" t="s">
        <v>4</v>
      </c>
      <c r="E23" s="504" t="s">
        <v>5</v>
      </c>
      <c r="F23" s="504" t="s">
        <v>6</v>
      </c>
      <c r="G23" s="504" t="s">
        <v>7</v>
      </c>
      <c r="H23" s="504" t="s">
        <v>260</v>
      </c>
      <c r="I23" s="364"/>
      <c r="J23" s="364"/>
      <c r="K23" s="364"/>
      <c r="L23" s="364"/>
      <c r="M23" s="364"/>
      <c r="N23" s="364"/>
      <c r="O23" s="364"/>
      <c r="P23" s="364"/>
    </row>
    <row r="24" spans="2:16" x14ac:dyDescent="0.3">
      <c r="B24" s="329" t="s">
        <v>12</v>
      </c>
      <c r="C24" s="331" t="s">
        <v>471</v>
      </c>
      <c r="D24" s="681">
        <f>'Margins summary'!E12</f>
        <v>1590</v>
      </c>
      <c r="E24" s="681">
        <f>'Margins summary'!F12</f>
        <v>1127</v>
      </c>
      <c r="F24" s="681">
        <f>'Margins summary'!G12</f>
        <v>1270</v>
      </c>
      <c r="G24" s="681">
        <f>'Margins summary'!H12</f>
        <v>2118.48</v>
      </c>
      <c r="H24" s="681">
        <f>'Margins summary'!I12</f>
        <v>1285.1999999999998</v>
      </c>
      <c r="I24" s="364"/>
      <c r="J24" s="364"/>
      <c r="K24" s="364"/>
      <c r="L24" s="364"/>
      <c r="M24" s="364"/>
      <c r="N24" s="364"/>
      <c r="O24" s="364"/>
      <c r="P24" s="364"/>
    </row>
    <row r="25" spans="2:16" x14ac:dyDescent="0.3"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</row>
    <row r="26" spans="2:16" x14ac:dyDescent="0.3"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</row>
    <row r="27" spans="2:16" x14ac:dyDescent="0.3">
      <c r="B27" s="508" t="s">
        <v>367</v>
      </c>
      <c r="C27" s="668"/>
      <c r="D27" s="504" t="s">
        <v>4</v>
      </c>
      <c r="E27" s="504" t="s">
        <v>5</v>
      </c>
      <c r="F27" s="504" t="s">
        <v>6</v>
      </c>
      <c r="G27" s="504" t="s">
        <v>7</v>
      </c>
      <c r="H27" s="504" t="s">
        <v>260</v>
      </c>
      <c r="I27" s="364"/>
      <c r="J27" s="364"/>
      <c r="K27" s="364"/>
      <c r="L27" s="364"/>
      <c r="M27" s="364"/>
      <c r="N27" s="364"/>
      <c r="O27" s="364"/>
      <c r="P27" s="364"/>
    </row>
    <row r="28" spans="2:16" x14ac:dyDescent="0.3">
      <c r="B28" s="329" t="s">
        <v>12</v>
      </c>
      <c r="C28" s="331" t="s">
        <v>471</v>
      </c>
      <c r="D28" s="681">
        <f>'Margins summary'!E18</f>
        <v>1810</v>
      </c>
      <c r="E28" s="681">
        <f>'Margins summary'!F18</f>
        <v>1347</v>
      </c>
      <c r="F28" s="681">
        <f>'Margins summary'!G18</f>
        <v>1490</v>
      </c>
      <c r="G28" s="681">
        <f>'Margins summary'!H18</f>
        <v>2338.48</v>
      </c>
      <c r="H28" s="681">
        <f>'Margins summary'!I18</f>
        <v>1505.1999999999998</v>
      </c>
      <c r="I28" s="364"/>
      <c r="J28" s="364"/>
      <c r="K28" s="364"/>
      <c r="L28" s="364"/>
      <c r="M28" s="364"/>
      <c r="N28" s="364"/>
      <c r="O28" s="364"/>
      <c r="P28" s="364"/>
    </row>
    <row r="29" spans="2:16" x14ac:dyDescent="0.3"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</row>
    <row r="30" spans="2:16" x14ac:dyDescent="0.3">
      <c r="B30" s="364"/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</row>
    <row r="31" spans="2:16" x14ac:dyDescent="0.3">
      <c r="B31" s="364"/>
      <c r="C31" s="508" t="s">
        <v>482</v>
      </c>
      <c r="D31" s="667"/>
      <c r="E31" s="667"/>
      <c r="F31" s="667"/>
      <c r="G31" s="667"/>
      <c r="H31" s="668"/>
      <c r="I31" s="364"/>
      <c r="J31" s="508" t="s">
        <v>483</v>
      </c>
      <c r="K31" s="667"/>
      <c r="L31" s="667"/>
      <c r="M31" s="667"/>
      <c r="N31" s="667"/>
      <c r="O31" s="668"/>
      <c r="P31" s="364"/>
    </row>
    <row r="32" spans="2:16" x14ac:dyDescent="0.3">
      <c r="B32" s="356"/>
      <c r="C32" s="554"/>
      <c r="D32" s="714" t="s">
        <v>4</v>
      </c>
      <c r="E32" s="714" t="s">
        <v>5</v>
      </c>
      <c r="F32" s="714" t="s">
        <v>6</v>
      </c>
      <c r="G32" s="714" t="s">
        <v>7</v>
      </c>
      <c r="H32" s="714" t="s">
        <v>260</v>
      </c>
      <c r="I32" s="364"/>
      <c r="J32" s="554"/>
      <c r="K32" s="714" t="s">
        <v>4</v>
      </c>
      <c r="L32" s="714" t="s">
        <v>5</v>
      </c>
      <c r="M32" s="714" t="s">
        <v>6</v>
      </c>
      <c r="N32" s="714" t="s">
        <v>7</v>
      </c>
      <c r="O32" s="714" t="s">
        <v>260</v>
      </c>
      <c r="P32" s="364"/>
    </row>
    <row r="33" spans="2:16" x14ac:dyDescent="0.3">
      <c r="B33" s="364"/>
      <c r="C33" s="715">
        <v>1</v>
      </c>
      <c r="D33" s="549">
        <f>'Arable NPV'!N13</f>
        <v>64.215764916001717</v>
      </c>
      <c r="E33" s="549">
        <f>'Arable NPV'!N39</f>
        <v>-65.208776022771417</v>
      </c>
      <c r="F33" s="549">
        <f>'Arable NPV'!N65</f>
        <v>106.76669436050361</v>
      </c>
      <c r="G33" s="549">
        <f>'Arable NPV'!N91</f>
        <v>483.61426276720431</v>
      </c>
      <c r="H33" s="549">
        <f>'Arable NPV'!N117</f>
        <v>204.28499999999985</v>
      </c>
      <c r="I33" s="364"/>
      <c r="J33" s="715">
        <v>1</v>
      </c>
      <c r="K33" s="549">
        <f>'Arable NPV'!O13</f>
        <v>284.21576491600172</v>
      </c>
      <c r="L33" s="549">
        <f>'Arable NPV'!O39</f>
        <v>154.79122397722858</v>
      </c>
      <c r="M33" s="549">
        <f>'Arable NPV'!O65</f>
        <v>326.76669436050361</v>
      </c>
      <c r="N33" s="549">
        <f>'Arable NPV'!O91</f>
        <v>703.61426276720431</v>
      </c>
      <c r="O33" s="549">
        <f>'Arable NPV'!O117</f>
        <v>424.28499999999985</v>
      </c>
      <c r="P33" s="364"/>
    </row>
    <row r="34" spans="2:16" x14ac:dyDescent="0.3">
      <c r="B34" s="364"/>
      <c r="C34" s="410">
        <v>2</v>
      </c>
      <c r="D34" s="550">
        <f>'Arable NPV'!N14</f>
        <v>61.745927803847735</v>
      </c>
      <c r="E34" s="550">
        <f>'Arable NPV'!N40</f>
        <v>-62.700746175741642</v>
      </c>
      <c r="F34" s="550">
        <f>'Arable NPV'!N66</f>
        <v>102.66028303894586</v>
      </c>
      <c r="G34" s="550">
        <f>'Arable NPV'!N92</f>
        <v>465.01371419923498</v>
      </c>
      <c r="H34" s="550">
        <f>'Arable NPV'!N118</f>
        <v>196.4278846153843</v>
      </c>
      <c r="I34" s="364"/>
      <c r="J34" s="410">
        <v>2</v>
      </c>
      <c r="K34" s="550">
        <f>'Arable NPV'!O14</f>
        <v>273.28438934230928</v>
      </c>
      <c r="L34" s="550">
        <f>'Arable NPV'!O40</f>
        <v>148.83771536271988</v>
      </c>
      <c r="M34" s="550">
        <f>'Arable NPV'!O66</f>
        <v>314.19874457740741</v>
      </c>
      <c r="N34" s="550">
        <f>'Arable NPV'!O92</f>
        <v>676.55217573769653</v>
      </c>
      <c r="O34" s="550">
        <f>'Arable NPV'!O118</f>
        <v>407.96634615384585</v>
      </c>
      <c r="P34" s="364"/>
    </row>
    <row r="35" spans="2:16" x14ac:dyDescent="0.3">
      <c r="B35" s="364"/>
      <c r="C35" s="410">
        <v>3</v>
      </c>
      <c r="D35" s="550">
        <f>'Arable NPV'!N15</f>
        <v>59.371084426776633</v>
      </c>
      <c r="E35" s="550">
        <f>'Arable NPV'!N41</f>
        <v>-60.289179015136142</v>
      </c>
      <c r="F35" s="550">
        <f>'Arable NPV'!N67</f>
        <v>98.711810614370961</v>
      </c>
      <c r="G35" s="550">
        <f>'Arable NPV'!N93</f>
        <v>447.1285713454181</v>
      </c>
      <c r="H35" s="550">
        <f>'Arable NPV'!N119</f>
        <v>188.8729659763311</v>
      </c>
      <c r="I35" s="364"/>
      <c r="J35" s="410">
        <v>3</v>
      </c>
      <c r="K35" s="550">
        <f>'Arable NPV'!O15</f>
        <v>262.77345129068192</v>
      </c>
      <c r="L35" s="550">
        <f>'Arable NPV'!O41</f>
        <v>143.11318784876917</v>
      </c>
      <c r="M35" s="550">
        <f>'Arable NPV'!O67</f>
        <v>302.11417747827625</v>
      </c>
      <c r="N35" s="550">
        <f>'Arable NPV'!O93</f>
        <v>650.53093820932338</v>
      </c>
      <c r="O35" s="550">
        <f>'Arable NPV'!O119</f>
        <v>392.27533284023639</v>
      </c>
      <c r="P35" s="364"/>
    </row>
    <row r="36" spans="2:16" x14ac:dyDescent="0.3">
      <c r="B36" s="364"/>
      <c r="C36" s="410">
        <v>4</v>
      </c>
      <c r="D36" s="550">
        <f>'Arable NPV'!N16</f>
        <v>57.087581179593144</v>
      </c>
      <c r="E36" s="550">
        <f>'Arable NPV'!N42</f>
        <v>-57.970364437630906</v>
      </c>
      <c r="F36" s="550">
        <f>'Arable NPV'!N68</f>
        <v>94.915202513818258</v>
      </c>
      <c r="G36" s="550">
        <f>'Arable NPV'!N94</f>
        <v>429.93131860136373</v>
      </c>
      <c r="H36" s="550">
        <f>'Arable NPV'!N120</f>
        <v>181.6086211310876</v>
      </c>
      <c r="I36" s="364"/>
      <c r="J36" s="410">
        <v>4</v>
      </c>
      <c r="K36" s="550">
        <f>'Arable NPV'!O16</f>
        <v>252.66678008719441</v>
      </c>
      <c r="L36" s="550">
        <f>'Arable NPV'!O42</f>
        <v>137.60883446997036</v>
      </c>
      <c r="M36" s="550">
        <f>'Arable NPV'!O68</f>
        <v>290.49440142141952</v>
      </c>
      <c r="N36" s="550">
        <f>'Arable NPV'!O94</f>
        <v>625.51051750896499</v>
      </c>
      <c r="O36" s="550">
        <f>'Arable NPV'!O120</f>
        <v>377.18782003868887</v>
      </c>
      <c r="P36" s="364"/>
    </row>
    <row r="37" spans="2:16" x14ac:dyDescent="0.3">
      <c r="B37" s="364"/>
      <c r="C37" s="410">
        <v>5</v>
      </c>
      <c r="D37" s="550">
        <f>'Arable NPV'!N17</f>
        <v>54.891904980377831</v>
      </c>
      <c r="E37" s="550">
        <f>'Arable NPV'!N43</f>
        <v>-55.740735036183764</v>
      </c>
      <c r="F37" s="550">
        <f>'Arable NPV'!N69</f>
        <v>91.264617801748273</v>
      </c>
      <c r="G37" s="550">
        <f>'Arable NPV'!N95</f>
        <v>413.39549865515733</v>
      </c>
      <c r="H37" s="550">
        <f>'Arable NPV'!N121</f>
        <v>174.62367416450741</v>
      </c>
      <c r="I37" s="364"/>
      <c r="J37" s="410">
        <v>5</v>
      </c>
      <c r="K37" s="550">
        <f>'Arable NPV'!O17</f>
        <v>242.9488270069175</v>
      </c>
      <c r="L37" s="550">
        <f>'Arable NPV'!O43</f>
        <v>132.3161869903559</v>
      </c>
      <c r="M37" s="550">
        <f>'Arable NPV'!O69</f>
        <v>279.32153982828794</v>
      </c>
      <c r="N37" s="550">
        <f>'Arable NPV'!O95</f>
        <v>601.45242068169705</v>
      </c>
      <c r="O37" s="550">
        <f>'Arable NPV'!O121</f>
        <v>362.68059619104707</v>
      </c>
      <c r="P37" s="364"/>
    </row>
    <row r="38" spans="2:16" x14ac:dyDescent="0.3">
      <c r="B38" s="364"/>
      <c r="C38" s="410">
        <v>6</v>
      </c>
      <c r="D38" s="550">
        <f>'Arable NPV'!N18</f>
        <v>52.780677865747975</v>
      </c>
      <c r="E38" s="550">
        <f>'Arable NPV'!N44</f>
        <v>-53.596860611715101</v>
      </c>
      <c r="F38" s="550">
        <f>'Arable NPV'!N70</f>
        <v>87.754440193988671</v>
      </c>
      <c r="G38" s="550">
        <f>'Arable NPV'!N96</f>
        <v>397.49567178380494</v>
      </c>
      <c r="H38" s="550">
        <f>'Arable NPV'!N122</f>
        <v>167.90737900433396</v>
      </c>
      <c r="I38" s="364"/>
      <c r="J38" s="410">
        <v>6</v>
      </c>
      <c r="K38" s="550">
        <f>'Arable NPV'!O18</f>
        <v>233.60464135280532</v>
      </c>
      <c r="L38" s="550">
        <f>'Arable NPV'!O44</f>
        <v>127.22710287534224</v>
      </c>
      <c r="M38" s="550">
        <f>'Arable NPV'!O70</f>
        <v>268.57840368104598</v>
      </c>
      <c r="N38" s="550">
        <f>'Arable NPV'!O96</f>
        <v>578.31963527086225</v>
      </c>
      <c r="O38" s="550">
        <f>'Arable NPV'!O122</f>
        <v>348.73134249139127</v>
      </c>
      <c r="P38" s="364"/>
    </row>
    <row r="39" spans="2:16" x14ac:dyDescent="0.3">
      <c r="B39" s="364"/>
      <c r="C39" s="410">
        <v>7</v>
      </c>
      <c r="D39" s="550">
        <f>'Arable NPV'!N19</f>
        <v>50.750651793988482</v>
      </c>
      <c r="E39" s="550">
        <f>'Arable NPV'!N45</f>
        <v>-51.535442895879896</v>
      </c>
      <c r="F39" s="550">
        <f>'Arable NPV'!N71</f>
        <v>84.379269417296882</v>
      </c>
      <c r="G39" s="550">
        <f>'Arable NPV'!N97</f>
        <v>382.20737671519714</v>
      </c>
      <c r="H39" s="550">
        <f>'Arable NPV'!N123</f>
        <v>161.44940288878274</v>
      </c>
      <c r="I39" s="364"/>
      <c r="J39" s="410">
        <v>7</v>
      </c>
      <c r="K39" s="550">
        <f>'Arable NPV'!O19</f>
        <v>224.61984745462053</v>
      </c>
      <c r="L39" s="550">
        <f>'Arable NPV'!O45</f>
        <v>122.33375276475215</v>
      </c>
      <c r="M39" s="550">
        <f>'Arable NPV'!O71</f>
        <v>258.24846507792893</v>
      </c>
      <c r="N39" s="550">
        <f>'Arable NPV'!O97</f>
        <v>556.07657237582919</v>
      </c>
      <c r="O39" s="550">
        <f>'Arable NPV'!O123</f>
        <v>335.31859854941479</v>
      </c>
      <c r="P39" s="364"/>
    </row>
    <row r="40" spans="2:16" x14ac:dyDescent="0.3">
      <c r="B40" s="364"/>
      <c r="C40" s="410">
        <v>8</v>
      </c>
      <c r="D40" s="550">
        <f>'Arable NPV'!N20</f>
        <v>48.798703648065839</v>
      </c>
      <c r="E40" s="550">
        <f>'Arable NPV'!N46</f>
        <v>-49.55331047680761</v>
      </c>
      <c r="F40" s="550">
        <f>'Arable NPV'!N72</f>
        <v>81.133912901246958</v>
      </c>
      <c r="G40" s="550">
        <f>'Arable NPV'!N98</f>
        <v>367.50709299538198</v>
      </c>
      <c r="H40" s="550">
        <f>'Arable NPV'!N124</f>
        <v>155.23981046998335</v>
      </c>
      <c r="I40" s="364"/>
      <c r="J40" s="410">
        <v>8</v>
      </c>
      <c r="K40" s="550">
        <f>'Arable NPV'!O20</f>
        <v>215.98062255251975</v>
      </c>
      <c r="L40" s="550">
        <f>'Arable NPV'!O46</f>
        <v>117.6286084276463</v>
      </c>
      <c r="M40" s="550">
        <f>'Arable NPV'!O72</f>
        <v>248.31583180570087</v>
      </c>
      <c r="N40" s="550">
        <f>'Arable NPV'!O98</f>
        <v>534.68901189983592</v>
      </c>
      <c r="O40" s="550">
        <f>'Arable NPV'!O124</f>
        <v>322.42172937443729</v>
      </c>
      <c r="P40" s="364"/>
    </row>
    <row r="41" spans="2:16" x14ac:dyDescent="0.3">
      <c r="B41" s="364"/>
      <c r="C41" s="410">
        <v>9</v>
      </c>
      <c r="D41" s="550">
        <f>'Arable NPV'!N21</f>
        <v>46.921830430832642</v>
      </c>
      <c r="E41" s="550">
        <f>'Arable NPV'!N47</f>
        <v>-47.647413920007352</v>
      </c>
      <c r="F41" s="550">
        <f>'Arable NPV'!N73</f>
        <v>78.013377789660581</v>
      </c>
      <c r="G41" s="550">
        <f>'Arable NPV'!N99</f>
        <v>353.37220480325163</v>
      </c>
      <c r="H41" s="550">
        <f>'Arable NPV'!N125</f>
        <v>149.26904852883024</v>
      </c>
      <c r="I41" s="364"/>
      <c r="J41" s="410">
        <v>9</v>
      </c>
      <c r="K41" s="550">
        <f>'Arable NPV'!O21</f>
        <v>207.67367553126908</v>
      </c>
      <c r="L41" s="550">
        <f>'Arable NPV'!O47</f>
        <v>113.10443118042909</v>
      </c>
      <c r="M41" s="550">
        <f>'Arable NPV'!O73</f>
        <v>238.76522289009702</v>
      </c>
      <c r="N41" s="550">
        <f>'Arable NPV'!O99</f>
        <v>514.12404990368805</v>
      </c>
      <c r="O41" s="550">
        <f>'Arable NPV'!O125</f>
        <v>310.02089362926665</v>
      </c>
      <c r="P41" s="364"/>
    </row>
    <row r="42" spans="2:16" x14ac:dyDescent="0.3">
      <c r="B42" s="364"/>
      <c r="C42" s="410">
        <v>10</v>
      </c>
      <c r="D42" s="550">
        <f>'Arable NPV'!N22</f>
        <v>45.117144645031203</v>
      </c>
      <c r="E42" s="550">
        <f>'Arable NPV'!N48</f>
        <v>-45.814821076930002</v>
      </c>
      <c r="F42" s="550">
        <f>'Arable NPV'!N74</f>
        <v>75.012863259288906</v>
      </c>
      <c r="G42" s="550">
        <f>'Arable NPV'!N100</f>
        <v>339.78096615697268</v>
      </c>
      <c r="H42" s="550">
        <f>'Arable NPV'!N126</f>
        <v>143.52793127772134</v>
      </c>
      <c r="I42" s="364"/>
      <c r="J42" s="410">
        <v>10</v>
      </c>
      <c r="K42" s="550">
        <f>'Arable NPV'!O22</f>
        <v>199.6862264723739</v>
      </c>
      <c r="L42" s="550">
        <f>'Arable NPV'!O48</f>
        <v>108.7542607504127</v>
      </c>
      <c r="M42" s="550">
        <f>'Arable NPV'!O74</f>
        <v>229.58194508663161</v>
      </c>
      <c r="N42" s="550">
        <f>'Arable NPV'!O100</f>
        <v>494.35004798431538</v>
      </c>
      <c r="O42" s="550">
        <f>'Arable NPV'!O126</f>
        <v>298.09701310506404</v>
      </c>
      <c r="P42" s="364"/>
    </row>
    <row r="43" spans="2:16" x14ac:dyDescent="0.3">
      <c r="B43" s="364"/>
      <c r="C43" s="410">
        <v>11</v>
      </c>
      <c r="D43" s="550">
        <f>'Arable NPV'!N23</f>
        <v>43.381869850991507</v>
      </c>
      <c r="E43" s="550">
        <f>'Arable NPV'!N49</f>
        <v>-44.052712573971235</v>
      </c>
      <c r="F43" s="550">
        <f>'Arable NPV'!N75</f>
        <v>72.127753133931719</v>
      </c>
      <c r="G43" s="550">
        <f>'Arable NPV'!N101</f>
        <v>326.71246745862777</v>
      </c>
      <c r="H43" s="550">
        <f>'Arable NPV'!N127</f>
        <v>138.00762622857815</v>
      </c>
      <c r="I43" s="364"/>
      <c r="J43" s="410">
        <v>11</v>
      </c>
      <c r="K43" s="550">
        <f>'Arable NPV'!O23</f>
        <v>192.00598699266718</v>
      </c>
      <c r="L43" s="550">
        <f>'Arable NPV'!O49</f>
        <v>104.57140456770443</v>
      </c>
      <c r="M43" s="550">
        <f>'Arable NPV'!O75</f>
        <v>220.75187027560739</v>
      </c>
      <c r="N43" s="550">
        <f>'Arable NPV'!O101</f>
        <v>475.33658460030347</v>
      </c>
      <c r="O43" s="550">
        <f>'Arable NPV'!O127</f>
        <v>286.63174337025384</v>
      </c>
      <c r="P43" s="364"/>
    </row>
    <row r="44" spans="2:16" x14ac:dyDescent="0.3">
      <c r="B44" s="364"/>
      <c r="C44" s="410">
        <v>12</v>
      </c>
      <c r="D44" s="550">
        <f>'Arable NPV'!N24</f>
        <v>41.713336395184115</v>
      </c>
      <c r="E44" s="550">
        <f>'Arable NPV'!N50</f>
        <v>-42.358377474972372</v>
      </c>
      <c r="F44" s="550">
        <f>'Arable NPV'!N76</f>
        <v>69.353608782626679</v>
      </c>
      <c r="G44" s="550">
        <f>'Arable NPV'!N102</f>
        <v>314.14660332560356</v>
      </c>
      <c r="H44" s="550">
        <f>'Arable NPV'!N128</f>
        <v>132.69964060440213</v>
      </c>
      <c r="I44" s="364"/>
      <c r="J44" s="410">
        <v>12</v>
      </c>
      <c r="K44" s="550">
        <f>'Arable NPV'!O24</f>
        <v>184.62114133910305</v>
      </c>
      <c r="L44" s="550">
        <f>'Arable NPV'!O50</f>
        <v>100.54942746894656</v>
      </c>
      <c r="M44" s="550">
        <f>'Arable NPV'!O76</f>
        <v>212.26141372654561</v>
      </c>
      <c r="N44" s="550">
        <f>'Arable NPV'!O102</f>
        <v>457.05440826952247</v>
      </c>
      <c r="O44" s="550">
        <f>'Arable NPV'!O128</f>
        <v>275.60744554832104</v>
      </c>
      <c r="P44" s="364"/>
    </row>
    <row r="45" spans="2:16" x14ac:dyDescent="0.3">
      <c r="B45" s="364"/>
      <c r="C45" s="410">
        <v>13</v>
      </c>
      <c r="D45" s="550">
        <f>'Arable NPV'!N25</f>
        <v>40.108977303061693</v>
      </c>
      <c r="E45" s="550">
        <f>'Arable NPV'!N51</f>
        <v>-40.729209110550414</v>
      </c>
      <c r="F45" s="550">
        <f>'Arable NPV'!N77</f>
        <v>66.686162290987113</v>
      </c>
      <c r="G45" s="550">
        <f>'Arable NPV'!N103</f>
        <v>302.06404165923414</v>
      </c>
      <c r="H45" s="550">
        <f>'Arable NPV'!N129</f>
        <v>127.5958082734636</v>
      </c>
      <c r="I45" s="364"/>
      <c r="J45" s="410">
        <v>13</v>
      </c>
      <c r="K45" s="550">
        <f>'Arable NPV'!O25</f>
        <v>177.52032821067601</v>
      </c>
      <c r="L45" s="550">
        <f>'Arable NPV'!O51</f>
        <v>96.682141797063906</v>
      </c>
      <c r="M45" s="550">
        <f>'Arable NPV'!O77</f>
        <v>204.09751319860143</v>
      </c>
      <c r="N45" s="550">
        <f>'Arable NPV'!O103</f>
        <v>439.47539256684843</v>
      </c>
      <c r="O45" s="550">
        <f>'Arable NPV'!O129</f>
        <v>265.0071591810779</v>
      </c>
      <c r="P45" s="364"/>
    </row>
    <row r="46" spans="2:16" x14ac:dyDescent="0.3">
      <c r="B46" s="364"/>
      <c r="C46" s="410">
        <v>14</v>
      </c>
      <c r="D46" s="550">
        <f>'Arable NPV'!N26</f>
        <v>38.56632432986703</v>
      </c>
      <c r="E46" s="550">
        <f>'Arable NPV'!N52</f>
        <v>-39.162701067836906</v>
      </c>
      <c r="F46" s="550">
        <f>'Arable NPV'!N78</f>
        <v>64.121309895179934</v>
      </c>
      <c r="G46" s="550">
        <f>'Arable NPV'!N104</f>
        <v>290.4461939031097</v>
      </c>
      <c r="H46" s="550">
        <f>'Arable NPV'!N130</f>
        <v>122.68827718602267</v>
      </c>
      <c r="I46" s="364"/>
      <c r="J46" s="410">
        <v>14</v>
      </c>
      <c r="K46" s="550">
        <f>'Arable NPV'!O26</f>
        <v>170.69262327949619</v>
      </c>
      <c r="L46" s="550">
        <f>'Arable NPV'!O52</f>
        <v>92.963597881792253</v>
      </c>
      <c r="M46" s="550">
        <f>'Arable NPV'!O78</f>
        <v>196.24760884480909</v>
      </c>
      <c r="N46" s="550">
        <f>'Arable NPV'!O104</f>
        <v>422.57249285273883</v>
      </c>
      <c r="O46" s="550">
        <f>'Arable NPV'!O130</f>
        <v>254.81457613565183</v>
      </c>
      <c r="P46" s="364"/>
    </row>
    <row r="47" spans="2:16" x14ac:dyDescent="0.3">
      <c r="B47" s="364"/>
      <c r="C47" s="410">
        <v>15</v>
      </c>
      <c r="D47" s="550">
        <f>'Arable NPV'!N27</f>
        <v>37.083004163333726</v>
      </c>
      <c r="E47" s="550">
        <f>'Arable NPV'!N53</f>
        <v>-37.656443334458459</v>
      </c>
      <c r="F47" s="550">
        <f>'Arable NPV'!N79</f>
        <v>61.655105668442161</v>
      </c>
      <c r="G47" s="550">
        <f>'Arable NPV'!N105</f>
        <v>279.27518644529778</v>
      </c>
      <c r="H47" s="550">
        <f>'Arable NPV'!N131</f>
        <v>117.96949729425251</v>
      </c>
      <c r="I47" s="364"/>
      <c r="J47" s="410">
        <v>15</v>
      </c>
      <c r="K47" s="550">
        <f>'Arable NPV'!O27</f>
        <v>164.127522384131</v>
      </c>
      <c r="L47" s="550">
        <f>'Arable NPV'!O53</f>
        <v>89.388074886338813</v>
      </c>
      <c r="M47" s="550">
        <f>'Arable NPV'!O79</f>
        <v>188.69962388923943</v>
      </c>
      <c r="N47" s="550">
        <f>'Arable NPV'!O105</f>
        <v>406.31970466609505</v>
      </c>
      <c r="O47" s="550">
        <f>'Arable NPV'!O131</f>
        <v>245.01401551504978</v>
      </c>
      <c r="P47" s="364"/>
    </row>
    <row r="48" spans="2:16" x14ac:dyDescent="0.3">
      <c r="B48" s="364"/>
      <c r="C48" s="551">
        <v>16</v>
      </c>
      <c r="D48" s="557">
        <f>'Arable NPV'!N28</f>
        <v>35.656734772436266</v>
      </c>
      <c r="E48" s="557">
        <f>'Arable NPV'!N54</f>
        <v>-36.208118590825393</v>
      </c>
      <c r="F48" s="557">
        <f>'Arable NPV'!N80</f>
        <v>59.283755450425247</v>
      </c>
      <c r="G48" s="557">
        <f>'Arable NPV'!N106</f>
        <v>268.53383312047879</v>
      </c>
      <c r="H48" s="557">
        <f>'Arable NPV'!N132</f>
        <v>113.43220893678131</v>
      </c>
      <c r="I48" s="364"/>
      <c r="J48" s="551">
        <v>16</v>
      </c>
      <c r="K48" s="557">
        <f>'Arable NPV'!O28</f>
        <v>157.81492536935673</v>
      </c>
      <c r="L48" s="557">
        <f>'Arable NPV'!O54</f>
        <v>85.95007200609507</v>
      </c>
      <c r="M48" s="557">
        <f>'Arable NPV'!O80</f>
        <v>181.44194604734571</v>
      </c>
      <c r="N48" s="557">
        <f>'Arable NPV'!O106</f>
        <v>390.69202371739925</v>
      </c>
      <c r="O48" s="557">
        <f>'Arable NPV'!O132</f>
        <v>235.59039953370177</v>
      </c>
      <c r="P48" s="364"/>
    </row>
    <row r="49" spans="2:16" x14ac:dyDescent="0.3"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</row>
    <row r="50" spans="2:16" x14ac:dyDescent="0.3"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</row>
    <row r="51" spans="2:16" x14ac:dyDescent="0.3">
      <c r="B51" s="364"/>
      <c r="C51" s="508" t="s">
        <v>484</v>
      </c>
      <c r="D51" s="667"/>
      <c r="E51" s="667"/>
      <c r="F51" s="667"/>
      <c r="G51" s="667"/>
      <c r="H51" s="668"/>
      <c r="I51" s="364"/>
      <c r="J51" s="508" t="s">
        <v>482</v>
      </c>
      <c r="K51" s="667"/>
      <c r="L51" s="667"/>
      <c r="M51" s="667"/>
      <c r="N51" s="667"/>
      <c r="O51" s="668"/>
      <c r="P51" s="364"/>
    </row>
    <row r="52" spans="2:16" x14ac:dyDescent="0.3">
      <c r="B52" s="364"/>
      <c r="C52" s="716"/>
      <c r="D52" s="714" t="s">
        <v>4</v>
      </c>
      <c r="E52" s="714" t="s">
        <v>5</v>
      </c>
      <c r="F52" s="714" t="s">
        <v>6</v>
      </c>
      <c r="G52" s="714" t="s">
        <v>7</v>
      </c>
      <c r="H52" s="714" t="s">
        <v>260</v>
      </c>
      <c r="I52" s="364"/>
      <c r="J52" s="716"/>
      <c r="K52" s="714" t="s">
        <v>4</v>
      </c>
      <c r="L52" s="714" t="s">
        <v>5</v>
      </c>
      <c r="M52" s="714" t="s">
        <v>6</v>
      </c>
      <c r="N52" s="714" t="s">
        <v>7</v>
      </c>
      <c r="O52" s="714" t="s">
        <v>260</v>
      </c>
      <c r="P52" s="364"/>
    </row>
    <row r="53" spans="2:16" x14ac:dyDescent="0.3">
      <c r="B53" s="364"/>
      <c r="C53" s="715">
        <v>1</v>
      </c>
      <c r="D53" s="549">
        <f>'Arable NPV'!S13</f>
        <v>64.215764916001717</v>
      </c>
      <c r="E53" s="549">
        <f>'Arable NPV'!S39</f>
        <v>-65.208776022771417</v>
      </c>
      <c r="F53" s="549">
        <f>'Arable NPV'!S65</f>
        <v>106.76669436050361</v>
      </c>
      <c r="G53" s="549">
        <f>'Arable NPV'!S91</f>
        <v>483.61426276720431</v>
      </c>
      <c r="H53" s="549">
        <f>'Arable NPV'!S117</f>
        <v>204.28499999999985</v>
      </c>
      <c r="I53" s="364"/>
      <c r="J53" s="715">
        <v>1</v>
      </c>
      <c r="K53" s="549">
        <f>'Arable NPV'!T13</f>
        <v>284.21576491600172</v>
      </c>
      <c r="L53" s="549">
        <f>'Arable NPV'!T39</f>
        <v>154.79122397722858</v>
      </c>
      <c r="M53" s="549">
        <f>'Arable NPV'!T65</f>
        <v>326.76669436050361</v>
      </c>
      <c r="N53" s="549">
        <f>'Arable NPV'!T91</f>
        <v>703.61426276720431</v>
      </c>
      <c r="O53" s="549">
        <f>'Arable NPV'!T117</f>
        <v>424.28499999999985</v>
      </c>
      <c r="P53" s="364"/>
    </row>
    <row r="54" spans="2:16" x14ac:dyDescent="0.3">
      <c r="B54" s="364"/>
      <c r="C54" s="410">
        <v>2</v>
      </c>
      <c r="D54" s="550">
        <f>'Arable NPV'!S14</f>
        <v>125.96169271984945</v>
      </c>
      <c r="E54" s="550">
        <f>'Arable NPV'!S40</f>
        <v>-127.90952219851306</v>
      </c>
      <c r="F54" s="550">
        <f>'Arable NPV'!S66</f>
        <v>209.42697739944947</v>
      </c>
      <c r="G54" s="550">
        <f>'Arable NPV'!S92</f>
        <v>948.62797696643929</v>
      </c>
      <c r="H54" s="550">
        <f>'Arable NPV'!S118</f>
        <v>400.71288461538416</v>
      </c>
      <c r="I54" s="364"/>
      <c r="J54" s="410">
        <v>2</v>
      </c>
      <c r="K54" s="550">
        <f>'Arable NPV'!T14</f>
        <v>557.500154258311</v>
      </c>
      <c r="L54" s="550">
        <f>'Arable NPV'!T40</f>
        <v>303.62893933994849</v>
      </c>
      <c r="M54" s="550">
        <f>'Arable NPV'!T66</f>
        <v>640.96543893791102</v>
      </c>
      <c r="N54" s="550">
        <f>'Arable NPV'!T92</f>
        <v>1380.1664385049007</v>
      </c>
      <c r="O54" s="550">
        <f>'Arable NPV'!T118</f>
        <v>832.2513461538457</v>
      </c>
      <c r="P54" s="364"/>
    </row>
    <row r="55" spans="2:16" x14ac:dyDescent="0.3">
      <c r="B55" s="364"/>
      <c r="C55" s="410">
        <v>3</v>
      </c>
      <c r="D55" s="550">
        <f>'Arable NPV'!S15</f>
        <v>185.33277714662609</v>
      </c>
      <c r="E55" s="550">
        <f>'Arable NPV'!S41</f>
        <v>-188.1987012136492</v>
      </c>
      <c r="F55" s="550">
        <f>'Arable NPV'!S67</f>
        <v>308.13878801382043</v>
      </c>
      <c r="G55" s="550">
        <f>'Arable NPV'!S93</f>
        <v>1395.7565483118574</v>
      </c>
      <c r="H55" s="550">
        <f>'Arable NPV'!S119</f>
        <v>589.58585059171526</v>
      </c>
      <c r="I55" s="364"/>
      <c r="J55" s="410">
        <v>3</v>
      </c>
      <c r="K55" s="550">
        <f>'Arable NPV'!T15</f>
        <v>820.27360554899292</v>
      </c>
      <c r="L55" s="550">
        <f>'Arable NPV'!T41</f>
        <v>446.74212718871763</v>
      </c>
      <c r="M55" s="550">
        <f>'Arable NPV'!T67</f>
        <v>943.07961641618726</v>
      </c>
      <c r="N55" s="550">
        <f>'Arable NPV'!T93</f>
        <v>2030.697376714224</v>
      </c>
      <c r="O55" s="550">
        <f>'Arable NPV'!T119</f>
        <v>1224.526678994082</v>
      </c>
      <c r="P55" s="364"/>
    </row>
    <row r="56" spans="2:16" x14ac:dyDescent="0.3">
      <c r="B56" s="364"/>
      <c r="C56" s="410">
        <v>4</v>
      </c>
      <c r="D56" s="550">
        <f>'Arable NPV'!S16</f>
        <v>242.42035832621923</v>
      </c>
      <c r="E56" s="550">
        <f>'Arable NPV'!S42</f>
        <v>-246.16906565128011</v>
      </c>
      <c r="F56" s="550">
        <f>'Arable NPV'!S68</f>
        <v>403.05399052763869</v>
      </c>
      <c r="G56" s="550">
        <f>'Arable NPV'!S94</f>
        <v>1825.6878669132211</v>
      </c>
      <c r="H56" s="550">
        <f>'Arable NPV'!S120</f>
        <v>771.19447172280286</v>
      </c>
      <c r="I56" s="364"/>
      <c r="J56" s="410">
        <v>4</v>
      </c>
      <c r="K56" s="550">
        <f>'Arable NPV'!T16</f>
        <v>1072.9403856361873</v>
      </c>
      <c r="L56" s="550">
        <f>'Arable NPV'!T42</f>
        <v>584.35096165868799</v>
      </c>
      <c r="M56" s="550">
        <f>'Arable NPV'!T68</f>
        <v>1233.5740178376068</v>
      </c>
      <c r="N56" s="550">
        <f>'Arable NPV'!T94</f>
        <v>2656.2078942231892</v>
      </c>
      <c r="O56" s="550">
        <f>'Arable NPV'!T120</f>
        <v>1601.7144990327708</v>
      </c>
      <c r="P56" s="364"/>
    </row>
    <row r="57" spans="2:16" x14ac:dyDescent="0.3">
      <c r="B57" s="364"/>
      <c r="C57" s="410">
        <v>5</v>
      </c>
      <c r="D57" s="550">
        <f>'Arable NPV'!S17</f>
        <v>297.31226330659706</v>
      </c>
      <c r="E57" s="550">
        <f>'Arable NPV'!S43</f>
        <v>-301.90980068746387</v>
      </c>
      <c r="F57" s="550">
        <f>'Arable NPV'!S69</f>
        <v>494.31860832938696</v>
      </c>
      <c r="G57" s="550">
        <f>'Arable NPV'!S95</f>
        <v>2239.0833655683782</v>
      </c>
      <c r="H57" s="550">
        <f>'Arable NPV'!S121</f>
        <v>945.81814588731027</v>
      </c>
      <c r="I57" s="364"/>
      <c r="J57" s="410">
        <v>5</v>
      </c>
      <c r="K57" s="550">
        <f>'Arable NPV'!T17</f>
        <v>1315.8892126431049</v>
      </c>
      <c r="L57" s="550">
        <f>'Arable NPV'!T43</f>
        <v>716.66714864904384</v>
      </c>
      <c r="M57" s="550">
        <f>'Arable NPV'!T69</f>
        <v>1512.8955576658948</v>
      </c>
      <c r="N57" s="550">
        <f>'Arable NPV'!T95</f>
        <v>3257.660314904886</v>
      </c>
      <c r="O57" s="550">
        <f>'Arable NPV'!T121</f>
        <v>1964.3950952238179</v>
      </c>
      <c r="P57" s="364"/>
    </row>
    <row r="58" spans="2:16" x14ac:dyDescent="0.3">
      <c r="B58" s="364"/>
      <c r="C58" s="410">
        <v>6</v>
      </c>
      <c r="D58" s="550">
        <f>'Arable NPV'!S18</f>
        <v>350.09294117234504</v>
      </c>
      <c r="E58" s="550">
        <f>'Arable NPV'!S44</f>
        <v>-355.50666129917897</v>
      </c>
      <c r="F58" s="550">
        <f>'Arable NPV'!S70</f>
        <v>582.07304852337563</v>
      </c>
      <c r="G58" s="550">
        <f>'Arable NPV'!S96</f>
        <v>2636.5790373521831</v>
      </c>
      <c r="H58" s="550">
        <f>'Arable NPV'!S122</f>
        <v>1113.7255248916442</v>
      </c>
      <c r="I58" s="364"/>
      <c r="J58" s="410">
        <v>6</v>
      </c>
      <c r="K58" s="550">
        <f>'Arable NPV'!T18</f>
        <v>1549.4938539959103</v>
      </c>
      <c r="L58" s="550">
        <f>'Arable NPV'!T44</f>
        <v>843.89425152438605</v>
      </c>
      <c r="M58" s="550">
        <f>'Arable NPV'!T70</f>
        <v>1781.4739613469408</v>
      </c>
      <c r="N58" s="550">
        <f>'Arable NPV'!T96</f>
        <v>3835.9799501757484</v>
      </c>
      <c r="O58" s="550">
        <f>'Arable NPV'!T122</f>
        <v>2313.1264377152092</v>
      </c>
      <c r="P58" s="364"/>
    </row>
    <row r="59" spans="2:16" x14ac:dyDescent="0.3">
      <c r="B59" s="364"/>
      <c r="C59" s="410">
        <v>7</v>
      </c>
      <c r="D59" s="550">
        <f>'Arable NPV'!S19</f>
        <v>400.84359296633352</v>
      </c>
      <c r="E59" s="550">
        <f>'Arable NPV'!S45</f>
        <v>-407.04210419505887</v>
      </c>
      <c r="F59" s="550">
        <f>'Arable NPV'!S71</f>
        <v>666.45231794067251</v>
      </c>
      <c r="G59" s="550">
        <f>'Arable NPV'!S97</f>
        <v>3018.7864140673801</v>
      </c>
      <c r="H59" s="550">
        <f>'Arable NPV'!S123</f>
        <v>1275.174927780427</v>
      </c>
      <c r="I59" s="364"/>
      <c r="J59" s="410">
        <v>7</v>
      </c>
      <c r="K59" s="550">
        <f>'Arable NPV'!T19</f>
        <v>1774.1137014505307</v>
      </c>
      <c r="L59" s="550">
        <f>'Arable NPV'!T45</f>
        <v>966.2280042891382</v>
      </c>
      <c r="M59" s="550">
        <f>'Arable NPV'!T71</f>
        <v>2039.7224264248698</v>
      </c>
      <c r="N59" s="550">
        <f>'Arable NPV'!T97</f>
        <v>4392.0565225515775</v>
      </c>
      <c r="O59" s="550">
        <f>'Arable NPV'!T123</f>
        <v>2648.4450362646239</v>
      </c>
      <c r="P59" s="364"/>
    </row>
    <row r="60" spans="2:16" x14ac:dyDescent="0.3">
      <c r="B60" s="364"/>
      <c r="C60" s="410">
        <v>8</v>
      </c>
      <c r="D60" s="550">
        <f>'Arable NPV'!S20</f>
        <v>449.64229661439936</v>
      </c>
      <c r="E60" s="550">
        <f>'Arable NPV'!S46</f>
        <v>-456.59541467186648</v>
      </c>
      <c r="F60" s="550">
        <f>'Arable NPV'!S72</f>
        <v>747.58623084191947</v>
      </c>
      <c r="G60" s="550">
        <f>'Arable NPV'!S98</f>
        <v>3386.2935070627618</v>
      </c>
      <c r="H60" s="550">
        <f>'Arable NPV'!S124</f>
        <v>1430.4147382504102</v>
      </c>
      <c r="I60" s="364"/>
      <c r="J60" s="410">
        <v>8</v>
      </c>
      <c r="K60" s="550">
        <f>'Arable NPV'!T20</f>
        <v>1990.0943240030504</v>
      </c>
      <c r="L60" s="550">
        <f>'Arable NPV'!T46</f>
        <v>1083.8566127167844</v>
      </c>
      <c r="M60" s="550">
        <f>'Arable NPV'!T72</f>
        <v>2288.0382582305706</v>
      </c>
      <c r="N60" s="550">
        <f>'Arable NPV'!T98</f>
        <v>4926.7455344514137</v>
      </c>
      <c r="O60" s="550">
        <f>'Arable NPV'!T124</f>
        <v>2970.8667656390612</v>
      </c>
      <c r="P60" s="364"/>
    </row>
    <row r="61" spans="2:16" x14ac:dyDescent="0.3">
      <c r="B61" s="364"/>
      <c r="C61" s="410">
        <v>9</v>
      </c>
      <c r="D61" s="550">
        <f>'Arable NPV'!S21</f>
        <v>496.564127045232</v>
      </c>
      <c r="E61" s="550">
        <f>'Arable NPV'!S47</f>
        <v>-504.24282859187383</v>
      </c>
      <c r="F61" s="550">
        <f>'Arable NPV'!S73</f>
        <v>825.59960863158005</v>
      </c>
      <c r="G61" s="550">
        <f>'Arable NPV'!S99</f>
        <v>3739.6657118660132</v>
      </c>
      <c r="H61" s="550">
        <f>'Arable NPV'!S125</f>
        <v>1579.6837867792406</v>
      </c>
      <c r="I61" s="364"/>
      <c r="J61" s="410">
        <v>9</v>
      </c>
      <c r="K61" s="550">
        <f>'Arable NPV'!T21</f>
        <v>2197.7679995343196</v>
      </c>
      <c r="L61" s="550">
        <f>'Arable NPV'!T47</f>
        <v>1196.9610438972136</v>
      </c>
      <c r="M61" s="550">
        <f>'Arable NPV'!T73</f>
        <v>2526.8034811206676</v>
      </c>
      <c r="N61" s="550">
        <f>'Arable NPV'!T99</f>
        <v>5440.8695843551013</v>
      </c>
      <c r="O61" s="550">
        <f>'Arable NPV'!T125</f>
        <v>3280.8876592683278</v>
      </c>
      <c r="P61" s="364"/>
    </row>
    <row r="62" spans="2:16" x14ac:dyDescent="0.3">
      <c r="B62" s="364"/>
      <c r="C62" s="410">
        <v>10</v>
      </c>
      <c r="D62" s="550">
        <f>'Arable NPV'!S22</f>
        <v>541.6812716902632</v>
      </c>
      <c r="E62" s="550">
        <f>'Arable NPV'!S48</f>
        <v>-550.05764966880383</v>
      </c>
      <c r="F62" s="550">
        <f>'Arable NPV'!S74</f>
        <v>900.61247189086896</v>
      </c>
      <c r="G62" s="550">
        <f>'Arable NPV'!S100</f>
        <v>4079.4466780229859</v>
      </c>
      <c r="H62" s="550">
        <f>'Arable NPV'!S126</f>
        <v>1723.2117180569619</v>
      </c>
      <c r="I62" s="364"/>
      <c r="J62" s="410">
        <v>10</v>
      </c>
      <c r="K62" s="550">
        <f>'Arable NPV'!T22</f>
        <v>2397.4542260066937</v>
      </c>
      <c r="L62" s="550">
        <f>'Arable NPV'!T48</f>
        <v>1305.7153046476262</v>
      </c>
      <c r="M62" s="550">
        <f>'Arable NPV'!T74</f>
        <v>2756.3854262072991</v>
      </c>
      <c r="N62" s="550">
        <f>'Arable NPV'!T100</f>
        <v>5935.2196323394164</v>
      </c>
      <c r="O62" s="550">
        <f>'Arable NPV'!T126</f>
        <v>3578.9846723733917</v>
      </c>
      <c r="P62" s="364"/>
    </row>
    <row r="63" spans="2:16" x14ac:dyDescent="0.3">
      <c r="B63" s="364"/>
      <c r="C63" s="410">
        <v>11</v>
      </c>
      <c r="D63" s="550">
        <f>'Arable NPV'!S23</f>
        <v>585.06314154125471</v>
      </c>
      <c r="E63" s="550">
        <f>'Arable NPV'!S49</f>
        <v>-594.11036224277507</v>
      </c>
      <c r="F63" s="550">
        <f>'Arable NPV'!S75</f>
        <v>972.74022502480068</v>
      </c>
      <c r="G63" s="550">
        <f>'Arable NPV'!S101</f>
        <v>4406.1591454816135</v>
      </c>
      <c r="H63" s="550">
        <f>'Arable NPV'!S127</f>
        <v>1861.21934428554</v>
      </c>
      <c r="I63" s="364"/>
      <c r="J63" s="410">
        <v>11</v>
      </c>
      <c r="K63" s="550">
        <f>'Arable NPV'!T23</f>
        <v>2589.4602129993609</v>
      </c>
      <c r="L63" s="550">
        <f>'Arable NPV'!T49</f>
        <v>1410.2867092153306</v>
      </c>
      <c r="M63" s="550">
        <f>'Arable NPV'!T75</f>
        <v>2977.1372964829065</v>
      </c>
      <c r="N63" s="550">
        <f>'Arable NPV'!T101</f>
        <v>6410.5562169397199</v>
      </c>
      <c r="O63" s="550">
        <f>'Arable NPV'!T127</f>
        <v>3865.6164157436456</v>
      </c>
      <c r="P63" s="364"/>
    </row>
    <row r="64" spans="2:16" x14ac:dyDescent="0.3">
      <c r="B64" s="364"/>
      <c r="C64" s="410">
        <v>12</v>
      </c>
      <c r="D64" s="550">
        <f>'Arable NPV'!S24</f>
        <v>626.77647793643882</v>
      </c>
      <c r="E64" s="550">
        <f>'Arable NPV'!S50</f>
        <v>-636.46873971774744</v>
      </c>
      <c r="F64" s="550">
        <f>'Arable NPV'!S76</f>
        <v>1042.0938338074275</v>
      </c>
      <c r="G64" s="550">
        <f>'Arable NPV'!S102</f>
        <v>4720.3057488072172</v>
      </c>
      <c r="H64" s="550">
        <f>'Arable NPV'!S128</f>
        <v>1993.9189848899423</v>
      </c>
      <c r="I64" s="364"/>
      <c r="J64" s="410">
        <v>12</v>
      </c>
      <c r="K64" s="550">
        <f>'Arable NPV'!T24</f>
        <v>2774.0813543384638</v>
      </c>
      <c r="L64" s="550">
        <f>'Arable NPV'!T50</f>
        <v>1510.8361366842771</v>
      </c>
      <c r="M64" s="550">
        <f>'Arable NPV'!T76</f>
        <v>3189.398710209452</v>
      </c>
      <c r="N64" s="550">
        <f>'Arable NPV'!T102</f>
        <v>6867.6106252092422</v>
      </c>
      <c r="O64" s="550">
        <f>'Arable NPV'!T128</f>
        <v>4141.2238612919664</v>
      </c>
      <c r="P64" s="364"/>
    </row>
    <row r="65" spans="2:16" x14ac:dyDescent="0.3">
      <c r="B65" s="364"/>
      <c r="C65" s="410">
        <v>13</v>
      </c>
      <c r="D65" s="550">
        <f>'Arable NPV'!S25</f>
        <v>666.88545523950052</v>
      </c>
      <c r="E65" s="550">
        <f>'Arable NPV'!S51</f>
        <v>-677.19794882829785</v>
      </c>
      <c r="F65" s="550">
        <f>'Arable NPV'!S77</f>
        <v>1108.7799960984146</v>
      </c>
      <c r="G65" s="550">
        <f>'Arable NPV'!S103</f>
        <v>5022.3697904664514</v>
      </c>
      <c r="H65" s="550">
        <f>'Arable NPV'!S129</f>
        <v>2121.514793163406</v>
      </c>
      <c r="I65" s="364"/>
      <c r="J65" s="410">
        <v>13</v>
      </c>
      <c r="K65" s="550">
        <f>'Arable NPV'!T25</f>
        <v>2951.6016825491397</v>
      </c>
      <c r="L65" s="550">
        <f>'Arable NPV'!T51</f>
        <v>1607.518278481341</v>
      </c>
      <c r="M65" s="550">
        <f>'Arable NPV'!T77</f>
        <v>3393.4962234080535</v>
      </c>
      <c r="N65" s="550">
        <f>'Arable NPV'!T103</f>
        <v>7307.0860177760906</v>
      </c>
      <c r="O65" s="550">
        <f>'Arable NPV'!T129</f>
        <v>4406.2310204730438</v>
      </c>
      <c r="P65" s="364"/>
    </row>
    <row r="66" spans="2:16" x14ac:dyDescent="0.3">
      <c r="B66" s="364"/>
      <c r="C66" s="410">
        <v>14</v>
      </c>
      <c r="D66" s="550">
        <f>'Arable NPV'!S26</f>
        <v>705.45177956936755</v>
      </c>
      <c r="E66" s="550">
        <f>'Arable NPV'!S52</f>
        <v>-716.36064989613476</v>
      </c>
      <c r="F66" s="550">
        <f>'Arable NPV'!S78</f>
        <v>1172.9013059935946</v>
      </c>
      <c r="G66" s="550">
        <f>'Arable NPV'!S104</f>
        <v>5312.8159843695612</v>
      </c>
      <c r="H66" s="550">
        <f>'Arable NPV'!S130</f>
        <v>2244.2030703494288</v>
      </c>
      <c r="I66" s="364"/>
      <c r="J66" s="410">
        <v>14</v>
      </c>
      <c r="K66" s="550">
        <f>'Arable NPV'!T26</f>
        <v>3122.294305828636</v>
      </c>
      <c r="L66" s="550">
        <f>'Arable NPV'!T52</f>
        <v>1700.4818763631333</v>
      </c>
      <c r="M66" s="550">
        <f>'Arable NPV'!T78</f>
        <v>3589.7438322528628</v>
      </c>
      <c r="N66" s="550">
        <f>'Arable NPV'!T104</f>
        <v>7729.6585106288294</v>
      </c>
      <c r="O66" s="550">
        <f>'Arable NPV'!T130</f>
        <v>4661.0455966086956</v>
      </c>
      <c r="P66" s="364"/>
    </row>
    <row r="67" spans="2:16" x14ac:dyDescent="0.3">
      <c r="B67" s="364"/>
      <c r="C67" s="410">
        <v>15</v>
      </c>
      <c r="D67" s="550">
        <f>'Arable NPV'!S27</f>
        <v>742.53478373270127</v>
      </c>
      <c r="E67" s="550">
        <f>'Arable NPV'!S53</f>
        <v>-754.01709323059322</v>
      </c>
      <c r="F67" s="550">
        <f>'Arable NPV'!S79</f>
        <v>1234.5564116620367</v>
      </c>
      <c r="G67" s="550">
        <f>'Arable NPV'!S105</f>
        <v>5592.0911708148587</v>
      </c>
      <c r="H67" s="550">
        <f>'Arable NPV'!S131</f>
        <v>2362.1725676436813</v>
      </c>
      <c r="I67" s="364"/>
      <c r="J67" s="410">
        <v>15</v>
      </c>
      <c r="K67" s="550">
        <f>'Arable NPV'!T27</f>
        <v>3286.4218282127667</v>
      </c>
      <c r="L67" s="550">
        <f>'Arable NPV'!T53</f>
        <v>1789.8699512494723</v>
      </c>
      <c r="M67" s="550">
        <f>'Arable NPV'!T79</f>
        <v>3778.4434561421021</v>
      </c>
      <c r="N67" s="550">
        <f>'Arable NPV'!T105</f>
        <v>8135.9782152949247</v>
      </c>
      <c r="O67" s="550">
        <f>'Arable NPV'!T131</f>
        <v>4906.059612123745</v>
      </c>
      <c r="P67" s="364"/>
    </row>
    <row r="68" spans="2:16" x14ac:dyDescent="0.3">
      <c r="B68" s="364"/>
      <c r="C68" s="551">
        <v>16</v>
      </c>
      <c r="D68" s="557">
        <f>'Arable NPV'!S28</f>
        <v>778.19151850513754</v>
      </c>
      <c r="E68" s="557">
        <f>'Arable NPV'!S54</f>
        <v>-790.22521182141861</v>
      </c>
      <c r="F68" s="557">
        <f>'Arable NPV'!S80</f>
        <v>1293.840167112462</v>
      </c>
      <c r="G68" s="557">
        <f>'Arable NPV'!S106</f>
        <v>5860.6250039353372</v>
      </c>
      <c r="H68" s="557">
        <f>'Arable NPV'!S132</f>
        <v>2475.6047765804624</v>
      </c>
      <c r="I68" s="364"/>
      <c r="J68" s="551">
        <v>16</v>
      </c>
      <c r="K68" s="557">
        <f>'Arable NPV'!T28</f>
        <v>3444.2367535821236</v>
      </c>
      <c r="L68" s="557">
        <f>'Arable NPV'!T54</f>
        <v>1875.8200232555673</v>
      </c>
      <c r="M68" s="557">
        <f>'Arable NPV'!T80</f>
        <v>3959.8854021894476</v>
      </c>
      <c r="N68" s="557">
        <f>'Arable NPV'!T106</f>
        <v>8526.6702390123246</v>
      </c>
      <c r="O68" s="557">
        <f>'Arable NPV'!T132</f>
        <v>5141.6500116574471</v>
      </c>
      <c r="P68" s="364"/>
    </row>
    <row r="69" spans="2:16" x14ac:dyDescent="0.3">
      <c r="B69" s="364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4:S30"/>
  <sheetViews>
    <sheetView topLeftCell="A4" workbookViewId="0"/>
  </sheetViews>
  <sheetFormatPr defaultColWidth="9" defaultRowHeight="14" x14ac:dyDescent="0.3"/>
  <cols>
    <col min="2" max="2" width="20.08203125" bestFit="1" customWidth="1"/>
    <col min="3" max="29" width="10.58203125" customWidth="1"/>
  </cols>
  <sheetData>
    <row r="4" spans="1:19" ht="40" x14ac:dyDescent="0.3">
      <c r="B4" s="720" t="s">
        <v>304</v>
      </c>
      <c r="C4" s="721" t="s">
        <v>282</v>
      </c>
      <c r="D4" s="722" t="s">
        <v>323</v>
      </c>
      <c r="E4" s="722" t="s">
        <v>353</v>
      </c>
      <c r="F4" s="722" t="s">
        <v>376</v>
      </c>
      <c r="G4" s="723" t="s">
        <v>354</v>
      </c>
      <c r="H4" s="722" t="s">
        <v>355</v>
      </c>
      <c r="I4" s="722" t="s">
        <v>287</v>
      </c>
      <c r="J4" s="723" t="s">
        <v>501</v>
      </c>
      <c r="K4" s="723" t="s">
        <v>502</v>
      </c>
      <c r="L4" s="723" t="s">
        <v>503</v>
      </c>
      <c r="M4" s="723" t="s">
        <v>504</v>
      </c>
      <c r="N4" s="723" t="s">
        <v>505</v>
      </c>
      <c r="O4" s="723" t="s">
        <v>506</v>
      </c>
      <c r="P4" s="723" t="s">
        <v>507</v>
      </c>
      <c r="Q4" s="723" t="s">
        <v>508</v>
      </c>
      <c r="R4" s="723" t="s">
        <v>509</v>
      </c>
      <c r="S4" s="723" t="s">
        <v>510</v>
      </c>
    </row>
    <row r="5" spans="1:19" x14ac:dyDescent="0.3">
      <c r="B5" s="724"/>
      <c r="C5" s="725"/>
      <c r="D5" s="726"/>
      <c r="E5" s="726"/>
      <c r="F5" s="726"/>
      <c r="G5" s="727"/>
      <c r="H5" s="726"/>
      <c r="I5" s="726"/>
      <c r="J5" s="727"/>
      <c r="K5" s="727"/>
      <c r="L5" s="727"/>
      <c r="M5" s="727"/>
      <c r="N5" s="727"/>
      <c r="O5" s="727"/>
      <c r="P5" s="727"/>
      <c r="Q5" s="727"/>
      <c r="R5" s="727"/>
      <c r="S5" s="727"/>
    </row>
    <row r="6" spans="1:19" x14ac:dyDescent="0.3">
      <c r="A6" s="298"/>
      <c r="B6" s="728"/>
      <c r="C6" s="729"/>
      <c r="D6" s="730" t="s">
        <v>356</v>
      </c>
      <c r="E6" s="730" t="s">
        <v>476</v>
      </c>
      <c r="F6" s="730" t="s">
        <v>477</v>
      </c>
      <c r="G6" s="730" t="s">
        <v>477</v>
      </c>
      <c r="H6" s="730" t="s">
        <v>477</v>
      </c>
      <c r="I6" s="730" t="s">
        <v>477</v>
      </c>
      <c r="J6" s="730" t="s">
        <v>477</v>
      </c>
      <c r="K6" s="730" t="s">
        <v>477</v>
      </c>
      <c r="L6" s="730" t="s">
        <v>477</v>
      </c>
      <c r="M6" s="730" t="s">
        <v>477</v>
      </c>
      <c r="N6" s="730" t="s">
        <v>477</v>
      </c>
      <c r="O6" s="730" t="s">
        <v>477</v>
      </c>
      <c r="P6" s="730" t="s">
        <v>477</v>
      </c>
      <c r="Q6" s="730" t="s">
        <v>477</v>
      </c>
      <c r="R6" s="730" t="s">
        <v>477</v>
      </c>
      <c r="S6" s="730" t="s">
        <v>477</v>
      </c>
    </row>
    <row r="7" spans="1:19" x14ac:dyDescent="0.3">
      <c r="B7" s="731">
        <v>1</v>
      </c>
      <c r="C7" s="1129" t="s">
        <v>4</v>
      </c>
      <c r="D7" s="734">
        <f>HLOOKUP($C$7,'Arable Model tables'!$D$4:$H$5,2,FALSE)</f>
        <v>8.25</v>
      </c>
      <c r="E7" s="734">
        <f>HLOOKUP($C$7,'Arable Model tables'!$D$8:$H$9,2,FALSE)</f>
        <v>162</v>
      </c>
      <c r="F7" s="734">
        <f>'Arable Model tables'!$D$12</f>
        <v>220</v>
      </c>
      <c r="G7" s="734">
        <f>HLOOKUP($C$7,'Arable Model tables'!$D$15:$H$16,2,FALSE)</f>
        <v>684.46423508399835</v>
      </c>
      <c r="H7" s="734">
        <f>HLOOKUP($C$7,'Arable Model tables'!$D$19:$H$20,2,FALSE)</f>
        <v>841.31999999999994</v>
      </c>
      <c r="I7" s="734">
        <f>G7+H7</f>
        <v>1525.7842350839983</v>
      </c>
      <c r="J7" s="734">
        <f>HLOOKUP($C$7,'Arable Model tables'!$D$23:$H$24,2,FALSE)</f>
        <v>1590</v>
      </c>
      <c r="K7" s="734">
        <f>HLOOKUP($C$7,'Arable Model tables'!$D$27:$H$28,2,FALSE)</f>
        <v>1810</v>
      </c>
      <c r="L7" s="734">
        <f>J7-I7</f>
        <v>64.215764916001717</v>
      </c>
      <c r="M7" s="734">
        <f>K7-I7</f>
        <v>284.21576491600172</v>
      </c>
      <c r="N7" s="734">
        <f>L7</f>
        <v>64.215764916001717</v>
      </c>
      <c r="O7" s="734">
        <f>M7</f>
        <v>284.21576491600172</v>
      </c>
      <c r="P7" s="734">
        <f>INDEX('Arable Model tables'!$D$33:$H$48,MATCH($B7,'Arable Model tables'!$C$33:$C$48,0),MATCH($C$7,'Arable Model tables'!$D$32:$H$32,0))</f>
        <v>64.215764916001717</v>
      </c>
      <c r="Q7" s="734">
        <f>INDEX('Arable Model tables'!$K$33:$O$48,MATCH($B7,'Arable Model tables'!$J$33:$J$48,0),MATCH($C$7,'Arable Model tables'!$K$32:$O$32,0))</f>
        <v>284.21576491600172</v>
      </c>
      <c r="R7" s="734">
        <f>INDEX('Arable Model tables'!$D$53:$H$68,MATCH($B7,'Arable Model tables'!$C$53:$C$68,0),MATCH($C$7,'Arable Model tables'!$D$52:$H$52,0))</f>
        <v>64.215764916001717</v>
      </c>
      <c r="S7" s="734">
        <f>INDEX('Arable Model tables'!$K$53:$O$68,MATCH($B7,'Arable Model tables'!$J$53:$J$68,0),MATCH($C$7,'Arable Model tables'!$K$52:$O$52,0))</f>
        <v>284.21576491600172</v>
      </c>
    </row>
    <row r="8" spans="1:19" x14ac:dyDescent="0.3">
      <c r="B8" s="732">
        <v>2</v>
      </c>
      <c r="C8" s="1130"/>
      <c r="D8" s="735">
        <f>HLOOKUP($C$7,'Arable Model tables'!$D$4:$H$5,2,FALSE)</f>
        <v>8.25</v>
      </c>
      <c r="E8" s="735">
        <f>HLOOKUP($C$7,'Arable Model tables'!$D$8:$H$9,2,FALSE)</f>
        <v>162</v>
      </c>
      <c r="F8" s="735">
        <f>'Arable Model tables'!$D$12</f>
        <v>220</v>
      </c>
      <c r="G8" s="735">
        <f>HLOOKUP($C$7,'Arable Model tables'!$D$15:$H$16,2,FALSE)</f>
        <v>684.46423508399835</v>
      </c>
      <c r="H8" s="735">
        <f>HLOOKUP($C$7,'Arable Model tables'!$D$19:$H$20,2,FALSE)</f>
        <v>841.31999999999994</v>
      </c>
      <c r="I8" s="735">
        <f t="shared" ref="I8:I22" si="0">G8+H8</f>
        <v>1525.7842350839983</v>
      </c>
      <c r="J8" s="735">
        <f>HLOOKUP($C$7,'Arable Model tables'!$D$23:$H$24,2,FALSE)</f>
        <v>1590</v>
      </c>
      <c r="K8" s="735">
        <f>HLOOKUP($C$7,'Arable Model tables'!$D$27:$H$28,2,FALSE)</f>
        <v>1810</v>
      </c>
      <c r="L8" s="735">
        <f t="shared" ref="L8:L22" si="1">J8-I8</f>
        <v>64.215764916001717</v>
      </c>
      <c r="M8" s="735">
        <f t="shared" ref="M8:M22" si="2">K8-I8</f>
        <v>284.21576491600172</v>
      </c>
      <c r="N8" s="735">
        <f>N7+L8</f>
        <v>128.43152983200343</v>
      </c>
      <c r="O8" s="735">
        <f>O7+M8</f>
        <v>568.43152983200343</v>
      </c>
      <c r="P8" s="735">
        <f>INDEX('Arable Model tables'!$D$33:$H$48,MATCH($B8,'Arable Model tables'!$C$33:$C$48,0),MATCH($C$7,'Arable Model tables'!$D$32:$H$32,0))</f>
        <v>61.745927803847735</v>
      </c>
      <c r="Q8" s="735">
        <f>INDEX('Arable Model tables'!$K$33:$O$48,MATCH($B8,'Arable Model tables'!$J$33:$J$48,0),MATCH($C$7,'Arable Model tables'!$K$32:$O$32,0))</f>
        <v>273.28438934230928</v>
      </c>
      <c r="R8" s="735">
        <f>INDEX('Arable Model tables'!$D$53:$H$68,MATCH($B8,'Arable Model tables'!$C$53:$C$68,0),MATCH($C$7,'Arable Model tables'!$D$52:$H$52,0))</f>
        <v>125.96169271984945</v>
      </c>
      <c r="S8" s="735">
        <f>INDEX('Arable Model tables'!$K$53:$O$68,MATCH($B8,'Arable Model tables'!$J$53:$J$68,0),MATCH($C$7,'Arable Model tables'!$K$52:$O$52,0))</f>
        <v>557.500154258311</v>
      </c>
    </row>
    <row r="9" spans="1:19" x14ac:dyDescent="0.3">
      <c r="B9" s="732">
        <v>3</v>
      </c>
      <c r="C9" s="1130"/>
      <c r="D9" s="735">
        <f>HLOOKUP($C$7,'Arable Model tables'!$D$4:$H$5,2,FALSE)</f>
        <v>8.25</v>
      </c>
      <c r="E9" s="735">
        <f>HLOOKUP($C$7,'Arable Model tables'!$D$8:$H$9,2,FALSE)</f>
        <v>162</v>
      </c>
      <c r="F9" s="735">
        <f>'Arable Model tables'!$D$12</f>
        <v>220</v>
      </c>
      <c r="G9" s="735">
        <f>HLOOKUP($C$7,'Arable Model tables'!$D$15:$H$16,2,FALSE)</f>
        <v>684.46423508399835</v>
      </c>
      <c r="H9" s="735">
        <f>HLOOKUP($C$7,'Arable Model tables'!$D$19:$H$20,2,FALSE)</f>
        <v>841.31999999999994</v>
      </c>
      <c r="I9" s="735">
        <f t="shared" si="0"/>
        <v>1525.7842350839983</v>
      </c>
      <c r="J9" s="735">
        <f>HLOOKUP($C$7,'Arable Model tables'!$D$23:$H$24,2,FALSE)</f>
        <v>1590</v>
      </c>
      <c r="K9" s="735">
        <f>HLOOKUP($C$7,'Arable Model tables'!$D$27:$H$28,2,FALSE)</f>
        <v>1810</v>
      </c>
      <c r="L9" s="735">
        <f t="shared" si="1"/>
        <v>64.215764916001717</v>
      </c>
      <c r="M9" s="735">
        <f t="shared" si="2"/>
        <v>284.21576491600172</v>
      </c>
      <c r="N9" s="735">
        <f t="shared" ref="N9:N22" si="3">N8+L9</f>
        <v>192.64729474800515</v>
      </c>
      <c r="O9" s="735">
        <f t="shared" ref="O9:O22" si="4">O8+M9</f>
        <v>852.64729474800515</v>
      </c>
      <c r="P9" s="735">
        <f>INDEX('Arable Model tables'!$D$33:$H$48,MATCH($B9,'Arable Model tables'!$C$33:$C$48,0),MATCH($C$7,'Arable Model tables'!$D$32:$H$32,0))</f>
        <v>59.371084426776633</v>
      </c>
      <c r="Q9" s="735">
        <f>INDEX('Arable Model tables'!$K$33:$O$48,MATCH($B9,'Arable Model tables'!$J$33:$J$48,0),MATCH($C$7,'Arable Model tables'!$K$32:$O$32,0))</f>
        <v>262.77345129068192</v>
      </c>
      <c r="R9" s="735">
        <f>INDEX('Arable Model tables'!$D$53:$H$68,MATCH($B9,'Arable Model tables'!$C$53:$C$68,0),MATCH($C$7,'Arable Model tables'!$D$52:$H$52,0))</f>
        <v>185.33277714662609</v>
      </c>
      <c r="S9" s="735">
        <f>INDEX('Arable Model tables'!$K$53:$O$68,MATCH($B9,'Arable Model tables'!$J$53:$J$68,0),MATCH($C$7,'Arable Model tables'!$K$52:$O$52,0))</f>
        <v>820.27360554899292</v>
      </c>
    </row>
    <row r="10" spans="1:19" x14ac:dyDescent="0.3">
      <c r="B10" s="732">
        <v>4</v>
      </c>
      <c r="C10" s="1130"/>
      <c r="D10" s="735">
        <f>HLOOKUP($C$7,'Arable Model tables'!$D$4:$H$5,2,FALSE)</f>
        <v>8.25</v>
      </c>
      <c r="E10" s="735">
        <f>HLOOKUP($C$7,'Arable Model tables'!$D$8:$H$9,2,FALSE)</f>
        <v>162</v>
      </c>
      <c r="F10" s="735">
        <f>'Arable Model tables'!$D$12</f>
        <v>220</v>
      </c>
      <c r="G10" s="735">
        <f>HLOOKUP($C$7,'Arable Model tables'!$D$15:$H$16,2,FALSE)</f>
        <v>684.46423508399835</v>
      </c>
      <c r="H10" s="735">
        <f>HLOOKUP($C$7,'Arable Model tables'!$D$19:$H$20,2,FALSE)</f>
        <v>841.31999999999994</v>
      </c>
      <c r="I10" s="735">
        <f t="shared" si="0"/>
        <v>1525.7842350839983</v>
      </c>
      <c r="J10" s="735">
        <f>HLOOKUP($C$7,'Arable Model tables'!$D$23:$H$24,2,FALSE)</f>
        <v>1590</v>
      </c>
      <c r="K10" s="735">
        <f>HLOOKUP($C$7,'Arable Model tables'!$D$27:$H$28,2,FALSE)</f>
        <v>1810</v>
      </c>
      <c r="L10" s="735">
        <f t="shared" si="1"/>
        <v>64.215764916001717</v>
      </c>
      <c r="M10" s="735">
        <f t="shared" si="2"/>
        <v>284.21576491600172</v>
      </c>
      <c r="N10" s="735">
        <f t="shared" si="3"/>
        <v>256.86305966400687</v>
      </c>
      <c r="O10" s="735">
        <f t="shared" si="4"/>
        <v>1136.8630596640069</v>
      </c>
      <c r="P10" s="735">
        <f>INDEX('Arable Model tables'!$D$33:$H$48,MATCH($B10,'Arable Model tables'!$C$33:$C$48,0),MATCH($C$7,'Arable Model tables'!$D$32:$H$32,0))</f>
        <v>57.087581179593144</v>
      </c>
      <c r="Q10" s="735">
        <f>INDEX('Arable Model tables'!$K$33:$O$48,MATCH($B10,'Arable Model tables'!$J$33:$J$48,0),MATCH($C$7,'Arable Model tables'!$K$32:$O$32,0))</f>
        <v>252.66678008719441</v>
      </c>
      <c r="R10" s="735">
        <f>INDEX('Arable Model tables'!$D$53:$H$68,MATCH($B10,'Arable Model tables'!$C$53:$C$68,0),MATCH($C$7,'Arable Model tables'!$D$52:$H$52,0))</f>
        <v>242.42035832621923</v>
      </c>
      <c r="S10" s="735">
        <f>INDEX('Arable Model tables'!$K$53:$O$68,MATCH($B10,'Arable Model tables'!$J$53:$J$68,0),MATCH($C$7,'Arable Model tables'!$K$52:$O$52,0))</f>
        <v>1072.9403856361873</v>
      </c>
    </row>
    <row r="11" spans="1:19" x14ac:dyDescent="0.3">
      <c r="B11" s="732">
        <v>5</v>
      </c>
      <c r="C11" s="1130"/>
      <c r="D11" s="735">
        <f>HLOOKUP($C$7,'Arable Model tables'!$D$4:$H$5,2,FALSE)</f>
        <v>8.25</v>
      </c>
      <c r="E11" s="735">
        <f>HLOOKUP($C$7,'Arable Model tables'!$D$8:$H$9,2,FALSE)</f>
        <v>162</v>
      </c>
      <c r="F11" s="735">
        <f>'Arable Model tables'!$D$12</f>
        <v>220</v>
      </c>
      <c r="G11" s="735">
        <f>HLOOKUP($C$7,'Arable Model tables'!$D$15:$H$16,2,FALSE)</f>
        <v>684.46423508399835</v>
      </c>
      <c r="H11" s="735">
        <f>HLOOKUP($C$7,'Arable Model tables'!$D$19:$H$20,2,FALSE)</f>
        <v>841.31999999999994</v>
      </c>
      <c r="I11" s="735">
        <f t="shared" si="0"/>
        <v>1525.7842350839983</v>
      </c>
      <c r="J11" s="735">
        <f>HLOOKUP($C$7,'Arable Model tables'!$D$23:$H$24,2,FALSE)</f>
        <v>1590</v>
      </c>
      <c r="K11" s="735">
        <f>HLOOKUP($C$7,'Arable Model tables'!$D$27:$H$28,2,FALSE)</f>
        <v>1810</v>
      </c>
      <c r="L11" s="735">
        <f t="shared" si="1"/>
        <v>64.215764916001717</v>
      </c>
      <c r="M11" s="735">
        <f t="shared" si="2"/>
        <v>284.21576491600172</v>
      </c>
      <c r="N11" s="735">
        <f t="shared" si="3"/>
        <v>321.07882458000859</v>
      </c>
      <c r="O11" s="735">
        <f t="shared" si="4"/>
        <v>1421.0788245800086</v>
      </c>
      <c r="P11" s="735">
        <f>INDEX('Arable Model tables'!$D$33:$H$48,MATCH($B11,'Arable Model tables'!$C$33:$C$48,0),MATCH($C$7,'Arable Model tables'!$D$32:$H$32,0))</f>
        <v>54.891904980377831</v>
      </c>
      <c r="Q11" s="735">
        <f>INDEX('Arable Model tables'!$K$33:$O$48,MATCH($B11,'Arable Model tables'!$J$33:$J$48,0),MATCH($C$7,'Arable Model tables'!$K$32:$O$32,0))</f>
        <v>242.9488270069175</v>
      </c>
      <c r="R11" s="735">
        <f>INDEX('Arable Model tables'!$D$53:$H$68,MATCH($B11,'Arable Model tables'!$C$53:$C$68,0),MATCH($C$7,'Arable Model tables'!$D$52:$H$52,0))</f>
        <v>297.31226330659706</v>
      </c>
      <c r="S11" s="735">
        <f>INDEX('Arable Model tables'!$K$53:$O$68,MATCH($B11,'Arable Model tables'!$J$53:$J$68,0),MATCH($C$7,'Arable Model tables'!$K$52:$O$52,0))</f>
        <v>1315.8892126431049</v>
      </c>
    </row>
    <row r="12" spans="1:19" x14ac:dyDescent="0.3">
      <c r="B12" s="732">
        <v>6</v>
      </c>
      <c r="C12" s="1130"/>
      <c r="D12" s="735">
        <f>HLOOKUP($C$7,'Arable Model tables'!$D$4:$H$5,2,FALSE)</f>
        <v>8.25</v>
      </c>
      <c r="E12" s="735">
        <f>HLOOKUP($C$7,'Arable Model tables'!$D$8:$H$9,2,FALSE)</f>
        <v>162</v>
      </c>
      <c r="F12" s="735">
        <f>'Arable Model tables'!$D$12</f>
        <v>220</v>
      </c>
      <c r="G12" s="735">
        <f>HLOOKUP($C$7,'Arable Model tables'!$D$15:$H$16,2,FALSE)</f>
        <v>684.46423508399835</v>
      </c>
      <c r="H12" s="735">
        <f>HLOOKUP($C$7,'Arable Model tables'!$D$19:$H$20,2,FALSE)</f>
        <v>841.31999999999994</v>
      </c>
      <c r="I12" s="735">
        <f t="shared" si="0"/>
        <v>1525.7842350839983</v>
      </c>
      <c r="J12" s="735">
        <f>HLOOKUP($C$7,'Arable Model tables'!$D$23:$H$24,2,FALSE)</f>
        <v>1590</v>
      </c>
      <c r="K12" s="735">
        <f>HLOOKUP($C$7,'Arable Model tables'!$D$27:$H$28,2,FALSE)</f>
        <v>1810</v>
      </c>
      <c r="L12" s="735">
        <f t="shared" si="1"/>
        <v>64.215764916001717</v>
      </c>
      <c r="M12" s="735">
        <f t="shared" si="2"/>
        <v>284.21576491600172</v>
      </c>
      <c r="N12" s="735">
        <f t="shared" si="3"/>
        <v>385.2945894960103</v>
      </c>
      <c r="O12" s="735">
        <f t="shared" si="4"/>
        <v>1705.2945894960103</v>
      </c>
      <c r="P12" s="735">
        <f>INDEX('Arable Model tables'!$D$33:$H$48,MATCH($B12,'Arable Model tables'!$C$33:$C$48,0),MATCH($C$7,'Arable Model tables'!$D$32:$H$32,0))</f>
        <v>52.780677865747975</v>
      </c>
      <c r="Q12" s="735">
        <f>INDEX('Arable Model tables'!$K$33:$O$48,MATCH($B12,'Arable Model tables'!$J$33:$J$48,0),MATCH($C$7,'Arable Model tables'!$K$32:$O$32,0))</f>
        <v>233.60464135280532</v>
      </c>
      <c r="R12" s="735">
        <f>INDEX('Arable Model tables'!$D$53:$H$68,MATCH($B12,'Arable Model tables'!$C$53:$C$68,0),MATCH($C$7,'Arable Model tables'!$D$52:$H$52,0))</f>
        <v>350.09294117234504</v>
      </c>
      <c r="S12" s="735">
        <f>INDEX('Arable Model tables'!$K$53:$O$68,MATCH($B12,'Arable Model tables'!$J$53:$J$68,0),MATCH($C$7,'Arable Model tables'!$K$52:$O$52,0))</f>
        <v>1549.4938539959103</v>
      </c>
    </row>
    <row r="13" spans="1:19" x14ac:dyDescent="0.3">
      <c r="B13" s="732">
        <v>7</v>
      </c>
      <c r="C13" s="1130"/>
      <c r="D13" s="735">
        <f>HLOOKUP($C$7,'Arable Model tables'!$D$4:$H$5,2,FALSE)</f>
        <v>8.25</v>
      </c>
      <c r="E13" s="735">
        <f>HLOOKUP($C$7,'Arable Model tables'!$D$8:$H$9,2,FALSE)</f>
        <v>162</v>
      </c>
      <c r="F13" s="735">
        <f>'Arable Model tables'!$D$12</f>
        <v>220</v>
      </c>
      <c r="G13" s="735">
        <f>HLOOKUP($C$7,'Arable Model tables'!$D$15:$H$16,2,FALSE)</f>
        <v>684.46423508399835</v>
      </c>
      <c r="H13" s="735">
        <f>HLOOKUP($C$7,'Arable Model tables'!$D$19:$H$20,2,FALSE)</f>
        <v>841.31999999999994</v>
      </c>
      <c r="I13" s="735">
        <f t="shared" si="0"/>
        <v>1525.7842350839983</v>
      </c>
      <c r="J13" s="735">
        <f>HLOOKUP($C$7,'Arable Model tables'!$D$23:$H$24,2,FALSE)</f>
        <v>1590</v>
      </c>
      <c r="K13" s="735">
        <f>HLOOKUP($C$7,'Arable Model tables'!$D$27:$H$28,2,FALSE)</f>
        <v>1810</v>
      </c>
      <c r="L13" s="735">
        <f t="shared" si="1"/>
        <v>64.215764916001717</v>
      </c>
      <c r="M13" s="735">
        <f t="shared" si="2"/>
        <v>284.21576491600172</v>
      </c>
      <c r="N13" s="735">
        <f t="shared" si="3"/>
        <v>449.51035441201202</v>
      </c>
      <c r="O13" s="735">
        <f t="shared" si="4"/>
        <v>1989.510354412012</v>
      </c>
      <c r="P13" s="735">
        <f>INDEX('Arable Model tables'!$D$33:$H$48,MATCH($B13,'Arable Model tables'!$C$33:$C$48,0),MATCH($C$7,'Arable Model tables'!$D$32:$H$32,0))</f>
        <v>50.750651793988482</v>
      </c>
      <c r="Q13" s="735">
        <f>INDEX('Arable Model tables'!$K$33:$O$48,MATCH($B13,'Arable Model tables'!$J$33:$J$48,0),MATCH($C$7,'Arable Model tables'!$K$32:$O$32,0))</f>
        <v>224.61984745462053</v>
      </c>
      <c r="R13" s="735">
        <f>INDEX('Arable Model tables'!$D$53:$H$68,MATCH($B13,'Arable Model tables'!$C$53:$C$68,0),MATCH($C$7,'Arable Model tables'!$D$52:$H$52,0))</f>
        <v>400.84359296633352</v>
      </c>
      <c r="S13" s="735">
        <f>INDEX('Arable Model tables'!$K$53:$O$68,MATCH($B13,'Arable Model tables'!$J$53:$J$68,0),MATCH($C$7,'Arable Model tables'!$K$52:$O$52,0))</f>
        <v>1774.1137014505307</v>
      </c>
    </row>
    <row r="14" spans="1:19" x14ac:dyDescent="0.3">
      <c r="B14" s="732">
        <v>8</v>
      </c>
      <c r="C14" s="1130"/>
      <c r="D14" s="735">
        <f>HLOOKUP($C$7,'Arable Model tables'!$D$4:$H$5,2,FALSE)</f>
        <v>8.25</v>
      </c>
      <c r="E14" s="735">
        <f>HLOOKUP($C$7,'Arable Model tables'!$D$8:$H$9,2,FALSE)</f>
        <v>162</v>
      </c>
      <c r="F14" s="735">
        <f>'Arable Model tables'!$D$12</f>
        <v>220</v>
      </c>
      <c r="G14" s="735">
        <f>HLOOKUP($C$7,'Arable Model tables'!$D$15:$H$16,2,FALSE)</f>
        <v>684.46423508399835</v>
      </c>
      <c r="H14" s="735">
        <f>HLOOKUP($C$7,'Arable Model tables'!$D$19:$H$20,2,FALSE)</f>
        <v>841.31999999999994</v>
      </c>
      <c r="I14" s="735">
        <f t="shared" si="0"/>
        <v>1525.7842350839983</v>
      </c>
      <c r="J14" s="735">
        <f>HLOOKUP($C$7,'Arable Model tables'!$D$23:$H$24,2,FALSE)</f>
        <v>1590</v>
      </c>
      <c r="K14" s="735">
        <f>HLOOKUP($C$7,'Arable Model tables'!$D$27:$H$28,2,FALSE)</f>
        <v>1810</v>
      </c>
      <c r="L14" s="735">
        <f t="shared" si="1"/>
        <v>64.215764916001717</v>
      </c>
      <c r="M14" s="735">
        <f t="shared" si="2"/>
        <v>284.21576491600172</v>
      </c>
      <c r="N14" s="735">
        <f t="shared" si="3"/>
        <v>513.72611932801374</v>
      </c>
      <c r="O14" s="735">
        <f t="shared" si="4"/>
        <v>2273.7261193280137</v>
      </c>
      <c r="P14" s="735">
        <f>INDEX('Arable Model tables'!$D$33:$H$48,MATCH($B14,'Arable Model tables'!$C$33:$C$48,0),MATCH($C$7,'Arable Model tables'!$D$32:$H$32,0))</f>
        <v>48.798703648065839</v>
      </c>
      <c r="Q14" s="735">
        <f>INDEX('Arable Model tables'!$K$33:$O$48,MATCH($B14,'Arable Model tables'!$J$33:$J$48,0),MATCH($C$7,'Arable Model tables'!$K$32:$O$32,0))</f>
        <v>215.98062255251975</v>
      </c>
      <c r="R14" s="735">
        <f>INDEX('Arable Model tables'!$D$53:$H$68,MATCH($B14,'Arable Model tables'!$C$53:$C$68,0),MATCH($C$7,'Arable Model tables'!$D$52:$H$52,0))</f>
        <v>449.64229661439936</v>
      </c>
      <c r="S14" s="735">
        <f>INDEX('Arable Model tables'!$K$53:$O$68,MATCH($B14,'Arable Model tables'!$J$53:$J$68,0),MATCH($C$7,'Arable Model tables'!$K$52:$O$52,0))</f>
        <v>1990.0943240030504</v>
      </c>
    </row>
    <row r="15" spans="1:19" x14ac:dyDescent="0.3">
      <c r="B15" s="732">
        <v>9</v>
      </c>
      <c r="C15" s="1130"/>
      <c r="D15" s="735">
        <f>HLOOKUP($C$7,'Arable Model tables'!$D$4:$H$5,2,FALSE)</f>
        <v>8.25</v>
      </c>
      <c r="E15" s="735">
        <f>HLOOKUP($C$7,'Arable Model tables'!$D$8:$H$9,2,FALSE)</f>
        <v>162</v>
      </c>
      <c r="F15" s="735">
        <f>'Arable Model tables'!$D$12</f>
        <v>220</v>
      </c>
      <c r="G15" s="735">
        <f>HLOOKUP($C$7,'Arable Model tables'!$D$15:$H$16,2,FALSE)</f>
        <v>684.46423508399835</v>
      </c>
      <c r="H15" s="735">
        <f>HLOOKUP($C$7,'Arable Model tables'!$D$19:$H$20,2,FALSE)</f>
        <v>841.31999999999994</v>
      </c>
      <c r="I15" s="735">
        <f t="shared" si="0"/>
        <v>1525.7842350839983</v>
      </c>
      <c r="J15" s="735">
        <f>HLOOKUP($C$7,'Arable Model tables'!$D$23:$H$24,2,FALSE)</f>
        <v>1590</v>
      </c>
      <c r="K15" s="735">
        <f>HLOOKUP($C$7,'Arable Model tables'!$D$27:$H$28,2,FALSE)</f>
        <v>1810</v>
      </c>
      <c r="L15" s="735">
        <f t="shared" si="1"/>
        <v>64.215764916001717</v>
      </c>
      <c r="M15" s="735">
        <f t="shared" si="2"/>
        <v>284.21576491600172</v>
      </c>
      <c r="N15" s="735">
        <f t="shared" si="3"/>
        <v>577.94188424401545</v>
      </c>
      <c r="O15" s="735">
        <f t="shared" si="4"/>
        <v>2557.9418842440155</v>
      </c>
      <c r="P15" s="735">
        <f>INDEX('Arable Model tables'!$D$33:$H$48,MATCH($B15,'Arable Model tables'!$C$33:$C$48,0),MATCH($C$7,'Arable Model tables'!$D$32:$H$32,0))</f>
        <v>46.921830430832642</v>
      </c>
      <c r="Q15" s="735">
        <f>INDEX('Arable Model tables'!$K$33:$O$48,MATCH($B15,'Arable Model tables'!$J$33:$J$48,0),MATCH($C$7,'Arable Model tables'!$K$32:$O$32,0))</f>
        <v>207.67367553126908</v>
      </c>
      <c r="R15" s="735">
        <f>INDEX('Arable Model tables'!$D$53:$H$68,MATCH($B15,'Arable Model tables'!$C$53:$C$68,0),MATCH($C$7,'Arable Model tables'!$D$52:$H$52,0))</f>
        <v>496.564127045232</v>
      </c>
      <c r="S15" s="735">
        <f>INDEX('Arable Model tables'!$K$53:$O$68,MATCH($B15,'Arable Model tables'!$J$53:$J$68,0),MATCH($C$7,'Arable Model tables'!$K$52:$O$52,0))</f>
        <v>2197.7679995343196</v>
      </c>
    </row>
    <row r="16" spans="1:19" x14ac:dyDescent="0.3">
      <c r="B16" s="732">
        <v>10</v>
      </c>
      <c r="C16" s="1130"/>
      <c r="D16" s="735">
        <f>HLOOKUP($C$7,'Arable Model tables'!$D$4:$H$5,2,FALSE)</f>
        <v>8.25</v>
      </c>
      <c r="E16" s="735">
        <f>HLOOKUP($C$7,'Arable Model tables'!$D$8:$H$9,2,FALSE)</f>
        <v>162</v>
      </c>
      <c r="F16" s="735">
        <f>'Arable Model tables'!$D$12</f>
        <v>220</v>
      </c>
      <c r="G16" s="735">
        <f>HLOOKUP($C$7,'Arable Model tables'!$D$15:$H$16,2,FALSE)</f>
        <v>684.46423508399835</v>
      </c>
      <c r="H16" s="735">
        <f>HLOOKUP($C$7,'Arable Model tables'!$D$19:$H$20,2,FALSE)</f>
        <v>841.31999999999994</v>
      </c>
      <c r="I16" s="735">
        <f t="shared" si="0"/>
        <v>1525.7842350839983</v>
      </c>
      <c r="J16" s="735">
        <f>HLOOKUP($C$7,'Arable Model tables'!$D$23:$H$24,2,FALSE)</f>
        <v>1590</v>
      </c>
      <c r="K16" s="735">
        <f>HLOOKUP($C$7,'Arable Model tables'!$D$27:$H$28,2,FALSE)</f>
        <v>1810</v>
      </c>
      <c r="L16" s="735">
        <f t="shared" si="1"/>
        <v>64.215764916001717</v>
      </c>
      <c r="M16" s="735">
        <f t="shared" si="2"/>
        <v>284.21576491600172</v>
      </c>
      <c r="N16" s="735">
        <f t="shared" si="3"/>
        <v>642.15764916001717</v>
      </c>
      <c r="O16" s="735">
        <f t="shared" si="4"/>
        <v>2842.1576491600172</v>
      </c>
      <c r="P16" s="735">
        <f>INDEX('Arable Model tables'!$D$33:$H$48,MATCH($B16,'Arable Model tables'!$C$33:$C$48,0),MATCH($C$7,'Arable Model tables'!$D$32:$H$32,0))</f>
        <v>45.117144645031203</v>
      </c>
      <c r="Q16" s="735">
        <f>INDEX('Arable Model tables'!$K$33:$O$48,MATCH($B16,'Arable Model tables'!$J$33:$J$48,0),MATCH($C$7,'Arable Model tables'!$K$32:$O$32,0))</f>
        <v>199.6862264723739</v>
      </c>
      <c r="R16" s="735">
        <f>INDEX('Arable Model tables'!$D$53:$H$68,MATCH($B16,'Arable Model tables'!$C$53:$C$68,0),MATCH($C$7,'Arable Model tables'!$D$52:$H$52,0))</f>
        <v>541.6812716902632</v>
      </c>
      <c r="S16" s="735">
        <f>INDEX('Arable Model tables'!$K$53:$O$68,MATCH($B16,'Arable Model tables'!$J$53:$J$68,0),MATCH($C$7,'Arable Model tables'!$K$52:$O$52,0))</f>
        <v>2397.4542260066937</v>
      </c>
    </row>
    <row r="17" spans="2:19" x14ac:dyDescent="0.3">
      <c r="B17" s="732">
        <v>11</v>
      </c>
      <c r="C17" s="1130"/>
      <c r="D17" s="735">
        <f>HLOOKUP($C$7,'Arable Model tables'!$D$4:$H$5,2,FALSE)</f>
        <v>8.25</v>
      </c>
      <c r="E17" s="735">
        <f>HLOOKUP($C$7,'Arable Model tables'!$D$8:$H$9,2,FALSE)</f>
        <v>162</v>
      </c>
      <c r="F17" s="735">
        <f>'Arable Model tables'!$D$12</f>
        <v>220</v>
      </c>
      <c r="G17" s="735">
        <f>HLOOKUP($C$7,'Arable Model tables'!$D$15:$H$16,2,FALSE)</f>
        <v>684.46423508399835</v>
      </c>
      <c r="H17" s="735">
        <f>HLOOKUP($C$7,'Arable Model tables'!$D$19:$H$20,2,FALSE)</f>
        <v>841.31999999999994</v>
      </c>
      <c r="I17" s="735">
        <f t="shared" si="0"/>
        <v>1525.7842350839983</v>
      </c>
      <c r="J17" s="735">
        <f>HLOOKUP($C$7,'Arable Model tables'!$D$23:$H$24,2,FALSE)</f>
        <v>1590</v>
      </c>
      <c r="K17" s="735">
        <f>HLOOKUP($C$7,'Arable Model tables'!$D$27:$H$28,2,FALSE)</f>
        <v>1810</v>
      </c>
      <c r="L17" s="735">
        <f t="shared" si="1"/>
        <v>64.215764916001717</v>
      </c>
      <c r="M17" s="735">
        <f t="shared" si="2"/>
        <v>284.21576491600172</v>
      </c>
      <c r="N17" s="735">
        <f t="shared" si="3"/>
        <v>706.37341407601889</v>
      </c>
      <c r="O17" s="735">
        <f t="shared" si="4"/>
        <v>3126.3734140760189</v>
      </c>
      <c r="P17" s="735">
        <f>INDEX('Arable Model tables'!$D$33:$H$48,MATCH($B17,'Arable Model tables'!$C$33:$C$48,0),MATCH($C$7,'Arable Model tables'!$D$32:$H$32,0))</f>
        <v>43.381869850991507</v>
      </c>
      <c r="Q17" s="735">
        <f>INDEX('Arable Model tables'!$K$33:$O$48,MATCH($B17,'Arable Model tables'!$J$33:$J$48,0),MATCH($C$7,'Arable Model tables'!$K$32:$O$32,0))</f>
        <v>192.00598699266718</v>
      </c>
      <c r="R17" s="735">
        <f>INDEX('Arable Model tables'!$D$53:$H$68,MATCH($B17,'Arable Model tables'!$C$53:$C$68,0),MATCH($C$7,'Arable Model tables'!$D$52:$H$52,0))</f>
        <v>585.06314154125471</v>
      </c>
      <c r="S17" s="735">
        <f>INDEX('Arable Model tables'!$K$53:$O$68,MATCH($B17,'Arable Model tables'!$J$53:$J$68,0),MATCH($C$7,'Arable Model tables'!$K$52:$O$52,0))</f>
        <v>2589.4602129993609</v>
      </c>
    </row>
    <row r="18" spans="2:19" x14ac:dyDescent="0.3">
      <c r="B18" s="732">
        <v>12</v>
      </c>
      <c r="C18" s="1130"/>
      <c r="D18" s="735">
        <f>HLOOKUP($C$7,'Arable Model tables'!$D$4:$H$5,2,FALSE)</f>
        <v>8.25</v>
      </c>
      <c r="E18" s="735">
        <f>HLOOKUP($C$7,'Arable Model tables'!$D$8:$H$9,2,FALSE)</f>
        <v>162</v>
      </c>
      <c r="F18" s="735">
        <f>'Arable Model tables'!$D$12</f>
        <v>220</v>
      </c>
      <c r="G18" s="735">
        <f>HLOOKUP($C$7,'Arable Model tables'!$D$15:$H$16,2,FALSE)</f>
        <v>684.46423508399835</v>
      </c>
      <c r="H18" s="735">
        <f>HLOOKUP($C$7,'Arable Model tables'!$D$19:$H$20,2,FALSE)</f>
        <v>841.31999999999994</v>
      </c>
      <c r="I18" s="735">
        <f t="shared" si="0"/>
        <v>1525.7842350839983</v>
      </c>
      <c r="J18" s="735">
        <f>HLOOKUP($C$7,'Arable Model tables'!$D$23:$H$24,2,FALSE)</f>
        <v>1590</v>
      </c>
      <c r="K18" s="735">
        <f>HLOOKUP($C$7,'Arable Model tables'!$D$27:$H$28,2,FALSE)</f>
        <v>1810</v>
      </c>
      <c r="L18" s="735">
        <f t="shared" si="1"/>
        <v>64.215764916001717</v>
      </c>
      <c r="M18" s="735">
        <f t="shared" si="2"/>
        <v>284.21576491600172</v>
      </c>
      <c r="N18" s="735">
        <f t="shared" si="3"/>
        <v>770.58917899202061</v>
      </c>
      <c r="O18" s="735">
        <f t="shared" si="4"/>
        <v>3410.5891789920206</v>
      </c>
      <c r="P18" s="735">
        <f>INDEX('Arable Model tables'!$D$33:$H$48,MATCH($B18,'Arable Model tables'!$C$33:$C$48,0),MATCH($C$7,'Arable Model tables'!$D$32:$H$32,0))</f>
        <v>41.713336395184115</v>
      </c>
      <c r="Q18" s="735">
        <f>INDEX('Arable Model tables'!$K$33:$O$48,MATCH($B18,'Arable Model tables'!$J$33:$J$48,0),MATCH($C$7,'Arable Model tables'!$K$32:$O$32,0))</f>
        <v>184.62114133910305</v>
      </c>
      <c r="R18" s="735">
        <f>INDEX('Arable Model tables'!$D$53:$H$68,MATCH($B18,'Arable Model tables'!$C$53:$C$68,0),MATCH($C$7,'Arable Model tables'!$D$52:$H$52,0))</f>
        <v>626.77647793643882</v>
      </c>
      <c r="S18" s="735">
        <f>INDEX('Arable Model tables'!$K$53:$O$68,MATCH($B18,'Arable Model tables'!$J$53:$J$68,0),MATCH($C$7,'Arable Model tables'!$K$52:$O$52,0))</f>
        <v>2774.0813543384638</v>
      </c>
    </row>
    <row r="19" spans="2:19" x14ac:dyDescent="0.3">
      <c r="B19" s="732">
        <v>13</v>
      </c>
      <c r="C19" s="1130"/>
      <c r="D19" s="735">
        <f>HLOOKUP($C$7,'Arable Model tables'!$D$4:$H$5,2,FALSE)</f>
        <v>8.25</v>
      </c>
      <c r="E19" s="735">
        <f>HLOOKUP($C$7,'Arable Model tables'!$D$8:$H$9,2,FALSE)</f>
        <v>162</v>
      </c>
      <c r="F19" s="735">
        <f>'Arable Model tables'!$D$12</f>
        <v>220</v>
      </c>
      <c r="G19" s="735">
        <f>HLOOKUP($C$7,'Arable Model tables'!$D$15:$H$16,2,FALSE)</f>
        <v>684.46423508399835</v>
      </c>
      <c r="H19" s="735">
        <f>HLOOKUP($C$7,'Arable Model tables'!$D$19:$H$20,2,FALSE)</f>
        <v>841.31999999999994</v>
      </c>
      <c r="I19" s="735">
        <f t="shared" si="0"/>
        <v>1525.7842350839983</v>
      </c>
      <c r="J19" s="735">
        <f>HLOOKUP($C$7,'Arable Model tables'!$D$23:$H$24,2,FALSE)</f>
        <v>1590</v>
      </c>
      <c r="K19" s="735">
        <f>HLOOKUP($C$7,'Arable Model tables'!$D$27:$H$28,2,FALSE)</f>
        <v>1810</v>
      </c>
      <c r="L19" s="735">
        <f t="shared" si="1"/>
        <v>64.215764916001717</v>
      </c>
      <c r="M19" s="735">
        <f t="shared" si="2"/>
        <v>284.21576491600172</v>
      </c>
      <c r="N19" s="735">
        <f t="shared" si="3"/>
        <v>834.80494390802232</v>
      </c>
      <c r="O19" s="735">
        <f t="shared" si="4"/>
        <v>3694.8049439080223</v>
      </c>
      <c r="P19" s="735">
        <f>INDEX('Arable Model tables'!$D$33:$H$48,MATCH($B19,'Arable Model tables'!$C$33:$C$48,0),MATCH($C$7,'Arable Model tables'!$D$32:$H$32,0))</f>
        <v>40.108977303061693</v>
      </c>
      <c r="Q19" s="735">
        <f>INDEX('Arable Model tables'!$K$33:$O$48,MATCH($B19,'Arable Model tables'!$J$33:$J$48,0),MATCH($C$7,'Arable Model tables'!$K$32:$O$32,0))</f>
        <v>177.52032821067601</v>
      </c>
      <c r="R19" s="735">
        <f>INDEX('Arable Model tables'!$D$53:$H$68,MATCH($B19,'Arable Model tables'!$C$53:$C$68,0),MATCH($C$7,'Arable Model tables'!$D$52:$H$52,0))</f>
        <v>666.88545523950052</v>
      </c>
      <c r="S19" s="735">
        <f>INDEX('Arable Model tables'!$K$53:$O$68,MATCH($B19,'Arable Model tables'!$J$53:$J$68,0),MATCH($C$7,'Arable Model tables'!$K$52:$O$52,0))</f>
        <v>2951.6016825491397</v>
      </c>
    </row>
    <row r="20" spans="2:19" x14ac:dyDescent="0.3">
      <c r="B20" s="732">
        <v>14</v>
      </c>
      <c r="C20" s="1130"/>
      <c r="D20" s="735">
        <f>HLOOKUP($C$7,'Arable Model tables'!$D$4:$H$5,2,FALSE)</f>
        <v>8.25</v>
      </c>
      <c r="E20" s="735">
        <f>HLOOKUP($C$7,'Arable Model tables'!$D$8:$H$9,2,FALSE)</f>
        <v>162</v>
      </c>
      <c r="F20" s="735">
        <f>'Arable Model tables'!$D$12</f>
        <v>220</v>
      </c>
      <c r="G20" s="735">
        <f>HLOOKUP($C$7,'Arable Model tables'!$D$15:$H$16,2,FALSE)</f>
        <v>684.46423508399835</v>
      </c>
      <c r="H20" s="735">
        <f>HLOOKUP($C$7,'Arable Model tables'!$D$19:$H$20,2,FALSE)</f>
        <v>841.31999999999994</v>
      </c>
      <c r="I20" s="735">
        <f t="shared" si="0"/>
        <v>1525.7842350839983</v>
      </c>
      <c r="J20" s="735">
        <f>HLOOKUP($C$7,'Arable Model tables'!$D$23:$H$24,2,FALSE)</f>
        <v>1590</v>
      </c>
      <c r="K20" s="735">
        <f>HLOOKUP($C$7,'Arable Model tables'!$D$27:$H$28,2,FALSE)</f>
        <v>1810</v>
      </c>
      <c r="L20" s="735">
        <f t="shared" si="1"/>
        <v>64.215764916001717</v>
      </c>
      <c r="M20" s="735">
        <f t="shared" si="2"/>
        <v>284.21576491600172</v>
      </c>
      <c r="N20" s="735">
        <f t="shared" si="3"/>
        <v>899.02070882402404</v>
      </c>
      <c r="O20" s="735">
        <f t="shared" si="4"/>
        <v>3979.020708824024</v>
      </c>
      <c r="P20" s="735">
        <f>INDEX('Arable Model tables'!$D$33:$H$48,MATCH($B20,'Arable Model tables'!$C$33:$C$48,0),MATCH($C$7,'Arable Model tables'!$D$32:$H$32,0))</f>
        <v>38.56632432986703</v>
      </c>
      <c r="Q20" s="735">
        <f>INDEX('Arable Model tables'!$K$33:$O$48,MATCH($B20,'Arable Model tables'!$J$33:$J$48,0),MATCH($C$7,'Arable Model tables'!$K$32:$O$32,0))</f>
        <v>170.69262327949619</v>
      </c>
      <c r="R20" s="735">
        <f>INDEX('Arable Model tables'!$D$53:$H$68,MATCH($B20,'Arable Model tables'!$C$53:$C$68,0),MATCH($C$7,'Arable Model tables'!$D$52:$H$52,0))</f>
        <v>705.45177956936755</v>
      </c>
      <c r="S20" s="735">
        <f>INDEX('Arable Model tables'!$K$53:$O$68,MATCH($B20,'Arable Model tables'!$J$53:$J$68,0),MATCH($C$7,'Arable Model tables'!$K$52:$O$52,0))</f>
        <v>3122.294305828636</v>
      </c>
    </row>
    <row r="21" spans="2:19" x14ac:dyDescent="0.3">
      <c r="B21" s="732">
        <v>15</v>
      </c>
      <c r="C21" s="1130"/>
      <c r="D21" s="735">
        <f>HLOOKUP($C$7,'Arable Model tables'!$D$4:$H$5,2,FALSE)</f>
        <v>8.25</v>
      </c>
      <c r="E21" s="735">
        <f>HLOOKUP($C$7,'Arable Model tables'!$D$8:$H$9,2,FALSE)</f>
        <v>162</v>
      </c>
      <c r="F21" s="735">
        <f>'Arable Model tables'!$D$12</f>
        <v>220</v>
      </c>
      <c r="G21" s="735">
        <f>HLOOKUP($C$7,'Arable Model tables'!$D$15:$H$16,2,FALSE)</f>
        <v>684.46423508399835</v>
      </c>
      <c r="H21" s="735">
        <f>HLOOKUP($C$7,'Arable Model tables'!$D$19:$H$20,2,FALSE)</f>
        <v>841.31999999999994</v>
      </c>
      <c r="I21" s="735">
        <f t="shared" si="0"/>
        <v>1525.7842350839983</v>
      </c>
      <c r="J21" s="735">
        <f>HLOOKUP($C$7,'Arable Model tables'!$D$23:$H$24,2,FALSE)</f>
        <v>1590</v>
      </c>
      <c r="K21" s="735">
        <f>HLOOKUP($C$7,'Arable Model tables'!$D$27:$H$28,2,FALSE)</f>
        <v>1810</v>
      </c>
      <c r="L21" s="735">
        <f t="shared" si="1"/>
        <v>64.215764916001717</v>
      </c>
      <c r="M21" s="735">
        <f t="shared" si="2"/>
        <v>284.21576491600172</v>
      </c>
      <c r="N21" s="735">
        <f t="shared" si="3"/>
        <v>963.23647374002576</v>
      </c>
      <c r="O21" s="735">
        <f t="shared" si="4"/>
        <v>4263.2364737400258</v>
      </c>
      <c r="P21" s="735">
        <f>INDEX('Arable Model tables'!$D$33:$H$48,MATCH($B21,'Arable Model tables'!$C$33:$C$48,0),MATCH($C$7,'Arable Model tables'!$D$32:$H$32,0))</f>
        <v>37.083004163333726</v>
      </c>
      <c r="Q21" s="735">
        <f>INDEX('Arable Model tables'!$K$33:$O$48,MATCH($B21,'Arable Model tables'!$J$33:$J$48,0),MATCH($C$7,'Arable Model tables'!$K$32:$O$32,0))</f>
        <v>164.127522384131</v>
      </c>
      <c r="R21" s="735">
        <f>INDEX('Arable Model tables'!$D$53:$H$68,MATCH($B21,'Arable Model tables'!$C$53:$C$68,0),MATCH($C$7,'Arable Model tables'!$D$52:$H$52,0))</f>
        <v>742.53478373270127</v>
      </c>
      <c r="S21" s="735">
        <f>INDEX('Arable Model tables'!$K$53:$O$68,MATCH($B21,'Arable Model tables'!$J$53:$J$68,0),MATCH($C$7,'Arable Model tables'!$K$52:$O$52,0))</f>
        <v>3286.4218282127667</v>
      </c>
    </row>
    <row r="22" spans="2:19" x14ac:dyDescent="0.3">
      <c r="B22" s="733">
        <v>16</v>
      </c>
      <c r="C22" s="1131"/>
      <c r="D22" s="736">
        <f>HLOOKUP($C$7,'Arable Model tables'!$D$4:$H$5,2,FALSE)</f>
        <v>8.25</v>
      </c>
      <c r="E22" s="736">
        <f>HLOOKUP($C$7,'Arable Model tables'!$D$8:$H$9,2,FALSE)</f>
        <v>162</v>
      </c>
      <c r="F22" s="736">
        <f>'Arable Model tables'!$D$12</f>
        <v>220</v>
      </c>
      <c r="G22" s="736">
        <f>HLOOKUP($C$7,'Arable Model tables'!$D$15:$H$16,2,FALSE)</f>
        <v>684.46423508399835</v>
      </c>
      <c r="H22" s="736">
        <f>HLOOKUP($C$7,'Arable Model tables'!$D$19:$H$20,2,FALSE)</f>
        <v>841.31999999999994</v>
      </c>
      <c r="I22" s="736">
        <f t="shared" si="0"/>
        <v>1525.7842350839983</v>
      </c>
      <c r="J22" s="736">
        <f>HLOOKUP($C$7,'Arable Model tables'!$D$23:$H$24,2,FALSE)</f>
        <v>1590</v>
      </c>
      <c r="K22" s="736">
        <f>HLOOKUP($C$7,'Arable Model tables'!$D$27:$H$28,2,FALSE)</f>
        <v>1810</v>
      </c>
      <c r="L22" s="736">
        <f t="shared" si="1"/>
        <v>64.215764916001717</v>
      </c>
      <c r="M22" s="736">
        <f t="shared" si="2"/>
        <v>284.21576491600172</v>
      </c>
      <c r="N22" s="736">
        <f t="shared" si="3"/>
        <v>1027.4522386560275</v>
      </c>
      <c r="O22" s="736">
        <f t="shared" si="4"/>
        <v>4547.4522386560275</v>
      </c>
      <c r="P22" s="736">
        <f>INDEX('Arable Model tables'!$D$33:$H$48,MATCH($B22,'Arable Model tables'!$C$33:$C$48,0),MATCH($C$7,'Arable Model tables'!$D$32:$H$32,0))</f>
        <v>35.656734772436266</v>
      </c>
      <c r="Q22" s="736">
        <f>INDEX('Arable Model tables'!$K$33:$O$48,MATCH($B22,'Arable Model tables'!$J$33:$J$48,0),MATCH($C$7,'Arable Model tables'!$K$32:$O$32,0))</f>
        <v>157.81492536935673</v>
      </c>
      <c r="R22" s="736">
        <f>INDEX('Arable Model tables'!$D$53:$H$68,MATCH($B22,'Arable Model tables'!$C$53:$C$68,0),MATCH($C$7,'Arable Model tables'!$D$52:$H$52,0))</f>
        <v>778.19151850513754</v>
      </c>
      <c r="S22" s="736">
        <f>INDEX('Arable Model tables'!$K$53:$O$68,MATCH($B22,'Arable Model tables'!$J$53:$J$68,0),MATCH($C$7,'Arable Model tables'!$K$52:$O$52,0))</f>
        <v>3444.2367535821236</v>
      </c>
    </row>
    <row r="23" spans="2:19" x14ac:dyDescent="0.3">
      <c r="C23" s="361"/>
      <c r="M23" s="39"/>
      <c r="N23" s="39"/>
      <c r="O23" s="39"/>
      <c r="P23" s="39"/>
      <c r="Q23" s="39"/>
    </row>
    <row r="25" spans="2:19" x14ac:dyDescent="0.3">
      <c r="D25" s="24"/>
      <c r="E25" s="24"/>
      <c r="F25" s="24"/>
    </row>
    <row r="26" spans="2:19" ht="30" x14ac:dyDescent="0.3">
      <c r="B26" s="300"/>
      <c r="C26" s="737" t="s">
        <v>371</v>
      </c>
      <c r="D26" s="737" t="s">
        <v>372</v>
      </c>
      <c r="E26" s="737" t="s">
        <v>373</v>
      </c>
      <c r="F26" s="737" t="s">
        <v>374</v>
      </c>
    </row>
    <row r="27" spans="2:19" x14ac:dyDescent="0.3">
      <c r="B27" s="299"/>
      <c r="C27" s="729" t="s">
        <v>477</v>
      </c>
      <c r="D27" s="729" t="s">
        <v>477</v>
      </c>
      <c r="E27" s="729" t="s">
        <v>477</v>
      </c>
      <c r="F27" s="738" t="s">
        <v>485</v>
      </c>
    </row>
    <row r="28" spans="2:19" x14ac:dyDescent="0.3">
      <c r="B28" s="86" t="s">
        <v>301</v>
      </c>
      <c r="C28" s="359">
        <v>0</v>
      </c>
      <c r="D28" s="739">
        <f>'Energy NPV'!C6</f>
        <v>0.04</v>
      </c>
      <c r="E28" s="86"/>
      <c r="F28" s="86"/>
    </row>
    <row r="29" spans="2:19" x14ac:dyDescent="0.3">
      <c r="B29" s="86" t="s">
        <v>370</v>
      </c>
      <c r="C29" s="771">
        <f>N22</f>
        <v>1027.4522386560275</v>
      </c>
      <c r="D29" s="771">
        <f>R22</f>
        <v>778.19151850513754</v>
      </c>
      <c r="E29" s="771">
        <f>D29*((1+$D$28)^16)/(((1+$D$28)^16)-1)</f>
        <v>1669.6098878160426</v>
      </c>
      <c r="F29" s="771">
        <f>E29*$D$28</f>
        <v>66.784395512641709</v>
      </c>
    </row>
    <row r="30" spans="2:19" x14ac:dyDescent="0.3">
      <c r="B30" s="86" t="s">
        <v>369</v>
      </c>
      <c r="C30" s="771">
        <f>O22</f>
        <v>4547.4522386560275</v>
      </c>
      <c r="D30" s="771">
        <f>S22</f>
        <v>3444.2367535821236</v>
      </c>
      <c r="E30" s="771">
        <f>D30*((1+$D$28)^16)/(((1+$D$28)^16)-1)</f>
        <v>7389.6098878160365</v>
      </c>
      <c r="F30" s="771">
        <f>E30*$D$28</f>
        <v>295.58439551264149</v>
      </c>
    </row>
  </sheetData>
  <mergeCells count="1">
    <mergeCell ref="C7:C22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'Arable Model tables'!$D$4:$H$4</xm:f>
          </x14:formula1>
          <xm:sqref>C7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97"/>
  <sheetViews>
    <sheetView topLeftCell="A14" workbookViewId="0"/>
  </sheetViews>
  <sheetFormatPr defaultColWidth="9" defaultRowHeight="14" x14ac:dyDescent="0.3"/>
  <cols>
    <col min="2" max="2" width="14.5" customWidth="1"/>
  </cols>
  <sheetData>
    <row r="3" spans="2:14" x14ac:dyDescent="0.3"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14" x14ac:dyDescent="0.3">
      <c r="B4" s="496"/>
      <c r="C4" s="425"/>
      <c r="H4" s="364"/>
      <c r="I4" s="364"/>
      <c r="J4" s="364"/>
      <c r="K4" s="364"/>
      <c r="L4" s="364"/>
      <c r="M4" s="364"/>
      <c r="N4" s="364"/>
    </row>
    <row r="5" spans="2:14" x14ac:dyDescent="0.3">
      <c r="B5" s="743" t="s">
        <v>222</v>
      </c>
      <c r="C5" s="423" t="s">
        <v>404</v>
      </c>
      <c r="D5" s="504" t="s">
        <v>94</v>
      </c>
      <c r="E5" s="504" t="s">
        <v>95</v>
      </c>
      <c r="F5" s="718" t="s">
        <v>96</v>
      </c>
      <c r="G5" s="718" t="s">
        <v>498</v>
      </c>
      <c r="H5" s="364"/>
      <c r="I5" s="364"/>
      <c r="J5" s="364"/>
      <c r="K5" s="364"/>
      <c r="L5" s="364"/>
      <c r="M5" s="364"/>
      <c r="N5" s="364"/>
    </row>
    <row r="6" spans="2:14" x14ac:dyDescent="0.3">
      <c r="B6" s="425"/>
      <c r="C6" s="715">
        <v>1</v>
      </c>
      <c r="D6" s="740"/>
      <c r="E6" s="740">
        <f>'Energy NPV'!$D39</f>
        <v>0.6</v>
      </c>
      <c r="F6" s="740">
        <f>'Energy NPV'!$D65</f>
        <v>2.0466666666666664</v>
      </c>
      <c r="G6" s="740">
        <f>'Energy NPV'!$D91</f>
        <v>0</v>
      </c>
      <c r="H6" s="364"/>
      <c r="I6" s="364"/>
      <c r="J6" s="364"/>
      <c r="K6" s="364"/>
      <c r="L6" s="364"/>
      <c r="M6" s="364"/>
      <c r="N6" s="364"/>
    </row>
    <row r="7" spans="2:14" x14ac:dyDescent="0.3">
      <c r="B7" s="425"/>
      <c r="C7" s="410">
        <v>2</v>
      </c>
      <c r="D7" s="741"/>
      <c r="E7" s="741">
        <f>'Energy NPV'!$D40</f>
        <v>3.9250000000000007</v>
      </c>
      <c r="F7" s="741">
        <f>'Energy NPV'!$D66</f>
        <v>8.27</v>
      </c>
      <c r="G7" s="741">
        <f>'Energy NPV'!$D92</f>
        <v>9.9333333333333336</v>
      </c>
      <c r="H7" s="364"/>
      <c r="I7" s="364"/>
      <c r="J7" s="364"/>
      <c r="K7" s="364"/>
      <c r="L7" s="364"/>
      <c r="M7" s="364"/>
      <c r="N7" s="364"/>
    </row>
    <row r="8" spans="2:14" x14ac:dyDescent="0.3">
      <c r="B8" s="425"/>
      <c r="C8" s="410">
        <v>3</v>
      </c>
      <c r="D8" s="741"/>
      <c r="E8" s="741">
        <f>'Energy NPV'!$D41</f>
        <v>11.099999999999998</v>
      </c>
      <c r="F8" s="741">
        <f>'Energy NPV'!$D67</f>
        <v>10.926666666666668</v>
      </c>
      <c r="G8" s="741">
        <f>'Energy NPV'!$D93</f>
        <v>14.700000000000001</v>
      </c>
      <c r="H8" s="364"/>
      <c r="I8" s="364"/>
      <c r="J8" s="364"/>
      <c r="K8" s="364"/>
      <c r="L8" s="364"/>
      <c r="M8" s="364"/>
      <c r="N8" s="364"/>
    </row>
    <row r="9" spans="2:14" x14ac:dyDescent="0.3">
      <c r="B9" s="425"/>
      <c r="C9" s="410">
        <v>4</v>
      </c>
      <c r="D9" s="741">
        <f>'Energy Inputs'!$D$24</f>
        <v>30</v>
      </c>
      <c r="E9" s="741">
        <f>'Energy NPV'!$D42</f>
        <v>12.54</v>
      </c>
      <c r="F9" s="741">
        <f>'Energy NPV'!$D68</f>
        <v>11.617000000000001</v>
      </c>
      <c r="G9" s="741">
        <f>'Energy NPV'!$D94</f>
        <v>15.733333333333334</v>
      </c>
      <c r="H9" s="364"/>
      <c r="I9" s="364"/>
      <c r="J9" s="364"/>
      <c r="K9" s="364"/>
      <c r="L9" s="364"/>
      <c r="M9" s="364"/>
      <c r="N9" s="364"/>
    </row>
    <row r="10" spans="2:14" x14ac:dyDescent="0.3">
      <c r="B10" s="425"/>
      <c r="C10" s="410">
        <v>5</v>
      </c>
      <c r="D10" s="105"/>
      <c r="E10" s="741">
        <f>'Energy NPV'!$D43</f>
        <v>12.54</v>
      </c>
      <c r="F10" s="741">
        <f>'Energy NPV'!$D69</f>
        <v>11.617000000000001</v>
      </c>
      <c r="G10" s="741">
        <f>'Energy NPV'!$D95</f>
        <v>16.3</v>
      </c>
      <c r="H10" s="364"/>
      <c r="I10" s="364"/>
      <c r="J10" s="364"/>
      <c r="K10" s="364"/>
      <c r="L10" s="364"/>
      <c r="M10" s="364"/>
      <c r="N10" s="364"/>
    </row>
    <row r="11" spans="2:14" x14ac:dyDescent="0.3">
      <c r="B11" s="425"/>
      <c r="C11" s="410">
        <v>6</v>
      </c>
      <c r="D11" s="741"/>
      <c r="E11" s="741">
        <f>'Energy NPV'!$D44</f>
        <v>12.54</v>
      </c>
      <c r="F11" s="741">
        <f>'Energy NPV'!$D70</f>
        <v>11.617000000000001</v>
      </c>
      <c r="G11" s="741">
        <f>'Energy NPV'!$D96</f>
        <v>16.3</v>
      </c>
      <c r="H11" s="364"/>
      <c r="I11" s="364"/>
      <c r="J11" s="364"/>
      <c r="K11" s="364"/>
      <c r="L11" s="364"/>
      <c r="M11" s="364"/>
      <c r="N11" s="364"/>
    </row>
    <row r="12" spans="2:14" x14ac:dyDescent="0.3">
      <c r="B12" s="425"/>
      <c r="C12" s="410">
        <v>7</v>
      </c>
      <c r="D12" s="741">
        <f>'Energy Inputs'!$D$24</f>
        <v>30</v>
      </c>
      <c r="E12" s="741">
        <f>'Energy NPV'!$D45</f>
        <v>12.54</v>
      </c>
      <c r="F12" s="741">
        <f>'Energy NPV'!$D71</f>
        <v>11.617000000000001</v>
      </c>
      <c r="G12" s="741">
        <f>'Energy NPV'!$D97</f>
        <v>16.3</v>
      </c>
      <c r="H12" s="364"/>
      <c r="I12" s="364"/>
      <c r="J12" s="364"/>
      <c r="K12" s="364"/>
      <c r="L12" s="364"/>
      <c r="M12" s="364"/>
      <c r="N12" s="364"/>
    </row>
    <row r="13" spans="2:14" x14ac:dyDescent="0.3">
      <c r="B13" s="425"/>
      <c r="C13" s="410">
        <v>8</v>
      </c>
      <c r="D13" s="105"/>
      <c r="E13" s="741">
        <f>'Energy NPV'!$D46</f>
        <v>12.54</v>
      </c>
      <c r="F13" s="741">
        <f>'Energy NPV'!$D72</f>
        <v>11.617000000000001</v>
      </c>
      <c r="G13" s="741">
        <f>'Energy NPV'!$D98</f>
        <v>16.3</v>
      </c>
      <c r="H13" s="364"/>
      <c r="I13" s="364"/>
      <c r="J13" s="364"/>
      <c r="K13" s="364"/>
      <c r="L13" s="364"/>
      <c r="M13" s="364"/>
      <c r="N13" s="364"/>
    </row>
    <row r="14" spans="2:14" x14ac:dyDescent="0.3">
      <c r="B14" s="425"/>
      <c r="C14" s="410">
        <v>9</v>
      </c>
      <c r="D14" s="741"/>
      <c r="E14" s="741">
        <f>'Energy NPV'!$D47</f>
        <v>12.54</v>
      </c>
      <c r="F14" s="741">
        <f>'Energy NPV'!$D73</f>
        <v>11.617000000000001</v>
      </c>
      <c r="G14" s="741">
        <f>'Energy NPV'!$D99</f>
        <v>16.3</v>
      </c>
      <c r="H14" s="364"/>
      <c r="I14" s="364"/>
      <c r="J14" s="364"/>
      <c r="K14" s="364"/>
      <c r="L14" s="364"/>
      <c r="M14" s="364"/>
      <c r="N14" s="364"/>
    </row>
    <row r="15" spans="2:14" x14ac:dyDescent="0.3">
      <c r="B15" s="425"/>
      <c r="C15" s="410">
        <v>10</v>
      </c>
      <c r="D15" s="741">
        <f>'Energy Inputs'!$D$24</f>
        <v>30</v>
      </c>
      <c r="E15" s="741">
        <f>'Energy NPV'!$D48</f>
        <v>12.54</v>
      </c>
      <c r="F15" s="741">
        <f>'Energy NPV'!$D74</f>
        <v>11.617000000000001</v>
      </c>
      <c r="G15" s="741">
        <f>'Energy NPV'!$D100</f>
        <v>16.3</v>
      </c>
      <c r="H15" s="364"/>
      <c r="I15" s="364"/>
      <c r="J15" s="364"/>
      <c r="K15" s="364"/>
      <c r="L15" s="364"/>
      <c r="M15" s="364"/>
      <c r="N15" s="364"/>
    </row>
    <row r="16" spans="2:14" x14ac:dyDescent="0.3">
      <c r="B16" s="425"/>
      <c r="C16" s="410">
        <v>11</v>
      </c>
      <c r="D16" s="105"/>
      <c r="E16" s="741">
        <f>'Energy NPV'!$D49</f>
        <v>12.54</v>
      </c>
      <c r="F16" s="741">
        <f>'Energy NPV'!$D75</f>
        <v>11.617000000000001</v>
      </c>
      <c r="G16" s="741">
        <f>'Energy NPV'!$D101</f>
        <v>16.3</v>
      </c>
      <c r="H16" s="364"/>
      <c r="I16" s="364"/>
      <c r="J16" s="364"/>
      <c r="K16" s="364"/>
      <c r="L16" s="364"/>
      <c r="M16" s="364"/>
      <c r="N16" s="364"/>
    </row>
    <row r="17" spans="2:14" x14ac:dyDescent="0.3">
      <c r="B17" s="425"/>
      <c r="C17" s="410">
        <v>12</v>
      </c>
      <c r="D17" s="741"/>
      <c r="E17" s="741">
        <f>'Energy NPV'!$D50</f>
        <v>12.54</v>
      </c>
      <c r="F17" s="741">
        <f>'Energy NPV'!$D76</f>
        <v>11.617000000000001</v>
      </c>
      <c r="G17" s="741">
        <f>'Energy NPV'!$D102</f>
        <v>16.3</v>
      </c>
      <c r="H17" s="364"/>
      <c r="I17" s="364"/>
      <c r="J17" s="364"/>
      <c r="K17" s="364"/>
      <c r="L17" s="364"/>
      <c r="M17" s="364"/>
      <c r="N17" s="364"/>
    </row>
    <row r="18" spans="2:14" x14ac:dyDescent="0.3">
      <c r="B18" s="425"/>
      <c r="C18" s="410">
        <v>13</v>
      </c>
      <c r="D18" s="741">
        <f>'Energy Inputs'!$D$24</f>
        <v>30</v>
      </c>
      <c r="E18" s="741">
        <f>'Energy NPV'!$D51</f>
        <v>12.54</v>
      </c>
      <c r="F18" s="741">
        <f>'Energy NPV'!$D77</f>
        <v>11.617000000000001</v>
      </c>
      <c r="G18" s="741">
        <f>'Energy NPV'!$D103</f>
        <v>16.3</v>
      </c>
      <c r="H18" s="364"/>
      <c r="I18" s="364"/>
      <c r="J18" s="364"/>
      <c r="K18" s="364"/>
      <c r="L18" s="364"/>
      <c r="M18" s="364"/>
      <c r="N18" s="364"/>
    </row>
    <row r="19" spans="2:14" x14ac:dyDescent="0.3">
      <c r="B19" s="425"/>
      <c r="C19" s="410">
        <v>14</v>
      </c>
      <c r="D19" s="105"/>
      <c r="E19" s="741">
        <f>'Energy NPV'!$D52</f>
        <v>12.54</v>
      </c>
      <c r="F19" s="741">
        <f>'Energy NPV'!$D78</f>
        <v>11.617000000000001</v>
      </c>
      <c r="G19" s="741">
        <f>'Energy NPV'!$D104</f>
        <v>16.3</v>
      </c>
      <c r="H19" s="364"/>
      <c r="I19" s="364"/>
      <c r="J19" s="364"/>
      <c r="K19" s="364"/>
      <c r="L19" s="364"/>
      <c r="M19" s="364"/>
      <c r="N19" s="364"/>
    </row>
    <row r="20" spans="2:14" x14ac:dyDescent="0.3">
      <c r="B20" s="425"/>
      <c r="C20" s="410">
        <v>15</v>
      </c>
      <c r="D20" s="741"/>
      <c r="E20" s="741">
        <f>'Energy NPV'!$D53</f>
        <v>12.54</v>
      </c>
      <c r="F20" s="741">
        <f>'Energy NPV'!$D79</f>
        <v>11.617000000000001</v>
      </c>
      <c r="G20" s="741">
        <f>'Energy NPV'!$D105</f>
        <v>16.3</v>
      </c>
      <c r="H20" s="364"/>
      <c r="I20" s="364"/>
      <c r="J20" s="364"/>
      <c r="K20" s="364"/>
      <c r="L20" s="364"/>
      <c r="M20" s="364"/>
      <c r="N20" s="364"/>
    </row>
    <row r="21" spans="2:14" x14ac:dyDescent="0.3">
      <c r="B21" s="425"/>
      <c r="C21" s="551">
        <v>16</v>
      </c>
      <c r="D21" s="742">
        <f>'Energy Inputs'!$D$24</f>
        <v>30</v>
      </c>
      <c r="E21" s="742">
        <f>'Energy NPV'!$D54</f>
        <v>12.54</v>
      </c>
      <c r="F21" s="742">
        <f>'Energy NPV'!$D80</f>
        <v>11.617000000000001</v>
      </c>
      <c r="G21" s="742">
        <f>'Energy NPV'!$D106</f>
        <v>16.3</v>
      </c>
      <c r="H21" s="364"/>
      <c r="I21" s="364"/>
      <c r="J21" s="364"/>
      <c r="K21" s="364"/>
      <c r="L21" s="364"/>
      <c r="M21" s="364"/>
      <c r="N21" s="364"/>
    </row>
    <row r="22" spans="2:14" x14ac:dyDescent="0.3"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4"/>
      <c r="M22" s="364"/>
      <c r="N22" s="364"/>
    </row>
    <row r="23" spans="2:14" x14ac:dyDescent="0.3"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</row>
    <row r="24" spans="2:14" x14ac:dyDescent="0.3">
      <c r="B24" s="496"/>
      <c r="C24" s="425"/>
      <c r="D24" s="504" t="s">
        <v>94</v>
      </c>
      <c r="E24" s="504" t="s">
        <v>95</v>
      </c>
      <c r="F24" s="718" t="s">
        <v>96</v>
      </c>
      <c r="G24" s="718" t="s">
        <v>498</v>
      </c>
      <c r="H24" s="364"/>
      <c r="I24" s="364"/>
      <c r="J24" s="364"/>
      <c r="K24" s="364"/>
      <c r="L24" s="364"/>
      <c r="M24" s="364"/>
      <c r="N24" s="364"/>
    </row>
    <row r="25" spans="2:14" x14ac:dyDescent="0.3">
      <c r="B25" s="712" t="s">
        <v>251</v>
      </c>
      <c r="C25" s="712" t="s">
        <v>468</v>
      </c>
      <c r="D25" s="719">
        <f>'Energy Inputs'!D58</f>
        <v>55</v>
      </c>
      <c r="E25" s="719">
        <f>'Energy Inputs'!E58</f>
        <v>55</v>
      </c>
      <c r="F25" s="719">
        <f>'Energy Inputs'!F58</f>
        <v>55</v>
      </c>
      <c r="G25" s="719">
        <f>'Energy Inputs'!G58</f>
        <v>55</v>
      </c>
      <c r="H25" s="364"/>
      <c r="I25" s="364"/>
      <c r="J25" s="364"/>
      <c r="K25" s="364"/>
      <c r="L25" s="364"/>
      <c r="M25" s="364"/>
      <c r="N25" s="364"/>
    </row>
    <row r="26" spans="2:14" x14ac:dyDescent="0.3"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4"/>
      <c r="M26" s="364"/>
      <c r="N26" s="364"/>
    </row>
    <row r="27" spans="2:14" x14ac:dyDescent="0.3"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2:14" x14ac:dyDescent="0.3">
      <c r="B28" s="712" t="s">
        <v>219</v>
      </c>
      <c r="C28" s="765" t="s">
        <v>460</v>
      </c>
      <c r="D28" s="155">
        <f>'Energy Inputs'!D10</f>
        <v>220</v>
      </c>
      <c r="E28" s="364"/>
      <c r="F28" s="364"/>
      <c r="G28" s="364"/>
      <c r="H28" s="364"/>
      <c r="I28" s="364"/>
      <c r="J28" s="364"/>
      <c r="K28" s="364"/>
      <c r="L28" s="364"/>
      <c r="M28" s="364"/>
      <c r="N28" s="364"/>
    </row>
    <row r="29" spans="2:14" x14ac:dyDescent="0.3"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</row>
    <row r="30" spans="2:14" x14ac:dyDescent="0.3">
      <c r="B30" s="364"/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</row>
    <row r="31" spans="2:14" x14ac:dyDescent="0.3">
      <c r="B31" s="508" t="s">
        <v>82</v>
      </c>
      <c r="C31" s="668"/>
      <c r="D31" s="504" t="s">
        <v>94</v>
      </c>
      <c r="E31" s="504" t="s">
        <v>95</v>
      </c>
      <c r="F31" s="718" t="s">
        <v>96</v>
      </c>
      <c r="G31" s="718" t="s">
        <v>498</v>
      </c>
      <c r="H31" s="364"/>
      <c r="I31" s="364"/>
      <c r="J31" s="364"/>
      <c r="K31" s="364"/>
      <c r="L31" s="364"/>
      <c r="M31" s="364"/>
      <c r="N31" s="364"/>
    </row>
    <row r="32" spans="2:14" x14ac:dyDescent="0.3">
      <c r="B32" s="353" t="s">
        <v>12</v>
      </c>
      <c r="C32" s="354" t="s">
        <v>460</v>
      </c>
      <c r="D32" s="111">
        <f>'Margins summary'!P20</f>
        <v>1642.4049999999997</v>
      </c>
      <c r="E32" s="111">
        <f>'Margins summary'!R20</f>
        <v>1993.8119999999999</v>
      </c>
      <c r="F32" s="111">
        <f>'Margins summary'!T20</f>
        <v>5106.0919999999996</v>
      </c>
      <c r="G32" s="111">
        <f>'Margins summary'!V20</f>
        <v>1992.2819999999999</v>
      </c>
      <c r="H32" s="364"/>
      <c r="I32" s="364"/>
      <c r="J32" s="364"/>
      <c r="K32" s="364"/>
      <c r="L32" s="364"/>
      <c r="M32" s="364"/>
      <c r="N32" s="364"/>
    </row>
    <row r="33" spans="2:14" x14ac:dyDescent="0.3">
      <c r="B33" s="364"/>
      <c r="C33" s="364"/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</row>
    <row r="34" spans="2:14" x14ac:dyDescent="0.3"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N34" s="364"/>
    </row>
    <row r="35" spans="2:14" x14ac:dyDescent="0.3">
      <c r="B35" s="508" t="s">
        <v>88</v>
      </c>
      <c r="C35" s="668"/>
      <c r="H35" s="364"/>
      <c r="I35" s="364"/>
      <c r="J35" s="364"/>
      <c r="K35" s="364"/>
      <c r="L35" s="364"/>
      <c r="M35" s="364"/>
      <c r="N35" s="364"/>
    </row>
    <row r="36" spans="2:14" x14ac:dyDescent="0.3">
      <c r="B36" s="355" t="s">
        <v>12</v>
      </c>
      <c r="C36" s="354" t="s">
        <v>460</v>
      </c>
      <c r="D36" s="504" t="s">
        <v>94</v>
      </c>
      <c r="E36" s="504" t="s">
        <v>95</v>
      </c>
      <c r="F36" s="718" t="s">
        <v>96</v>
      </c>
      <c r="G36" s="718" t="s">
        <v>498</v>
      </c>
      <c r="H36" s="364"/>
      <c r="I36" s="364"/>
      <c r="J36" s="364"/>
      <c r="K36" s="364"/>
      <c r="L36" s="364"/>
      <c r="M36" s="364"/>
      <c r="N36" s="364"/>
    </row>
    <row r="37" spans="2:14" x14ac:dyDescent="0.3">
      <c r="B37" s="364"/>
      <c r="C37" s="715">
        <v>1</v>
      </c>
      <c r="D37" s="740"/>
      <c r="E37" s="107">
        <v>0</v>
      </c>
      <c r="F37" s="107">
        <v>0</v>
      </c>
      <c r="G37" s="107">
        <v>0</v>
      </c>
      <c r="H37" s="364"/>
      <c r="I37" s="364"/>
      <c r="J37" s="364"/>
      <c r="K37" s="364"/>
      <c r="L37" s="364"/>
      <c r="M37" s="364"/>
      <c r="N37" s="364"/>
    </row>
    <row r="38" spans="2:14" x14ac:dyDescent="0.3">
      <c r="B38" s="364"/>
      <c r="C38" s="410">
        <v>2</v>
      </c>
      <c r="D38" s="741"/>
      <c r="E38" s="523">
        <f>'Margins summary'!$S$22</f>
        <v>247.18533333333335</v>
      </c>
      <c r="F38" s="523">
        <f>'Margins summary'!$U$22</f>
        <v>299.50866666666667</v>
      </c>
      <c r="G38" s="523">
        <f>'Margins summary'!$W$22</f>
        <v>388.90700000000004</v>
      </c>
      <c r="H38" s="364"/>
      <c r="I38" s="364"/>
      <c r="J38" s="364"/>
      <c r="K38" s="364"/>
      <c r="L38" s="364"/>
      <c r="M38" s="364"/>
      <c r="N38" s="364"/>
    </row>
    <row r="39" spans="2:14" x14ac:dyDescent="0.3">
      <c r="B39" s="364"/>
      <c r="C39" s="410">
        <v>3</v>
      </c>
      <c r="D39" s="741"/>
      <c r="E39" s="523">
        <f>'Margins summary'!$S$22</f>
        <v>247.18533333333335</v>
      </c>
      <c r="F39" s="523">
        <f>'Margins summary'!$U$22</f>
        <v>299.50866666666667</v>
      </c>
      <c r="G39" s="523">
        <f>'Margins summary'!$W$22</f>
        <v>388.90700000000004</v>
      </c>
      <c r="H39" s="364"/>
      <c r="I39" s="364"/>
      <c r="J39" s="364"/>
      <c r="K39" s="364"/>
      <c r="L39" s="364"/>
      <c r="M39" s="364"/>
      <c r="N39" s="364"/>
    </row>
    <row r="40" spans="2:14" x14ac:dyDescent="0.3">
      <c r="B40" s="364"/>
      <c r="C40" s="410">
        <v>4</v>
      </c>
      <c r="D40" s="301">
        <f>'Margins summary'!$P$22/5</f>
        <v>648.52499999999998</v>
      </c>
      <c r="E40" s="523">
        <f>'Margins summary'!$S$22</f>
        <v>247.18533333333335</v>
      </c>
      <c r="F40" s="523">
        <f>'Margins summary'!$U$22</f>
        <v>299.50866666666667</v>
      </c>
      <c r="G40" s="523">
        <f>'Margins summary'!$W$22</f>
        <v>388.90700000000004</v>
      </c>
      <c r="H40" s="364"/>
      <c r="I40" s="364"/>
      <c r="J40" s="364"/>
      <c r="K40" s="364"/>
      <c r="L40" s="364"/>
      <c r="M40" s="364"/>
      <c r="N40" s="364"/>
    </row>
    <row r="41" spans="2:14" x14ac:dyDescent="0.3">
      <c r="B41" s="364"/>
      <c r="C41" s="410">
        <v>5</v>
      </c>
      <c r="D41" s="741"/>
      <c r="E41" s="523">
        <f>'Margins summary'!$S$22</f>
        <v>247.18533333333335</v>
      </c>
      <c r="F41" s="523">
        <f>'Margins summary'!$U$22</f>
        <v>299.50866666666667</v>
      </c>
      <c r="G41" s="523">
        <f>'Margins summary'!$W$22</f>
        <v>388.90700000000004</v>
      </c>
      <c r="H41" s="364"/>
      <c r="I41" s="364"/>
      <c r="J41" s="364"/>
      <c r="K41" s="364"/>
      <c r="L41" s="364"/>
      <c r="M41" s="364"/>
      <c r="N41" s="364"/>
    </row>
    <row r="42" spans="2:14" x14ac:dyDescent="0.3">
      <c r="B42" s="364"/>
      <c r="C42" s="410">
        <v>6</v>
      </c>
      <c r="D42" s="741"/>
      <c r="E42" s="523">
        <f>'Margins summary'!$S$22</f>
        <v>247.18533333333335</v>
      </c>
      <c r="F42" s="523">
        <f>'Margins summary'!$U$22</f>
        <v>299.50866666666667</v>
      </c>
      <c r="G42" s="523">
        <f>'Margins summary'!$W$22</f>
        <v>388.90700000000004</v>
      </c>
      <c r="H42" s="364"/>
      <c r="I42" s="364"/>
      <c r="J42" s="364"/>
      <c r="K42" s="364"/>
      <c r="L42" s="364"/>
      <c r="M42" s="364"/>
      <c r="N42" s="364"/>
    </row>
    <row r="43" spans="2:14" x14ac:dyDescent="0.3">
      <c r="B43" s="364"/>
      <c r="C43" s="410">
        <v>7</v>
      </c>
      <c r="D43" s="301">
        <f>'Margins summary'!$P$22/5</f>
        <v>648.52499999999998</v>
      </c>
      <c r="E43" s="523">
        <f>'Margins summary'!$S$22</f>
        <v>247.18533333333335</v>
      </c>
      <c r="F43" s="523">
        <f>'Margins summary'!$U$22</f>
        <v>299.50866666666667</v>
      </c>
      <c r="G43" s="523">
        <f>'Margins summary'!$W$22</f>
        <v>388.90700000000004</v>
      </c>
      <c r="H43" s="364"/>
      <c r="I43" s="364"/>
      <c r="J43" s="364"/>
      <c r="K43" s="364"/>
      <c r="L43" s="364"/>
      <c r="M43" s="364"/>
      <c r="N43" s="364"/>
    </row>
    <row r="44" spans="2:14" x14ac:dyDescent="0.3">
      <c r="B44" s="364"/>
      <c r="C44" s="410">
        <v>8</v>
      </c>
      <c r="D44" s="741"/>
      <c r="E44" s="523">
        <f>'Margins summary'!$S$22</f>
        <v>247.18533333333335</v>
      </c>
      <c r="F44" s="523">
        <f>'Margins summary'!$U$22</f>
        <v>299.50866666666667</v>
      </c>
      <c r="G44" s="523">
        <f>'Margins summary'!$W$22</f>
        <v>388.90700000000004</v>
      </c>
      <c r="H44" s="364"/>
      <c r="I44" s="364"/>
      <c r="J44" s="364"/>
      <c r="K44" s="364"/>
      <c r="L44" s="364"/>
      <c r="M44" s="364"/>
      <c r="N44" s="364"/>
    </row>
    <row r="45" spans="2:14" x14ac:dyDescent="0.3">
      <c r="B45" s="364"/>
      <c r="C45" s="410">
        <v>9</v>
      </c>
      <c r="D45" s="741"/>
      <c r="E45" s="523">
        <f>'Margins summary'!$S$22</f>
        <v>247.18533333333335</v>
      </c>
      <c r="F45" s="523">
        <f>'Margins summary'!$U$22</f>
        <v>299.50866666666667</v>
      </c>
      <c r="G45" s="523">
        <f>'Margins summary'!$W$22</f>
        <v>388.90700000000004</v>
      </c>
      <c r="H45" s="364"/>
      <c r="I45" s="364"/>
      <c r="J45" s="364"/>
      <c r="K45" s="364"/>
      <c r="L45" s="364"/>
      <c r="M45" s="364"/>
      <c r="N45" s="364"/>
    </row>
    <row r="46" spans="2:14" x14ac:dyDescent="0.3">
      <c r="B46" s="364"/>
      <c r="C46" s="410">
        <v>10</v>
      </c>
      <c r="D46" s="301">
        <f>'Margins summary'!$P$22/5</f>
        <v>648.52499999999998</v>
      </c>
      <c r="E46" s="523">
        <f>'Margins summary'!$S$22</f>
        <v>247.18533333333335</v>
      </c>
      <c r="F46" s="523">
        <f>'Margins summary'!$U$22</f>
        <v>299.50866666666667</v>
      </c>
      <c r="G46" s="523">
        <f>'Margins summary'!$W$22</f>
        <v>388.90700000000004</v>
      </c>
      <c r="H46" s="364"/>
      <c r="I46" s="364"/>
      <c r="J46" s="364"/>
      <c r="K46" s="364"/>
      <c r="L46" s="364"/>
      <c r="M46" s="364"/>
      <c r="N46" s="364"/>
    </row>
    <row r="47" spans="2:14" x14ac:dyDescent="0.3">
      <c r="B47" s="364"/>
      <c r="C47" s="410">
        <v>11</v>
      </c>
      <c r="D47" s="105"/>
      <c r="E47" s="523">
        <f>'Margins summary'!$S$22</f>
        <v>247.18533333333335</v>
      </c>
      <c r="F47" s="523">
        <f>'Margins summary'!$U$22</f>
        <v>299.50866666666667</v>
      </c>
      <c r="G47" s="523">
        <f>'Margins summary'!$W$22</f>
        <v>388.90700000000004</v>
      </c>
      <c r="H47" s="364"/>
      <c r="I47" s="364"/>
      <c r="J47" s="364"/>
      <c r="K47" s="364"/>
      <c r="L47" s="364"/>
      <c r="M47" s="364"/>
      <c r="N47" s="364"/>
    </row>
    <row r="48" spans="2:14" x14ac:dyDescent="0.3">
      <c r="B48" s="364"/>
      <c r="C48" s="410">
        <v>12</v>
      </c>
      <c r="D48" s="741"/>
      <c r="E48" s="523">
        <f>'Margins summary'!$S$22</f>
        <v>247.18533333333335</v>
      </c>
      <c r="F48" s="523">
        <f>'Margins summary'!$U$22</f>
        <v>299.50866666666667</v>
      </c>
      <c r="G48" s="523">
        <f>'Margins summary'!$W$22</f>
        <v>388.90700000000004</v>
      </c>
      <c r="H48" s="364"/>
      <c r="I48" s="364"/>
      <c r="J48" s="364"/>
      <c r="K48" s="364"/>
      <c r="L48" s="364"/>
      <c r="M48" s="364"/>
      <c r="N48" s="364"/>
    </row>
    <row r="49" spans="2:14" x14ac:dyDescent="0.3">
      <c r="B49" s="364"/>
      <c r="C49" s="410">
        <v>13</v>
      </c>
      <c r="D49" s="301">
        <f>'Margins summary'!$P$22/5</f>
        <v>648.52499999999998</v>
      </c>
      <c r="E49" s="523">
        <f>'Margins summary'!$S$22</f>
        <v>247.18533333333335</v>
      </c>
      <c r="F49" s="523">
        <f>'Margins summary'!$U$22</f>
        <v>299.50866666666667</v>
      </c>
      <c r="G49" s="523">
        <f>'Margins summary'!$W$22</f>
        <v>388.90700000000004</v>
      </c>
      <c r="H49" s="364"/>
      <c r="I49" s="364"/>
      <c r="J49" s="364"/>
      <c r="K49" s="364"/>
      <c r="L49" s="364"/>
      <c r="M49" s="364"/>
      <c r="N49" s="364"/>
    </row>
    <row r="50" spans="2:14" x14ac:dyDescent="0.3">
      <c r="B50" s="364"/>
      <c r="C50" s="410">
        <v>14</v>
      </c>
      <c r="D50" s="105"/>
      <c r="E50" s="523">
        <f>'Margins summary'!$S$22</f>
        <v>247.18533333333335</v>
      </c>
      <c r="F50" s="523">
        <f>'Margins summary'!$U$22</f>
        <v>299.50866666666667</v>
      </c>
      <c r="G50" s="523">
        <f>'Margins summary'!$W$22</f>
        <v>388.90700000000004</v>
      </c>
      <c r="H50" s="364"/>
      <c r="I50" s="364"/>
      <c r="J50" s="364"/>
      <c r="K50" s="364"/>
      <c r="L50" s="364"/>
      <c r="M50" s="364"/>
      <c r="N50" s="364"/>
    </row>
    <row r="51" spans="2:14" x14ac:dyDescent="0.3">
      <c r="B51" s="364"/>
      <c r="C51" s="410">
        <v>15</v>
      </c>
      <c r="D51" s="741"/>
      <c r="E51" s="523">
        <f>'Margins summary'!$S$22</f>
        <v>247.18533333333335</v>
      </c>
      <c r="F51" s="523">
        <f>'Margins summary'!$U$22</f>
        <v>299.50866666666667</v>
      </c>
      <c r="G51" s="523">
        <f>'Margins summary'!$W$22</f>
        <v>388.90700000000004</v>
      </c>
      <c r="H51" s="364"/>
      <c r="I51" s="364"/>
      <c r="J51" s="364"/>
      <c r="K51" s="364"/>
      <c r="L51" s="364"/>
      <c r="M51" s="364"/>
      <c r="N51" s="364"/>
    </row>
    <row r="52" spans="2:14" x14ac:dyDescent="0.3">
      <c r="B52" s="364"/>
      <c r="C52" s="551">
        <v>16</v>
      </c>
      <c r="D52" s="299">
        <f>'Margins summary'!$P$22/5</f>
        <v>648.52499999999998</v>
      </c>
      <c r="E52" s="527">
        <f>'Margins summary'!$S$22</f>
        <v>247.18533333333335</v>
      </c>
      <c r="F52" s="527">
        <f>'Margins summary'!$U$22</f>
        <v>299.50866666666667</v>
      </c>
      <c r="G52" s="527">
        <f>'Margins summary'!$W$22</f>
        <v>388.90700000000004</v>
      </c>
      <c r="H52" s="364"/>
      <c r="I52" s="364"/>
      <c r="J52" s="364"/>
      <c r="K52" s="364"/>
      <c r="L52" s="364"/>
      <c r="M52" s="364"/>
      <c r="N52" s="364"/>
    </row>
    <row r="53" spans="2:14" x14ac:dyDescent="0.3"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</row>
    <row r="54" spans="2:14" x14ac:dyDescent="0.3">
      <c r="B54" s="364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</row>
    <row r="55" spans="2:14" x14ac:dyDescent="0.3">
      <c r="B55" s="508" t="s">
        <v>266</v>
      </c>
      <c r="C55" s="668"/>
      <c r="D55" s="504" t="s">
        <v>94</v>
      </c>
      <c r="E55" s="504" t="s">
        <v>95</v>
      </c>
      <c r="F55" s="718" t="s">
        <v>96</v>
      </c>
      <c r="G55" s="718" t="s">
        <v>498</v>
      </c>
      <c r="H55" s="364"/>
      <c r="I55" s="364"/>
      <c r="J55" s="364"/>
      <c r="K55" s="364"/>
      <c r="L55" s="364"/>
      <c r="M55" s="364"/>
      <c r="N55" s="364"/>
    </row>
    <row r="56" spans="2:14" x14ac:dyDescent="0.3">
      <c r="B56" s="355" t="s">
        <v>12</v>
      </c>
      <c r="C56" s="354" t="s">
        <v>460</v>
      </c>
      <c r="D56" s="100">
        <f>'Energy margins'!J67</f>
        <v>170</v>
      </c>
      <c r="E56" s="100">
        <f>'Energy margins'!Q67</f>
        <v>170</v>
      </c>
      <c r="F56" s="100">
        <f>'Energy margins'!X67</f>
        <v>170</v>
      </c>
      <c r="G56" s="100">
        <f>'Energy margins'!AE67</f>
        <v>170</v>
      </c>
      <c r="H56" s="364"/>
      <c r="I56" s="364"/>
      <c r="J56" s="364"/>
      <c r="K56" s="364"/>
      <c r="L56" s="364"/>
      <c r="M56" s="364"/>
      <c r="N56" s="364"/>
    </row>
    <row r="57" spans="2:14" x14ac:dyDescent="0.3">
      <c r="B57" s="364"/>
      <c r="C57" s="364"/>
      <c r="D57" s="119"/>
      <c r="E57" s="119"/>
      <c r="F57" s="119"/>
      <c r="G57" s="119"/>
      <c r="H57" s="364"/>
      <c r="I57" s="364"/>
      <c r="J57" s="364"/>
      <c r="K57" s="364"/>
      <c r="L57" s="364"/>
      <c r="M57" s="364"/>
      <c r="N57" s="364"/>
    </row>
    <row r="58" spans="2:14" x14ac:dyDescent="0.3"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</row>
    <row r="59" spans="2:14" x14ac:dyDescent="0.3">
      <c r="B59" s="364"/>
      <c r="C59" s="508" t="s">
        <v>482</v>
      </c>
      <c r="D59" s="667"/>
      <c r="E59" s="667"/>
      <c r="F59" s="667"/>
      <c r="G59" s="668"/>
      <c r="H59" s="364"/>
      <c r="I59" s="508" t="s">
        <v>483</v>
      </c>
      <c r="J59" s="667"/>
      <c r="K59" s="667"/>
      <c r="L59" s="667"/>
      <c r="M59" s="668"/>
      <c r="N59" s="364"/>
    </row>
    <row r="60" spans="2:14" x14ac:dyDescent="0.3">
      <c r="B60" s="356"/>
      <c r="C60" s="554"/>
      <c r="D60" s="504" t="s">
        <v>94</v>
      </c>
      <c r="E60" s="504" t="s">
        <v>95</v>
      </c>
      <c r="F60" s="718" t="s">
        <v>96</v>
      </c>
      <c r="G60" s="718" t="s">
        <v>498</v>
      </c>
      <c r="H60" s="364"/>
      <c r="I60" s="554"/>
      <c r="J60" s="504" t="s">
        <v>94</v>
      </c>
      <c r="K60" s="504" t="s">
        <v>95</v>
      </c>
      <c r="L60" s="718" t="s">
        <v>96</v>
      </c>
      <c r="M60" s="718" t="s">
        <v>498</v>
      </c>
      <c r="N60" s="364"/>
    </row>
    <row r="61" spans="2:14" x14ac:dyDescent="0.3">
      <c r="B61" s="364"/>
      <c r="C61" s="715">
        <v>1</v>
      </c>
      <c r="D61" s="549">
        <f>'Energy NPV'!AC13</f>
        <v>-1642.4049999999997</v>
      </c>
      <c r="E61" s="549">
        <f>'Energy NPV'!AC39</f>
        <v>-1960.8119999999999</v>
      </c>
      <c r="F61" s="549">
        <f>'Energy NPV'!AC65</f>
        <v>-4993.525333333333</v>
      </c>
      <c r="G61" s="549">
        <f>'Energy NPV'!AC91</f>
        <v>-1992.2819999999999</v>
      </c>
      <c r="H61" s="364"/>
      <c r="I61" s="715">
        <v>1</v>
      </c>
      <c r="J61" s="549">
        <f>'Energy NPV'!AD13</f>
        <v>-1422.4049999999997</v>
      </c>
      <c r="K61" s="549">
        <f>'Energy NPV'!AD39</f>
        <v>-1740.8119999999999</v>
      </c>
      <c r="L61" s="549">
        <f>'Energy NPV'!AD65</f>
        <v>-4773.525333333333</v>
      </c>
      <c r="M61" s="549">
        <f>'Energy NPV'!AD91</f>
        <v>-1772.2819999999999</v>
      </c>
      <c r="N61" s="364"/>
    </row>
    <row r="62" spans="2:14" x14ac:dyDescent="0.3">
      <c r="B62" s="364"/>
      <c r="C62" s="410">
        <v>2</v>
      </c>
      <c r="D62" s="550">
        <f>'Energy NPV'!AC14</f>
        <v>-134.90384615384616</v>
      </c>
      <c r="E62" s="550">
        <f>'Energy NPV'!AC40</f>
        <v>-113.68942307692299</v>
      </c>
      <c r="F62" s="550">
        <f>'Energy NPV'!AC66</f>
        <v>15.199999999999992</v>
      </c>
      <c r="G62" s="550">
        <f>'Energy NPV'!AC92</f>
        <v>15.914743589743697</v>
      </c>
      <c r="H62" s="364"/>
      <c r="I62" s="410">
        <v>2</v>
      </c>
      <c r="J62" s="550">
        <f>'Energy NPV'!AD14</f>
        <v>76.634615384615358</v>
      </c>
      <c r="K62" s="550">
        <f>'Energy NPV'!AD40</f>
        <v>97.849038461538527</v>
      </c>
      <c r="L62" s="550">
        <f>'Energy NPV'!AD66</f>
        <v>226.73846153846148</v>
      </c>
      <c r="M62" s="550">
        <f>'Energy NPV'!AD92</f>
        <v>227.45320512820524</v>
      </c>
      <c r="N62" s="364"/>
    </row>
    <row r="63" spans="2:14" x14ac:dyDescent="0.3">
      <c r="B63" s="364"/>
      <c r="C63" s="410">
        <v>3</v>
      </c>
      <c r="D63" s="550">
        <f>'Energy NPV'!AC15</f>
        <v>-129.71523668639054</v>
      </c>
      <c r="E63" s="550">
        <f>'Energy NPV'!AC41</f>
        <v>255.53624260355019</v>
      </c>
      <c r="F63" s="550">
        <f>'Energy NPV'!AC67</f>
        <v>149.70845660749509</v>
      </c>
      <c r="G63" s="550">
        <f>'Energy NPV'!AC93</f>
        <v>257.69045857988181</v>
      </c>
      <c r="H63" s="364"/>
      <c r="I63" s="410">
        <v>3</v>
      </c>
      <c r="J63" s="550">
        <f>'Energy NPV'!AD15</f>
        <v>73.687130177514774</v>
      </c>
      <c r="K63" s="550">
        <f>'Energy NPV'!AD41</f>
        <v>458.93860946745554</v>
      </c>
      <c r="L63" s="550">
        <f>'Energy NPV'!AD67</f>
        <v>353.11082347140041</v>
      </c>
      <c r="M63" s="550">
        <f>'Energy NPV'!AD93</f>
        <v>461.09282544378698</v>
      </c>
      <c r="N63" s="364"/>
    </row>
    <row r="64" spans="2:14" x14ac:dyDescent="0.3">
      <c r="B64" s="364"/>
      <c r="C64" s="410">
        <v>4</v>
      </c>
      <c r="D64" s="550">
        <f>'Energy NPV'!AC16</f>
        <v>940.19810394856609</v>
      </c>
      <c r="E64" s="550">
        <f>'Energy NPV'!AC42</f>
        <v>405.282771961766</v>
      </c>
      <c r="F64" s="550">
        <f>'Energy NPV'!AC68</f>
        <v>320.83256286982248</v>
      </c>
      <c r="G64" s="550">
        <f>'Energy NPV'!AC94</f>
        <v>441.43232722652095</v>
      </c>
      <c r="H64" s="364"/>
      <c r="I64" s="410">
        <v>4</v>
      </c>
      <c r="J64" s="550">
        <f>'Energy NPV'!AD16</f>
        <v>1135.7773028561674</v>
      </c>
      <c r="K64" s="550">
        <f>'Energy NPV'!AD42</f>
        <v>600.86197086936727</v>
      </c>
      <c r="L64" s="550">
        <f>'Energy NPV'!AD68</f>
        <v>516.41176177742375</v>
      </c>
      <c r="M64" s="550">
        <f>'Energy NPV'!AD94</f>
        <v>637.01152613412239</v>
      </c>
      <c r="N64" s="364"/>
    </row>
    <row r="65" spans="2:14" x14ac:dyDescent="0.3">
      <c r="B65" s="364"/>
      <c r="C65" s="410">
        <v>5</v>
      </c>
      <c r="D65" s="550">
        <f>'Energy NPV'!AC17</f>
        <v>0</v>
      </c>
      <c r="E65" s="550">
        <f>'Energy NPV'!AC43</f>
        <v>389.69497304015954</v>
      </c>
      <c r="F65" s="550">
        <f>'Energy NPV'!AC69</f>
        <v>308.4928489132908</v>
      </c>
      <c r="G65" s="550">
        <f>'Energy NPV'!AC95</f>
        <v>451.09555808182478</v>
      </c>
      <c r="H65" s="364"/>
      <c r="I65" s="410">
        <v>5</v>
      </c>
      <c r="J65" s="550">
        <f>'Energy NPV'!AD17</f>
        <v>188.05692202653967</v>
      </c>
      <c r="K65" s="550">
        <f>'Energy NPV'!AD43</f>
        <v>577.75189506669926</v>
      </c>
      <c r="L65" s="550">
        <f>'Energy NPV'!AD69</f>
        <v>496.54977093983047</v>
      </c>
      <c r="M65" s="550">
        <f>'Energy NPV'!AD95</f>
        <v>639.15248010836444</v>
      </c>
      <c r="N65" s="364"/>
    </row>
    <row r="66" spans="2:14" x14ac:dyDescent="0.3">
      <c r="B66" s="364"/>
      <c r="C66" s="410">
        <v>6</v>
      </c>
      <c r="D66" s="550">
        <f>'Energy NPV'!AC18</f>
        <v>0</v>
      </c>
      <c r="E66" s="550">
        <f>'Energy NPV'!AC44</f>
        <v>374.70670484630728</v>
      </c>
      <c r="F66" s="550">
        <f>'Energy NPV'!AC70</f>
        <v>296.62773933970266</v>
      </c>
      <c r="G66" s="550">
        <f>'Energy NPV'!AC96</f>
        <v>433.74572892483144</v>
      </c>
      <c r="H66" s="364"/>
      <c r="I66" s="410">
        <v>6</v>
      </c>
      <c r="J66" s="550">
        <f>'Energy NPV'!AD18</f>
        <v>180.82396348705734</v>
      </c>
      <c r="K66" s="550">
        <f>'Energy NPV'!AD44</f>
        <v>555.53066833336459</v>
      </c>
      <c r="L66" s="550">
        <f>'Energy NPV'!AD70</f>
        <v>477.45170282676003</v>
      </c>
      <c r="M66" s="550">
        <f>'Energy NPV'!AD96</f>
        <v>614.56969241188881</v>
      </c>
      <c r="N66" s="364"/>
    </row>
    <row r="67" spans="2:14" x14ac:dyDescent="0.3">
      <c r="B67" s="364"/>
      <c r="C67" s="410">
        <v>7</v>
      </c>
      <c r="D67" s="550">
        <f>'Energy NPV'!AC19</f>
        <v>835.83269083957362</v>
      </c>
      <c r="E67" s="550">
        <f>'Energy NPV'!AC45</f>
        <v>360.29490850606459</v>
      </c>
      <c r="F67" s="550">
        <f>'Energy NPV'!AC71</f>
        <v>285.21898013432951</v>
      </c>
      <c r="G67" s="550">
        <f>'Energy NPV'!AC97</f>
        <v>417.063200889261</v>
      </c>
      <c r="H67" s="364"/>
      <c r="I67" s="410">
        <v>7</v>
      </c>
      <c r="J67" s="550">
        <f>'Energy NPV'!AD19</f>
        <v>1009.7018865002057</v>
      </c>
      <c r="K67" s="550">
        <f>'Energy NPV'!AD45</f>
        <v>534.16410416669669</v>
      </c>
      <c r="L67" s="550">
        <f>'Energy NPV'!AD71</f>
        <v>459.08817579496156</v>
      </c>
      <c r="M67" s="550">
        <f>'Energy NPV'!AD97</f>
        <v>590.93239654989304</v>
      </c>
      <c r="N67" s="364"/>
    </row>
    <row r="68" spans="2:14" x14ac:dyDescent="0.3">
      <c r="B68" s="364"/>
      <c r="C68" s="410">
        <v>8</v>
      </c>
      <c r="D68" s="550">
        <f>'Energy NPV'!AC20</f>
        <v>0</v>
      </c>
      <c r="E68" s="550">
        <f>'Energy NPV'!AC46</f>
        <v>346.43741202506209</v>
      </c>
      <c r="F68" s="550">
        <f>'Energy NPV'!AC72</f>
        <v>274.24901935993222</v>
      </c>
      <c r="G68" s="550">
        <f>'Energy NPV'!AC98</f>
        <v>401.02230854736638</v>
      </c>
      <c r="H68" s="364"/>
      <c r="I68" s="410">
        <v>8</v>
      </c>
      <c r="J68" s="550">
        <f>'Energy NPV'!AD20</f>
        <v>167.18191890445391</v>
      </c>
      <c r="K68" s="550">
        <f>'Energy NPV'!AD46</f>
        <v>513.61933092951597</v>
      </c>
      <c r="L68" s="550">
        <f>'Energy NPV'!AD72</f>
        <v>441.43093826438616</v>
      </c>
      <c r="M68" s="550">
        <f>'Energy NPV'!AD98</f>
        <v>568.20422745182032</v>
      </c>
      <c r="N68" s="364"/>
    </row>
    <row r="69" spans="2:14" x14ac:dyDescent="0.3">
      <c r="B69" s="364"/>
      <c r="C69" s="410">
        <v>9</v>
      </c>
      <c r="D69" s="550">
        <f>'Energy NPV'!AC21</f>
        <v>0</v>
      </c>
      <c r="E69" s="550">
        <f>'Energy NPV'!AC47</f>
        <v>333.11289617794432</v>
      </c>
      <c r="F69" s="550">
        <f>'Energy NPV'!AC73</f>
        <v>263.70098015378096</v>
      </c>
      <c r="G69" s="550">
        <f>'Energy NPV'!AC99</f>
        <v>385.59837360323684</v>
      </c>
      <c r="H69" s="364"/>
      <c r="I69" s="410">
        <v>9</v>
      </c>
      <c r="J69" s="550">
        <f>'Energy NPV'!AD21</f>
        <v>160.75184510043644</v>
      </c>
      <c r="K69" s="550">
        <f>'Energy NPV'!AD47</f>
        <v>493.86474127838073</v>
      </c>
      <c r="L69" s="550">
        <f>'Energy NPV'!AD73</f>
        <v>424.45282525421737</v>
      </c>
      <c r="M69" s="550">
        <f>'Energy NPV'!AD99</f>
        <v>546.35021870367325</v>
      </c>
      <c r="N69" s="364"/>
    </row>
    <row r="70" spans="2:14" x14ac:dyDescent="0.3">
      <c r="B70" s="364"/>
      <c r="C70" s="410">
        <v>10</v>
      </c>
      <c r="D70" s="550">
        <f>'Energy NPV'!AC22</f>
        <v>743.05221861449331</v>
      </c>
      <c r="E70" s="550">
        <f>'Energy NPV'!AC48</f>
        <v>320.30086170956179</v>
      </c>
      <c r="F70" s="550">
        <f>'Energy NPV'!AC74</f>
        <v>253.55863476325089</v>
      </c>
      <c r="G70" s="550">
        <f>'Energy NPV'!AC100</f>
        <v>370.76766692618924</v>
      </c>
      <c r="H70" s="364"/>
      <c r="I70" s="410">
        <v>10</v>
      </c>
      <c r="J70" s="550">
        <f>'Energy NPV'!AD22</f>
        <v>897.62130044183596</v>
      </c>
      <c r="K70" s="550">
        <f>'Energy NPV'!AD48</f>
        <v>474.86994353690449</v>
      </c>
      <c r="L70" s="550">
        <f>'Energy NPV'!AD74</f>
        <v>408.12771659059359</v>
      </c>
      <c r="M70" s="550">
        <f>'Energy NPV'!AD100</f>
        <v>525.33674875353199</v>
      </c>
      <c r="N70" s="364"/>
    </row>
    <row r="71" spans="2:14" x14ac:dyDescent="0.3">
      <c r="B71" s="364"/>
      <c r="C71" s="410">
        <v>11</v>
      </c>
      <c r="D71" s="550">
        <f>'Energy NPV'!AC23</f>
        <v>0</v>
      </c>
      <c r="E71" s="550">
        <f>'Energy NPV'!AC49</f>
        <v>307.98159779765558</v>
      </c>
      <c r="F71" s="550">
        <f>'Energy NPV'!AC75</f>
        <v>243.80637958004894</v>
      </c>
      <c r="G71" s="550">
        <f>'Energy NPV'!AC101</f>
        <v>356.50737204441276</v>
      </c>
      <c r="H71" s="364"/>
      <c r="I71" s="410">
        <v>11</v>
      </c>
      <c r="J71" s="550">
        <f>'Energy NPV'!AD23</f>
        <v>148.62411714167567</v>
      </c>
      <c r="K71" s="550">
        <f>'Energy NPV'!AD49</f>
        <v>456.60571493933128</v>
      </c>
      <c r="L71" s="550">
        <f>'Energy NPV'!AD75</f>
        <v>392.43049672172464</v>
      </c>
      <c r="M71" s="550">
        <f>'Energy NPV'!AD101</f>
        <v>505.1314891860884</v>
      </c>
      <c r="N71" s="364"/>
    </row>
    <row r="72" spans="2:14" x14ac:dyDescent="0.3">
      <c r="B72" s="364"/>
      <c r="C72" s="410">
        <v>12</v>
      </c>
      <c r="D72" s="550">
        <f>'Energy NPV'!AC24</f>
        <v>0</v>
      </c>
      <c r="E72" s="550">
        <f>'Energy NPV'!AC50</f>
        <v>296.13615172851502</v>
      </c>
      <c r="F72" s="550">
        <f>'Energy NPV'!AC76</f>
        <v>234.42921113466247</v>
      </c>
      <c r="G72" s="550">
        <f>'Energy NPV'!AC102</f>
        <v>342.79555004270458</v>
      </c>
      <c r="H72" s="364"/>
      <c r="I72" s="410">
        <v>12</v>
      </c>
      <c r="J72" s="550">
        <f>'Energy NPV'!AD24</f>
        <v>142.90780494391893</v>
      </c>
      <c r="K72" s="550">
        <f>'Energy NPV'!AD50</f>
        <v>439.04395667243398</v>
      </c>
      <c r="L72" s="550">
        <f>'Energy NPV'!AD76</f>
        <v>377.33701607858137</v>
      </c>
      <c r="M72" s="550">
        <f>'Energy NPV'!AD102</f>
        <v>485.70335498662354</v>
      </c>
      <c r="N72" s="364"/>
    </row>
    <row r="73" spans="2:14" x14ac:dyDescent="0.3">
      <c r="B73" s="364"/>
      <c r="C73" s="410">
        <v>13</v>
      </c>
      <c r="D73" s="550">
        <f>'Energy NPV'!AC25</f>
        <v>660.57071665062904</v>
      </c>
      <c r="E73" s="550">
        <f>'Energy NPV'!AC51</f>
        <v>284.74629973895662</v>
      </c>
      <c r="F73" s="550">
        <f>'Energy NPV'!AC77</f>
        <v>225.41270301409847</v>
      </c>
      <c r="G73" s="550">
        <f>'Energy NPV'!AC103</f>
        <v>329.61110581029277</v>
      </c>
      <c r="H73" s="364"/>
      <c r="I73" s="410">
        <v>13</v>
      </c>
      <c r="J73" s="550">
        <f>'Energy NPV'!AD25</f>
        <v>797.98206755824333</v>
      </c>
      <c r="K73" s="550">
        <f>'Energy NPV'!AD51</f>
        <v>422.15765064657091</v>
      </c>
      <c r="L73" s="550">
        <f>'Energy NPV'!AD77</f>
        <v>362.82405392171279</v>
      </c>
      <c r="M73" s="550">
        <f>'Energy NPV'!AD103</f>
        <v>467.02245671790712</v>
      </c>
      <c r="N73" s="364"/>
    </row>
    <row r="74" spans="2:14" x14ac:dyDescent="0.3">
      <c r="B74" s="364"/>
      <c r="C74" s="410">
        <v>14</v>
      </c>
      <c r="D74" s="550">
        <f>'Energy NPV'!AC26</f>
        <v>0</v>
      </c>
      <c r="E74" s="550">
        <f>'Energy NPV'!AC52</f>
        <v>273.79451897976605</v>
      </c>
      <c r="F74" s="550">
        <f>'Energy NPV'!AC78</f>
        <v>216.74298366740237</v>
      </c>
      <c r="G74" s="550">
        <f>'Energy NPV'!AC104</f>
        <v>316.93375558681998</v>
      </c>
      <c r="H74" s="364"/>
      <c r="I74" s="410">
        <v>14</v>
      </c>
      <c r="J74" s="550">
        <f>'Energy NPV'!AD26</f>
        <v>132.12629894962916</v>
      </c>
      <c r="K74" s="550">
        <f>'Energy NPV'!AD52</f>
        <v>405.92081792939518</v>
      </c>
      <c r="L74" s="550">
        <f>'Energy NPV'!AD78</f>
        <v>348.8692826170315</v>
      </c>
      <c r="M74" s="550">
        <f>'Energy NPV'!AD104</f>
        <v>449.06005453644912</v>
      </c>
      <c r="N74" s="364"/>
    </row>
    <row r="75" spans="2:14" x14ac:dyDescent="0.3">
      <c r="B75" s="364"/>
      <c r="C75" s="410">
        <v>15</v>
      </c>
      <c r="D75" s="550">
        <f>'Energy NPV'!AC27</f>
        <v>0</v>
      </c>
      <c r="E75" s="550">
        <f>'Energy NPV'!AC53</f>
        <v>263.26396055746739</v>
      </c>
      <c r="F75" s="550">
        <f>'Energy NPV'!AC79</f>
        <v>208.40671506480996</v>
      </c>
      <c r="G75" s="550">
        <f>'Energy NPV'!AC105</f>
        <v>304.74399575655769</v>
      </c>
      <c r="H75" s="364"/>
      <c r="I75" s="410">
        <v>15</v>
      </c>
      <c r="J75" s="550">
        <f>'Energy NPV'!AD27</f>
        <v>127.04451822079727</v>
      </c>
      <c r="K75" s="550">
        <f>'Energy NPV'!AD53</f>
        <v>390.30847877826466</v>
      </c>
      <c r="L75" s="550">
        <f>'Energy NPV'!AD79</f>
        <v>335.45123328560726</v>
      </c>
      <c r="M75" s="550">
        <f>'Energy NPV'!AD105</f>
        <v>431.78851397735497</v>
      </c>
      <c r="N75" s="364"/>
    </row>
    <row r="76" spans="2:14" x14ac:dyDescent="0.3">
      <c r="B76" s="364"/>
      <c r="C76" s="551">
        <v>16</v>
      </c>
      <c r="D76" s="557">
        <f>'Energy NPV'!AC28</f>
        <v>492.84999628578913</v>
      </c>
      <c r="E76" s="557">
        <f>'Energy NPV'!AC54</f>
        <v>158.74345815169264</v>
      </c>
      <c r="F76" s="557">
        <f>'Energy NPV'!AC80</f>
        <v>105.99610671644518</v>
      </c>
      <c r="G76" s="557">
        <f>'Energy NPV'!AC106</f>
        <v>198.62810738158723</v>
      </c>
      <c r="H76" s="364"/>
      <c r="I76" s="551">
        <v>16</v>
      </c>
      <c r="J76" s="557">
        <f>'Energy NPV'!AD28</f>
        <v>615.00818688270965</v>
      </c>
      <c r="K76" s="557">
        <f>'Energy NPV'!AD54</f>
        <v>280.90164874861307</v>
      </c>
      <c r="L76" s="557">
        <f>'Energy NPV'!AD80</f>
        <v>228.15429731336565</v>
      </c>
      <c r="M76" s="557">
        <f>'Energy NPV'!AD106</f>
        <v>320.78629797850766</v>
      </c>
      <c r="N76" s="364"/>
    </row>
    <row r="77" spans="2:14" x14ac:dyDescent="0.3">
      <c r="B77" s="364"/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4"/>
    </row>
    <row r="78" spans="2:14" x14ac:dyDescent="0.3">
      <c r="B78" s="364"/>
      <c r="C78" s="364"/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</row>
    <row r="79" spans="2:14" x14ac:dyDescent="0.3">
      <c r="B79" s="364"/>
      <c r="C79" s="508" t="s">
        <v>484</v>
      </c>
      <c r="D79" s="667"/>
      <c r="E79" s="667"/>
      <c r="F79" s="667"/>
      <c r="G79" s="668"/>
      <c r="H79" s="364"/>
      <c r="I79" s="508" t="s">
        <v>482</v>
      </c>
      <c r="J79" s="667"/>
      <c r="K79" s="667"/>
      <c r="L79" s="667"/>
      <c r="M79" s="668"/>
      <c r="N79" s="364"/>
    </row>
    <row r="80" spans="2:14" x14ac:dyDescent="0.3">
      <c r="B80" s="364"/>
      <c r="C80" s="716"/>
      <c r="D80" s="504" t="s">
        <v>94</v>
      </c>
      <c r="E80" s="504" t="s">
        <v>95</v>
      </c>
      <c r="F80" s="718" t="s">
        <v>96</v>
      </c>
      <c r="G80" s="718" t="s">
        <v>498</v>
      </c>
      <c r="H80" s="364"/>
      <c r="I80" s="716"/>
      <c r="J80" s="504" t="s">
        <v>94</v>
      </c>
      <c r="K80" s="504" t="s">
        <v>95</v>
      </c>
      <c r="L80" s="718" t="s">
        <v>96</v>
      </c>
      <c r="M80" s="718" t="s">
        <v>498</v>
      </c>
      <c r="N80" s="364"/>
    </row>
    <row r="81" spans="2:14" x14ac:dyDescent="0.3">
      <c r="B81" s="364"/>
      <c r="C81" s="715">
        <v>1</v>
      </c>
      <c r="D81" s="549">
        <f>'Energy NPV'!AH13</f>
        <v>-1642.4049999999997</v>
      </c>
      <c r="E81" s="549">
        <f>'Energy NPV'!AH39</f>
        <v>-1960.8119999999999</v>
      </c>
      <c r="F81" s="549">
        <f>'Energy NPV'!AH65</f>
        <v>-4993.525333333333</v>
      </c>
      <c r="G81" s="549">
        <f>'Energy NPV'!AH91</f>
        <v>-1992.2819999999999</v>
      </c>
      <c r="H81" s="364"/>
      <c r="I81" s="715">
        <v>1</v>
      </c>
      <c r="J81" s="549">
        <f>'Energy NPV'!AI13</f>
        <v>-1422.4049999999997</v>
      </c>
      <c r="K81" s="549">
        <f>'Energy NPV'!AI39</f>
        <v>-1740.8119999999999</v>
      </c>
      <c r="L81" s="549">
        <f>'Energy NPV'!AI65</f>
        <v>-4773.525333333333</v>
      </c>
      <c r="M81" s="549">
        <f>'Energy NPV'!AI91</f>
        <v>-1772.2819999999999</v>
      </c>
      <c r="N81" s="364"/>
    </row>
    <row r="82" spans="2:14" x14ac:dyDescent="0.3">
      <c r="B82" s="364"/>
      <c r="C82" s="410">
        <v>2</v>
      </c>
      <c r="D82" s="550">
        <f>'Energy NPV'!AH14</f>
        <v>-1777.3088461538459</v>
      </c>
      <c r="E82" s="550">
        <f>'Energy NPV'!AH40</f>
        <v>-2074.5014230769229</v>
      </c>
      <c r="F82" s="550">
        <f>'Energy NPV'!AH66</f>
        <v>-4978.3253333333332</v>
      </c>
      <c r="G82" s="550">
        <f>'Energy NPV'!AH92</f>
        <v>-1976.3672564102562</v>
      </c>
      <c r="H82" s="364"/>
      <c r="I82" s="410">
        <v>2</v>
      </c>
      <c r="J82" s="550">
        <f>'Energy NPV'!AI14</f>
        <v>-1345.7703846153845</v>
      </c>
      <c r="K82" s="550">
        <f>'Energy NPV'!AI40</f>
        <v>-1642.9629615384613</v>
      </c>
      <c r="L82" s="550">
        <f>'Energy NPV'!AI66</f>
        <v>-4546.7868717948713</v>
      </c>
      <c r="M82" s="550">
        <f>'Energy NPV'!AI92</f>
        <v>-1544.8287948717948</v>
      </c>
      <c r="N82" s="364"/>
    </row>
    <row r="83" spans="2:14" x14ac:dyDescent="0.3">
      <c r="B83" s="364"/>
      <c r="C83" s="410">
        <v>3</v>
      </c>
      <c r="D83" s="550">
        <f>'Energy NPV'!AH15</f>
        <v>-1907.0240828402366</v>
      </c>
      <c r="E83" s="550">
        <f>'Energy NPV'!AH41</f>
        <v>-1818.9651804733728</v>
      </c>
      <c r="F83" s="550">
        <f>'Energy NPV'!AH67</f>
        <v>-4828.6168767258378</v>
      </c>
      <c r="G83" s="550">
        <f>'Energy NPV'!AH93</f>
        <v>-1718.6767978303744</v>
      </c>
      <c r="H83" s="364"/>
      <c r="I83" s="410">
        <v>3</v>
      </c>
      <c r="J83" s="550">
        <f>'Energy NPV'!AI15</f>
        <v>-1272.0832544378698</v>
      </c>
      <c r="K83" s="550">
        <f>'Energy NPV'!AI41</f>
        <v>-1184.0243520710058</v>
      </c>
      <c r="L83" s="550">
        <f>'Energy NPV'!AI67</f>
        <v>-4193.6760483234712</v>
      </c>
      <c r="M83" s="550">
        <f>'Energy NPV'!AI93</f>
        <v>-1083.7359694280078</v>
      </c>
      <c r="N83" s="364"/>
    </row>
    <row r="84" spans="2:14" x14ac:dyDescent="0.3">
      <c r="B84" s="364"/>
      <c r="C84" s="410">
        <v>4</v>
      </c>
      <c r="D84" s="550">
        <f>'Energy NPV'!AH16</f>
        <v>-966.8259788916705</v>
      </c>
      <c r="E84" s="550">
        <f>'Energy NPV'!AH42</f>
        <v>-1413.6824085116068</v>
      </c>
      <c r="F84" s="550">
        <f>'Energy NPV'!AH68</f>
        <v>-4507.7843138560156</v>
      </c>
      <c r="G84" s="550">
        <f>'Energy NPV'!AH94</f>
        <v>-1277.2444706038534</v>
      </c>
      <c r="H84" s="364"/>
      <c r="I84" s="410">
        <v>4</v>
      </c>
      <c r="J84" s="550">
        <f>'Energy NPV'!AI16</f>
        <v>-136.3059515817024</v>
      </c>
      <c r="K84" s="550">
        <f>'Energy NPV'!AI42</f>
        <v>-583.16238120163848</v>
      </c>
      <c r="L84" s="550">
        <f>'Energy NPV'!AI68</f>
        <v>-3677.2642865460475</v>
      </c>
      <c r="M84" s="550">
        <f>'Energy NPV'!AI94</f>
        <v>-446.72444329388543</v>
      </c>
      <c r="N84" s="364"/>
    </row>
    <row r="85" spans="2:14" x14ac:dyDescent="0.3">
      <c r="B85" s="364"/>
      <c r="C85" s="410">
        <v>5</v>
      </c>
      <c r="D85" s="550">
        <f>'Energy NPV'!AH17</f>
        <v>-966.8259788916705</v>
      </c>
      <c r="E85" s="550">
        <f>'Energy NPV'!AH43</f>
        <v>-1023.9874354714473</v>
      </c>
      <c r="F85" s="550">
        <f>'Energy NPV'!AH69</f>
        <v>-4199.2914649427248</v>
      </c>
      <c r="G85" s="550">
        <f>'Energy NPV'!AH95</f>
        <v>-826.1489125220287</v>
      </c>
      <c r="H85" s="364"/>
      <c r="I85" s="410">
        <v>5</v>
      </c>
      <c r="J85" s="550">
        <f>'Energy NPV'!AI17</f>
        <v>51.750970444837264</v>
      </c>
      <c r="K85" s="550">
        <f>'Energy NPV'!AI43</f>
        <v>-5.4104861349392195</v>
      </c>
      <c r="L85" s="550">
        <f>'Energy NPV'!AI69</f>
        <v>-3180.714515606217</v>
      </c>
      <c r="M85" s="550">
        <f>'Energy NPV'!AI95</f>
        <v>192.42803681447901</v>
      </c>
      <c r="N85" s="364"/>
    </row>
    <row r="86" spans="2:14" x14ac:dyDescent="0.3">
      <c r="B86" s="364"/>
      <c r="C86" s="410">
        <v>6</v>
      </c>
      <c r="D86" s="550">
        <f>'Energy NPV'!AH18</f>
        <v>-966.8259788916705</v>
      </c>
      <c r="E86" s="550">
        <f>'Energy NPV'!AH44</f>
        <v>-649.28073062514</v>
      </c>
      <c r="F86" s="550">
        <f>'Energy NPV'!AH70</f>
        <v>-3902.6637256030222</v>
      </c>
      <c r="G86" s="550">
        <f>'Energy NPV'!AH96</f>
        <v>-392.40318359719726</v>
      </c>
      <c r="H86" s="364"/>
      <c r="I86" s="410">
        <v>6</v>
      </c>
      <c r="J86" s="550">
        <f>'Energy NPV'!AI18</f>
        <v>232.57493393189461</v>
      </c>
      <c r="K86" s="550">
        <f>'Energy NPV'!AI44</f>
        <v>550.12018219842537</v>
      </c>
      <c r="L86" s="550">
        <f>'Energy NPV'!AI70</f>
        <v>-2703.2628127794569</v>
      </c>
      <c r="M86" s="550">
        <f>'Energy NPV'!AI96</f>
        <v>806.99772922636782</v>
      </c>
      <c r="N86" s="364"/>
    </row>
    <row r="87" spans="2:14" x14ac:dyDescent="0.3">
      <c r="B87" s="364"/>
      <c r="C87" s="410">
        <v>7</v>
      </c>
      <c r="D87" s="550">
        <f>'Energy NPV'!AH19</f>
        <v>-130.99328805209689</v>
      </c>
      <c r="E87" s="550">
        <f>'Energy NPV'!AH45</f>
        <v>-288.98582211907541</v>
      </c>
      <c r="F87" s="550">
        <f>'Energy NPV'!AH71</f>
        <v>-3617.4447454686924</v>
      </c>
      <c r="G87" s="550">
        <f>'Energy NPV'!AH97</f>
        <v>24.660017292063742</v>
      </c>
      <c r="H87" s="364"/>
      <c r="I87" s="410">
        <v>7</v>
      </c>
      <c r="J87" s="550">
        <f>'Energy NPV'!AI19</f>
        <v>1242.2768204321003</v>
      </c>
      <c r="K87" s="550">
        <f>'Energy NPV'!AI45</f>
        <v>1084.2842863651222</v>
      </c>
      <c r="L87" s="550">
        <f>'Energy NPV'!AI71</f>
        <v>-2244.1746369844955</v>
      </c>
      <c r="M87" s="550">
        <f>'Energy NPV'!AI97</f>
        <v>1397.9301257762609</v>
      </c>
      <c r="N87" s="364"/>
    </row>
    <row r="88" spans="2:14" x14ac:dyDescent="0.3">
      <c r="B88" s="364"/>
      <c r="C88" s="410">
        <v>8</v>
      </c>
      <c r="D88" s="550">
        <f>'Energy NPV'!AH20</f>
        <v>-130.99328805209689</v>
      </c>
      <c r="E88" s="550">
        <f>'Energy NPV'!AH46</f>
        <v>57.45158990598668</v>
      </c>
      <c r="F88" s="550">
        <f>'Energy NPV'!AH72</f>
        <v>-3343.19572610876</v>
      </c>
      <c r="G88" s="550">
        <f>'Energy NPV'!AH98</f>
        <v>425.68232583943012</v>
      </c>
      <c r="H88" s="364"/>
      <c r="I88" s="410">
        <v>8</v>
      </c>
      <c r="J88" s="550">
        <f>'Energy NPV'!AI20</f>
        <v>1409.4587393365541</v>
      </c>
      <c r="K88" s="550">
        <f>'Energy NPV'!AI46</f>
        <v>1597.903617294638</v>
      </c>
      <c r="L88" s="550">
        <f>'Energy NPV'!AI72</f>
        <v>-1802.7436987201093</v>
      </c>
      <c r="M88" s="550">
        <f>'Energy NPV'!AI98</f>
        <v>1966.1343532280812</v>
      </c>
      <c r="N88" s="364"/>
    </row>
    <row r="89" spans="2:14" x14ac:dyDescent="0.3">
      <c r="B89" s="364"/>
      <c r="C89" s="410">
        <v>9</v>
      </c>
      <c r="D89" s="550">
        <f>'Energy NPV'!AH21</f>
        <v>-130.99328805209689</v>
      </c>
      <c r="E89" s="550">
        <f>'Energy NPV'!AH47</f>
        <v>390.564486083931</v>
      </c>
      <c r="F89" s="550">
        <f>'Energy NPV'!AH73</f>
        <v>-3079.494745954979</v>
      </c>
      <c r="G89" s="550">
        <f>'Energy NPV'!AH99</f>
        <v>811.2806994426669</v>
      </c>
      <c r="H89" s="364"/>
      <c r="I89" s="410">
        <v>9</v>
      </c>
      <c r="J89" s="550">
        <f>'Energy NPV'!AI21</f>
        <v>1570.2105844369905</v>
      </c>
      <c r="K89" s="550">
        <f>'Energy NPV'!AI47</f>
        <v>2091.7683585730188</v>
      </c>
      <c r="L89" s="550">
        <f>'Energy NPV'!AI73</f>
        <v>-1378.2908734658918</v>
      </c>
      <c r="M89" s="550">
        <f>'Energy NPV'!AI99</f>
        <v>2512.4845719317545</v>
      </c>
      <c r="N89" s="364"/>
    </row>
    <row r="90" spans="2:14" x14ac:dyDescent="0.3">
      <c r="B90" s="364"/>
      <c r="C90" s="410">
        <v>10</v>
      </c>
      <c r="D90" s="550">
        <f>'Energy NPV'!AH22</f>
        <v>612.05893056239643</v>
      </c>
      <c r="E90" s="550">
        <f>'Energy NPV'!AH48</f>
        <v>710.86534779349279</v>
      </c>
      <c r="F90" s="550">
        <f>'Energy NPV'!AH74</f>
        <v>-2825.9361111917278</v>
      </c>
      <c r="G90" s="550">
        <f>'Energy NPV'!AH100</f>
        <v>1182.048366368856</v>
      </c>
      <c r="H90" s="364"/>
      <c r="I90" s="410">
        <v>10</v>
      </c>
      <c r="J90" s="550">
        <f>'Energy NPV'!AI22</f>
        <v>2467.8318848788267</v>
      </c>
      <c r="K90" s="550">
        <f>'Energy NPV'!AI48</f>
        <v>2566.6383021099232</v>
      </c>
      <c r="L90" s="550">
        <f>'Energy NPV'!AI74</f>
        <v>-970.16315687529823</v>
      </c>
      <c r="M90" s="550">
        <f>'Energy NPV'!AI100</f>
        <v>3037.8213206852865</v>
      </c>
      <c r="N90" s="364"/>
    </row>
    <row r="91" spans="2:14" x14ac:dyDescent="0.3">
      <c r="B91" s="364"/>
      <c r="C91" s="410">
        <v>11</v>
      </c>
      <c r="D91" s="550">
        <f>'Energy NPV'!AH23</f>
        <v>612.05893056239643</v>
      </c>
      <c r="E91" s="550">
        <f>'Energy NPV'!AH49</f>
        <v>1018.8469455911484</v>
      </c>
      <c r="F91" s="550">
        <f>'Energy NPV'!AH75</f>
        <v>-2582.1297316116788</v>
      </c>
      <c r="G91" s="550">
        <f>'Energy NPV'!AH101</f>
        <v>1538.5557384132687</v>
      </c>
      <c r="H91" s="364"/>
      <c r="I91" s="410">
        <v>11</v>
      </c>
      <c r="J91" s="550">
        <f>'Energy NPV'!AI23</f>
        <v>2616.4560020205022</v>
      </c>
      <c r="K91" s="550">
        <f>'Energy NPV'!AI49</f>
        <v>3023.2440170492546</v>
      </c>
      <c r="L91" s="550">
        <f>'Energy NPV'!AI75</f>
        <v>-577.73266015357353</v>
      </c>
      <c r="M91" s="550">
        <f>'Energy NPV'!AI101</f>
        <v>3542.9528098713749</v>
      </c>
      <c r="N91" s="364"/>
    </row>
    <row r="92" spans="2:14" x14ac:dyDescent="0.3">
      <c r="B92" s="364"/>
      <c r="C92" s="410">
        <v>12</v>
      </c>
      <c r="D92" s="550">
        <f>'Energy NPV'!AH24</f>
        <v>612.05893056239643</v>
      </c>
      <c r="E92" s="550">
        <f>'Energy NPV'!AH50</f>
        <v>1314.9830973196633</v>
      </c>
      <c r="F92" s="550">
        <f>'Energy NPV'!AH76</f>
        <v>-2347.7005204770162</v>
      </c>
      <c r="G92" s="550">
        <f>'Energy NPV'!AH102</f>
        <v>1881.3512884559732</v>
      </c>
      <c r="H92" s="364"/>
      <c r="I92" s="410">
        <v>12</v>
      </c>
      <c r="J92" s="550">
        <f>'Energy NPV'!AI24</f>
        <v>2759.3638069644212</v>
      </c>
      <c r="K92" s="550">
        <f>'Energy NPV'!AI50</f>
        <v>3462.2879737216886</v>
      </c>
      <c r="L92" s="550">
        <f>'Energy NPV'!AI76</f>
        <v>-200.39564407499216</v>
      </c>
      <c r="M92" s="550">
        <f>'Energy NPV'!AI102</f>
        <v>4028.6561648579986</v>
      </c>
      <c r="N92" s="364"/>
    </row>
    <row r="93" spans="2:14" x14ac:dyDescent="0.3">
      <c r="B93" s="364"/>
      <c r="C93" s="410">
        <v>13</v>
      </c>
      <c r="D93" s="550">
        <f>'Energy NPV'!AH25</f>
        <v>1272.6296472130255</v>
      </c>
      <c r="E93" s="550">
        <f>'Energy NPV'!AH51</f>
        <v>1599.72939705862</v>
      </c>
      <c r="F93" s="550">
        <f>'Energy NPV'!AH77</f>
        <v>-2122.2878174629177</v>
      </c>
      <c r="G93" s="550">
        <f>'Energy NPV'!AH103</f>
        <v>2210.9623942662661</v>
      </c>
      <c r="H93" s="364"/>
      <c r="I93" s="410">
        <v>13</v>
      </c>
      <c r="J93" s="550">
        <f>'Energy NPV'!AI25</f>
        <v>3557.3458745226644</v>
      </c>
      <c r="K93" s="550">
        <f>'Energy NPV'!AI51</f>
        <v>3884.4456243682594</v>
      </c>
      <c r="L93" s="550">
        <f>'Energy NPV'!AI77</f>
        <v>162.42840984672063</v>
      </c>
      <c r="M93" s="550">
        <f>'Energy NPV'!AI103</f>
        <v>4495.6786215759057</v>
      </c>
      <c r="N93" s="364"/>
    </row>
    <row r="94" spans="2:14" x14ac:dyDescent="0.3">
      <c r="B94" s="364"/>
      <c r="C94" s="410">
        <v>14</v>
      </c>
      <c r="D94" s="550">
        <f>'Energy NPV'!AH26</f>
        <v>1272.6296472130255</v>
      </c>
      <c r="E94" s="550">
        <f>'Energy NPV'!AH52</f>
        <v>1873.523916038386</v>
      </c>
      <c r="F94" s="550">
        <f>'Energy NPV'!AH78</f>
        <v>-1905.5448337955154</v>
      </c>
      <c r="G94" s="550">
        <f>'Energy NPV'!AH104</f>
        <v>2527.8961498530862</v>
      </c>
      <c r="H94" s="364"/>
      <c r="I94" s="410">
        <v>14</v>
      </c>
      <c r="J94" s="550">
        <f>'Energy NPV'!AI26</f>
        <v>3689.4721734722934</v>
      </c>
      <c r="K94" s="550">
        <f>'Energy NPV'!AI52</f>
        <v>4290.3664422976544</v>
      </c>
      <c r="L94" s="550">
        <f>'Energy NPV'!AI78</f>
        <v>511.29769246375213</v>
      </c>
      <c r="M94" s="550">
        <f>'Energy NPV'!AI104</f>
        <v>4944.7386761123544</v>
      </c>
      <c r="N94" s="364"/>
    </row>
    <row r="95" spans="2:14" x14ac:dyDescent="0.3">
      <c r="B95" s="364"/>
      <c r="C95" s="410">
        <v>15</v>
      </c>
      <c r="D95" s="550">
        <f>'Energy NPV'!AH27</f>
        <v>1272.6296472130255</v>
      </c>
      <c r="E95" s="550">
        <f>'Energy NPV'!AH53</f>
        <v>2136.7878765958535</v>
      </c>
      <c r="F95" s="550">
        <f>'Energy NPV'!AH79</f>
        <v>-1697.1381187307054</v>
      </c>
      <c r="G95" s="550">
        <f>'Energy NPV'!AH105</f>
        <v>2832.6401456096437</v>
      </c>
      <c r="H95" s="364"/>
      <c r="I95" s="410">
        <v>15</v>
      </c>
      <c r="J95" s="550">
        <f>'Energy NPV'!AI27</f>
        <v>3816.5166916930907</v>
      </c>
      <c r="K95" s="550">
        <f>'Energy NPV'!AI53</f>
        <v>4680.674921075919</v>
      </c>
      <c r="L95" s="550">
        <f>'Energy NPV'!AI79</f>
        <v>846.74892574935939</v>
      </c>
      <c r="M95" s="550">
        <f>'Energy NPV'!AI105</f>
        <v>5376.5271900897096</v>
      </c>
      <c r="N95" s="364"/>
    </row>
    <row r="96" spans="2:14" x14ac:dyDescent="0.3">
      <c r="B96" s="364"/>
      <c r="C96" s="551">
        <v>16</v>
      </c>
      <c r="D96" s="557">
        <f>'Energy NPV'!AH28</f>
        <v>1765.4796434988145</v>
      </c>
      <c r="E96" s="557">
        <f>'Energy NPV'!AH54</f>
        <v>2295.5313347475462</v>
      </c>
      <c r="F96" s="557">
        <f>'Energy NPV'!AH80</f>
        <v>-1591.1420120142602</v>
      </c>
      <c r="G96" s="557">
        <f>'Energy NPV'!AH106</f>
        <v>3031.2682529912308</v>
      </c>
      <c r="H96" s="364"/>
      <c r="I96" s="551">
        <v>16</v>
      </c>
      <c r="J96" s="557">
        <f>'Energy NPV'!AI28</f>
        <v>4431.5248785758004</v>
      </c>
      <c r="K96" s="557">
        <f>'Energy NPV'!AI54</f>
        <v>4961.5765698245323</v>
      </c>
      <c r="L96" s="557">
        <f>'Energy NPV'!AI80</f>
        <v>1074.9032230627249</v>
      </c>
      <c r="M96" s="557">
        <f>'Energy NPV'!AI106</f>
        <v>5697.3134880682173</v>
      </c>
      <c r="N96" s="364"/>
    </row>
    <row r="97" spans="2:14" x14ac:dyDescent="0.3">
      <c r="B97" s="364"/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T30"/>
  <sheetViews>
    <sheetView workbookViewId="0">
      <selection activeCell="C7" sqref="C7"/>
    </sheetView>
  </sheetViews>
  <sheetFormatPr defaultColWidth="9" defaultRowHeight="14" x14ac:dyDescent="0.3"/>
  <cols>
    <col min="2" max="2" width="20.08203125" bestFit="1" customWidth="1"/>
    <col min="3" max="30" width="10.58203125" customWidth="1"/>
  </cols>
  <sheetData>
    <row r="4" spans="1:20" ht="40" x14ac:dyDescent="0.3">
      <c r="B4" s="720" t="s">
        <v>304</v>
      </c>
      <c r="C4" s="721" t="s">
        <v>282</v>
      </c>
      <c r="D4" s="722" t="s">
        <v>323</v>
      </c>
      <c r="E4" s="722" t="s">
        <v>353</v>
      </c>
      <c r="F4" s="722" t="s">
        <v>376</v>
      </c>
      <c r="G4" s="723" t="s">
        <v>403</v>
      </c>
      <c r="H4" s="722" t="s">
        <v>405</v>
      </c>
      <c r="I4" s="723" t="s">
        <v>406</v>
      </c>
      <c r="J4" s="722" t="s">
        <v>287</v>
      </c>
      <c r="K4" s="723" t="s">
        <v>501</v>
      </c>
      <c r="L4" s="723" t="s">
        <v>502</v>
      </c>
      <c r="M4" s="723" t="s">
        <v>503</v>
      </c>
      <c r="N4" s="723" t="s">
        <v>504</v>
      </c>
      <c r="O4" s="723" t="s">
        <v>505</v>
      </c>
      <c r="P4" s="723" t="s">
        <v>506</v>
      </c>
      <c r="Q4" s="723" t="s">
        <v>507</v>
      </c>
      <c r="R4" s="723" t="s">
        <v>508</v>
      </c>
      <c r="S4" s="723" t="s">
        <v>509</v>
      </c>
      <c r="T4" s="723" t="s">
        <v>510</v>
      </c>
    </row>
    <row r="5" spans="1:20" x14ac:dyDescent="0.3">
      <c r="B5" s="724"/>
      <c r="C5" s="725"/>
      <c r="D5" s="726"/>
      <c r="E5" s="726"/>
      <c r="F5" s="726"/>
      <c r="G5" s="727"/>
      <c r="H5" s="726"/>
      <c r="I5" s="726"/>
      <c r="J5" s="726"/>
      <c r="K5" s="727"/>
      <c r="L5" s="727"/>
      <c r="M5" s="727"/>
      <c r="N5" s="727"/>
      <c r="O5" s="727"/>
      <c r="P5" s="727"/>
      <c r="Q5" s="727"/>
      <c r="R5" s="727"/>
      <c r="S5" s="727"/>
      <c r="T5" s="727"/>
    </row>
    <row r="6" spans="1:20" x14ac:dyDescent="0.3">
      <c r="A6" s="298"/>
      <c r="B6" s="728"/>
      <c r="C6" s="729"/>
      <c r="D6" s="730" t="s">
        <v>356</v>
      </c>
      <c r="E6" s="730" t="s">
        <v>476</v>
      </c>
      <c r="F6" s="730" t="s">
        <v>477</v>
      </c>
      <c r="G6" s="730" t="s">
        <v>477</v>
      </c>
      <c r="H6" s="730" t="s">
        <v>477</v>
      </c>
      <c r="I6" s="730" t="s">
        <v>477</v>
      </c>
      <c r="J6" s="730" t="s">
        <v>477</v>
      </c>
      <c r="K6" s="730" t="s">
        <v>477</v>
      </c>
      <c r="L6" s="730" t="s">
        <v>477</v>
      </c>
      <c r="M6" s="730" t="s">
        <v>477</v>
      </c>
      <c r="N6" s="730" t="s">
        <v>477</v>
      </c>
      <c r="O6" s="730" t="s">
        <v>477</v>
      </c>
      <c r="P6" s="730" t="s">
        <v>477</v>
      </c>
      <c r="Q6" s="730" t="s">
        <v>477</v>
      </c>
      <c r="R6" s="730" t="s">
        <v>477</v>
      </c>
      <c r="S6" s="730" t="s">
        <v>477</v>
      </c>
      <c r="T6" s="730" t="s">
        <v>477</v>
      </c>
    </row>
    <row r="7" spans="1:20" x14ac:dyDescent="0.3">
      <c r="B7" s="715">
        <v>1</v>
      </c>
      <c r="C7" s="360" t="s">
        <v>96</v>
      </c>
      <c r="D7" s="734">
        <f>INDEX('Energy Model tables'!$D$6:$G$21,MATCH($B7,'Energy Model tables'!$C$6:$C$21,0),MATCH($C$7,'Energy Model tables'!$D$5:$G$5,0))</f>
        <v>2.0466666666666664</v>
      </c>
      <c r="E7" s="734">
        <f>HLOOKUP($C$7,'Energy Model tables'!$D$24:$G$25,2,FALSE)</f>
        <v>55</v>
      </c>
      <c r="F7" s="734">
        <f>'Energy Model tables'!$D$28</f>
        <v>220</v>
      </c>
      <c r="G7" s="735">
        <f>IF($C7&lt;&gt;"",HLOOKUP($C$7,'Energy Model tables'!$D$31:$G$32,2,FALSE),0)</f>
        <v>5106.0919999999996</v>
      </c>
      <c r="H7" s="734">
        <f>INDEX('Energy Model tables'!$D$37:$G$52,MATCH($B7,'Energy Model tables'!$C$37:$C$52,0),MATCH($C$7,'Energy Model tables'!$D$36:$G$36,0))</f>
        <v>0</v>
      </c>
      <c r="I7" s="735">
        <f>IF($C22&lt;&gt;"",HLOOKUP($C$7,'Energy Model tables'!$D$55:$G$56,2,FALSE),0)</f>
        <v>0</v>
      </c>
      <c r="J7" s="734">
        <f>G7+H7+I7</f>
        <v>5106.0919999999996</v>
      </c>
      <c r="K7" s="734">
        <f>D7*E7</f>
        <v>112.56666666666665</v>
      </c>
      <c r="L7" s="734">
        <f>K7+F7</f>
        <v>332.56666666666666</v>
      </c>
      <c r="M7" s="734">
        <f>K7-J7</f>
        <v>-4993.525333333333</v>
      </c>
      <c r="N7" s="734">
        <f>L7-J7</f>
        <v>-4773.525333333333</v>
      </c>
      <c r="O7" s="735">
        <f>M7</f>
        <v>-4993.525333333333</v>
      </c>
      <c r="P7" s="735">
        <f>N7</f>
        <v>-4773.525333333333</v>
      </c>
      <c r="Q7" s="734">
        <f>INDEX('Energy Model tables'!$D$61:$G$76,MATCH($B7,'Energy Model tables'!$C$61:$C$76,0),MATCH($C$7,'Energy Model tables'!$D$60:$G$60,0))</f>
        <v>-4993.525333333333</v>
      </c>
      <c r="R7" s="734">
        <f>INDEX('Energy Model tables'!$J$61:$M$76,MATCH($B7,'Energy Model tables'!$I$61:$I$76,0),MATCH($C$7,'Energy Model tables'!$J$60:$M$60,0))</f>
        <v>-4773.525333333333</v>
      </c>
      <c r="S7" s="734">
        <f>INDEX('Energy Model tables'!$D$81:$G$96,MATCH($B7,'Energy Model tables'!$C$81:$C$96,0),MATCH($C$7,'Energy Model tables'!$D$80:$G$80,0))</f>
        <v>-4993.525333333333</v>
      </c>
      <c r="T7" s="734">
        <f>INDEX('Energy Model tables'!$J$81:$M$96,MATCH($B7,'Energy Model tables'!$I$81:$I$96,0),MATCH($C$7,'Energy Model tables'!$J$80:$M$80,0))</f>
        <v>-4773.525333333333</v>
      </c>
    </row>
    <row r="8" spans="1:20" x14ac:dyDescent="0.3">
      <c r="B8" s="410">
        <v>2</v>
      </c>
      <c r="C8" s="725"/>
      <c r="D8" s="735">
        <f>INDEX('Energy Model tables'!$D$6:$G$21,MATCH($B8,'Energy Model tables'!$C$6:$C$21,0),MATCH($C$7,'Energy Model tables'!$D$5:$G$5,0))</f>
        <v>8.27</v>
      </c>
      <c r="E8" s="735">
        <f>HLOOKUP($C$7,'Energy Model tables'!$D$24:$G$25,2,FALSE)</f>
        <v>55</v>
      </c>
      <c r="F8" s="735">
        <f>'Energy Model tables'!$D$28</f>
        <v>220</v>
      </c>
      <c r="G8" s="735">
        <f>IF($C8&lt;&gt;"",HLOOKUP($C$7,'Energy Model tables'!$D$31:$G$32,2,FALSE),0)</f>
        <v>0</v>
      </c>
      <c r="H8" s="735">
        <f>INDEX('Energy Model tables'!$D$37:$G$52,MATCH($B8,'Energy Model tables'!$C$37:$C$52,0),MATCH($C$7,'Energy Model tables'!$D$36:$G$36,0))</f>
        <v>299.50866666666667</v>
      </c>
      <c r="I8" s="735">
        <f>IF($C8&lt;&gt;"",HLOOKUP($C$7,'Energy Model tables'!$D$55:$G$56,2,FALSE),0)</f>
        <v>0</v>
      </c>
      <c r="J8" s="735">
        <f t="shared" ref="J8:J22" si="0">G8+H8+I8</f>
        <v>299.50866666666667</v>
      </c>
      <c r="K8" s="735">
        <f t="shared" ref="K8:K22" si="1">D8*E8</f>
        <v>454.84999999999997</v>
      </c>
      <c r="L8" s="735">
        <f t="shared" ref="L8:L22" si="2">K8+F8</f>
        <v>674.84999999999991</v>
      </c>
      <c r="M8" s="735">
        <f t="shared" ref="M8:M22" si="3">K8-J8</f>
        <v>155.3413333333333</v>
      </c>
      <c r="N8" s="735">
        <f t="shared" ref="N8:N22" si="4">L8-J8</f>
        <v>375.34133333333324</v>
      </c>
      <c r="O8" s="735">
        <f>O7+M8</f>
        <v>-4838.1839999999993</v>
      </c>
      <c r="P8" s="735">
        <f>P7+N8</f>
        <v>-4398.1840000000002</v>
      </c>
      <c r="Q8" s="735">
        <f>INDEX('Energy Model tables'!$D$61:$G$76,MATCH($B8,'Energy Model tables'!$C$61:$C$76,0),MATCH($C$7,'Energy Model tables'!$D$60:$G$60,0))</f>
        <v>15.199999999999992</v>
      </c>
      <c r="R8" s="735">
        <f>INDEX('Energy Model tables'!$J$61:$M$76,MATCH($B8,'Energy Model tables'!$I$61:$I$76,0),MATCH($C$7,'Energy Model tables'!$J$60:$M$60,0))</f>
        <v>226.73846153846148</v>
      </c>
      <c r="S8" s="735">
        <f>INDEX('Energy Model tables'!$D$81:$G$96,MATCH($B8,'Energy Model tables'!$C$81:$C$96,0),MATCH($C$7,'Energy Model tables'!$D$80:$G$80,0))</f>
        <v>-4978.3253333333332</v>
      </c>
      <c r="T8" s="735">
        <f>INDEX('Energy Model tables'!$J$81:$M$96,MATCH($B8,'Energy Model tables'!$I$81:$I$96,0),MATCH($C$7,'Energy Model tables'!$J$80:$M$80,0))</f>
        <v>-4546.7868717948713</v>
      </c>
    </row>
    <row r="9" spans="1:20" x14ac:dyDescent="0.3">
      <c r="B9" s="410">
        <v>3</v>
      </c>
      <c r="C9" s="725"/>
      <c r="D9" s="735">
        <f>INDEX('Energy Model tables'!$D$6:$G$21,MATCH($B9,'Energy Model tables'!$C$6:$C$21,0),MATCH($C$7,'Energy Model tables'!$D$5:$G$5,0))</f>
        <v>10.926666666666668</v>
      </c>
      <c r="E9" s="735">
        <f>HLOOKUP($C$7,'Energy Model tables'!$D$24:$G$25,2,FALSE)</f>
        <v>55</v>
      </c>
      <c r="F9" s="735">
        <f>'Energy Model tables'!$D$28</f>
        <v>220</v>
      </c>
      <c r="G9" s="735">
        <f>IF($C9&lt;&gt;"",HLOOKUP($C$7,'Energy Model tables'!$D$31:$G$32,2,FALSE),0)</f>
        <v>0</v>
      </c>
      <c r="H9" s="735">
        <f>INDEX('Energy Model tables'!$D$37:$G$52,MATCH($B9,'Energy Model tables'!$C$37:$C$52,0),MATCH($C$7,'Energy Model tables'!$D$36:$G$36,0))</f>
        <v>299.50866666666667</v>
      </c>
      <c r="I9" s="735">
        <f>IF($C9&lt;&gt;"",HLOOKUP($C$7,'Energy Model tables'!$D$55:$G$56,2,FALSE),0)</f>
        <v>0</v>
      </c>
      <c r="J9" s="735">
        <f t="shared" si="0"/>
        <v>299.50866666666667</v>
      </c>
      <c r="K9" s="735">
        <f t="shared" si="1"/>
        <v>600.9666666666667</v>
      </c>
      <c r="L9" s="735">
        <f t="shared" si="2"/>
        <v>820.9666666666667</v>
      </c>
      <c r="M9" s="735">
        <f t="shared" si="3"/>
        <v>301.45800000000003</v>
      </c>
      <c r="N9" s="735">
        <f t="shared" si="4"/>
        <v>521.45800000000008</v>
      </c>
      <c r="O9" s="735">
        <f t="shared" ref="O9:P22" si="5">O8+M9</f>
        <v>-4536.7259999999997</v>
      </c>
      <c r="P9" s="735">
        <f t="shared" si="5"/>
        <v>-3876.7260000000001</v>
      </c>
      <c r="Q9" s="735">
        <f>INDEX('Energy Model tables'!$D$61:$G$76,MATCH($B9,'Energy Model tables'!$C$61:$C$76,0),MATCH($C$7,'Energy Model tables'!$D$60:$G$60,0))</f>
        <v>149.70845660749509</v>
      </c>
      <c r="R9" s="735">
        <f>INDEX('Energy Model tables'!$J$61:$M$76,MATCH($B9,'Energy Model tables'!$I$61:$I$76,0),MATCH($C$7,'Energy Model tables'!$J$60:$M$60,0))</f>
        <v>353.11082347140041</v>
      </c>
      <c r="S9" s="735">
        <f>INDEX('Energy Model tables'!$D$81:$G$96,MATCH($B9,'Energy Model tables'!$C$81:$C$96,0),MATCH($C$7,'Energy Model tables'!$D$80:$G$80,0))</f>
        <v>-4828.6168767258378</v>
      </c>
      <c r="T9" s="735">
        <f>INDEX('Energy Model tables'!$J$81:$M$96,MATCH($B9,'Energy Model tables'!$I$81:$I$96,0),MATCH($C$7,'Energy Model tables'!$J$80:$M$80,0))</f>
        <v>-4193.6760483234712</v>
      </c>
    </row>
    <row r="10" spans="1:20" x14ac:dyDescent="0.3">
      <c r="B10" s="410">
        <v>4</v>
      </c>
      <c r="C10" s="725"/>
      <c r="D10" s="735">
        <f>INDEX('Energy Model tables'!$D$6:$G$21,MATCH($B10,'Energy Model tables'!$C$6:$C$21,0),MATCH($C$7,'Energy Model tables'!$D$5:$G$5,0))</f>
        <v>11.617000000000001</v>
      </c>
      <c r="E10" s="735">
        <f>HLOOKUP($C$7,'Energy Model tables'!$D$24:$G$25,2,FALSE)</f>
        <v>55</v>
      </c>
      <c r="F10" s="735">
        <f>'Energy Model tables'!$D$28</f>
        <v>220</v>
      </c>
      <c r="G10" s="735">
        <f>IF($C10&lt;&gt;"",HLOOKUP($C$7,'Energy Model tables'!$D$31:$G$32,2,FALSE),0)</f>
        <v>0</v>
      </c>
      <c r="H10" s="735">
        <f>INDEX('Energy Model tables'!$D$37:$G$52,MATCH($B10,'Energy Model tables'!$C$37:$C$52,0),MATCH($C$7,'Energy Model tables'!$D$36:$G$36,0))</f>
        <v>299.50866666666667</v>
      </c>
      <c r="I10" s="735">
        <f>IF($C10&lt;&gt;"",HLOOKUP($C$7,'Energy Model tables'!$D$55:$G$56,2,FALSE),0)</f>
        <v>0</v>
      </c>
      <c r="J10" s="735">
        <f t="shared" si="0"/>
        <v>299.50866666666667</v>
      </c>
      <c r="K10" s="735">
        <f t="shared" si="1"/>
        <v>638.93500000000006</v>
      </c>
      <c r="L10" s="735">
        <f t="shared" si="2"/>
        <v>858.93500000000006</v>
      </c>
      <c r="M10" s="735">
        <f t="shared" si="3"/>
        <v>339.42633333333339</v>
      </c>
      <c r="N10" s="735">
        <f t="shared" si="4"/>
        <v>559.42633333333333</v>
      </c>
      <c r="O10" s="735">
        <f t="shared" si="5"/>
        <v>-4197.2996666666659</v>
      </c>
      <c r="P10" s="735">
        <f t="shared" si="5"/>
        <v>-3317.2996666666668</v>
      </c>
      <c r="Q10" s="735">
        <f>INDEX('Energy Model tables'!$D$61:$G$76,MATCH($B10,'Energy Model tables'!$C$61:$C$76,0),MATCH($C$7,'Energy Model tables'!$D$60:$G$60,0))</f>
        <v>320.83256286982248</v>
      </c>
      <c r="R10" s="735">
        <f>INDEX('Energy Model tables'!$J$61:$M$76,MATCH($B10,'Energy Model tables'!$I$61:$I$76,0),MATCH($C$7,'Energy Model tables'!$J$60:$M$60,0))</f>
        <v>516.41176177742375</v>
      </c>
      <c r="S10" s="735">
        <f>INDEX('Energy Model tables'!$D$81:$G$96,MATCH($B10,'Energy Model tables'!$C$81:$C$96,0),MATCH($C$7,'Energy Model tables'!$D$80:$G$80,0))</f>
        <v>-4507.7843138560156</v>
      </c>
      <c r="T10" s="735">
        <f>INDEX('Energy Model tables'!$J$81:$M$96,MATCH($B10,'Energy Model tables'!$I$81:$I$96,0),MATCH($C$7,'Energy Model tables'!$J$80:$M$80,0))</f>
        <v>-3677.2642865460475</v>
      </c>
    </row>
    <row r="11" spans="1:20" x14ac:dyDescent="0.3">
      <c r="B11" s="410">
        <v>5</v>
      </c>
      <c r="C11" s="725"/>
      <c r="D11" s="735">
        <f>INDEX('Energy Model tables'!$D$6:$G$21,MATCH($B11,'Energy Model tables'!$C$6:$C$21,0),MATCH($C$7,'Energy Model tables'!$D$5:$G$5,0))</f>
        <v>11.617000000000001</v>
      </c>
      <c r="E11" s="735">
        <f>HLOOKUP($C$7,'Energy Model tables'!$D$24:$G$25,2,FALSE)</f>
        <v>55</v>
      </c>
      <c r="F11" s="735">
        <f>'Energy Model tables'!$D$28</f>
        <v>220</v>
      </c>
      <c r="G11" s="735">
        <f>IF($C11&lt;&gt;"",HLOOKUP($C$7,'Energy Model tables'!$D$31:$G$32,2,FALSE),0)</f>
        <v>0</v>
      </c>
      <c r="H11" s="735">
        <f>INDEX('Energy Model tables'!$D$37:$G$52,MATCH($B11,'Energy Model tables'!$C$37:$C$52,0),MATCH($C$7,'Energy Model tables'!$D$36:$G$36,0))</f>
        <v>299.50866666666667</v>
      </c>
      <c r="I11" s="735">
        <f>IF($C11&lt;&gt;"",HLOOKUP($C$7,'Energy Model tables'!$D$55:$G$56,2,FALSE),0)</f>
        <v>0</v>
      </c>
      <c r="J11" s="735">
        <f t="shared" si="0"/>
        <v>299.50866666666667</v>
      </c>
      <c r="K11" s="735">
        <f t="shared" si="1"/>
        <v>638.93500000000006</v>
      </c>
      <c r="L11" s="735">
        <f t="shared" si="2"/>
        <v>858.93500000000006</v>
      </c>
      <c r="M11" s="735">
        <f t="shared" si="3"/>
        <v>339.42633333333339</v>
      </c>
      <c r="N11" s="735">
        <f t="shared" si="4"/>
        <v>559.42633333333333</v>
      </c>
      <c r="O11" s="735">
        <f t="shared" si="5"/>
        <v>-3857.8733333333325</v>
      </c>
      <c r="P11" s="735">
        <f t="shared" si="5"/>
        <v>-2757.8733333333334</v>
      </c>
      <c r="Q11" s="735">
        <f>INDEX('Energy Model tables'!$D$61:$G$76,MATCH($B11,'Energy Model tables'!$C$61:$C$76,0),MATCH($C$7,'Energy Model tables'!$D$60:$G$60,0))</f>
        <v>308.4928489132908</v>
      </c>
      <c r="R11" s="735">
        <f>INDEX('Energy Model tables'!$J$61:$M$76,MATCH($B11,'Energy Model tables'!$I$61:$I$76,0),MATCH($C$7,'Energy Model tables'!$J$60:$M$60,0))</f>
        <v>496.54977093983047</v>
      </c>
      <c r="S11" s="735">
        <f>INDEX('Energy Model tables'!$D$81:$G$96,MATCH($B11,'Energy Model tables'!$C$81:$C$96,0),MATCH($C$7,'Energy Model tables'!$D$80:$G$80,0))</f>
        <v>-4199.2914649427248</v>
      </c>
      <c r="T11" s="735">
        <f>INDEX('Energy Model tables'!$J$81:$M$96,MATCH($B11,'Energy Model tables'!$I$81:$I$96,0),MATCH($C$7,'Energy Model tables'!$J$80:$M$80,0))</f>
        <v>-3180.714515606217</v>
      </c>
    </row>
    <row r="12" spans="1:20" x14ac:dyDescent="0.3">
      <c r="B12" s="410">
        <v>6</v>
      </c>
      <c r="C12" s="725"/>
      <c r="D12" s="735">
        <f>INDEX('Energy Model tables'!$D$6:$G$21,MATCH($B12,'Energy Model tables'!$C$6:$C$21,0),MATCH($C$7,'Energy Model tables'!$D$5:$G$5,0))</f>
        <v>11.617000000000001</v>
      </c>
      <c r="E12" s="735">
        <f>HLOOKUP($C$7,'Energy Model tables'!$D$24:$G$25,2,FALSE)</f>
        <v>55</v>
      </c>
      <c r="F12" s="735">
        <f>'Energy Model tables'!$D$28</f>
        <v>220</v>
      </c>
      <c r="G12" s="735">
        <f>IF($C12&lt;&gt;"",HLOOKUP($C$7,'Energy Model tables'!$D$31:$G$32,2,FALSE),0)</f>
        <v>0</v>
      </c>
      <c r="H12" s="735">
        <f>INDEX('Energy Model tables'!$D$37:$G$52,MATCH($B12,'Energy Model tables'!$C$37:$C$52,0),MATCH($C$7,'Energy Model tables'!$D$36:$G$36,0))</f>
        <v>299.50866666666667</v>
      </c>
      <c r="I12" s="735">
        <f>IF($C12&lt;&gt;"",HLOOKUP($C$7,'Energy Model tables'!$D$55:$G$56,2,FALSE),0)</f>
        <v>0</v>
      </c>
      <c r="J12" s="735">
        <f t="shared" si="0"/>
        <v>299.50866666666667</v>
      </c>
      <c r="K12" s="735">
        <f t="shared" si="1"/>
        <v>638.93500000000006</v>
      </c>
      <c r="L12" s="735">
        <f t="shared" si="2"/>
        <v>858.93500000000006</v>
      </c>
      <c r="M12" s="735">
        <f t="shared" si="3"/>
        <v>339.42633333333339</v>
      </c>
      <c r="N12" s="735">
        <f t="shared" si="4"/>
        <v>559.42633333333333</v>
      </c>
      <c r="O12" s="735">
        <f t="shared" si="5"/>
        <v>-3518.4469999999992</v>
      </c>
      <c r="P12" s="735">
        <f t="shared" si="5"/>
        <v>-2198.4470000000001</v>
      </c>
      <c r="Q12" s="735">
        <f>INDEX('Energy Model tables'!$D$61:$G$76,MATCH($B12,'Energy Model tables'!$C$61:$C$76,0),MATCH($C$7,'Energy Model tables'!$D$60:$G$60,0))</f>
        <v>296.62773933970266</v>
      </c>
      <c r="R12" s="735">
        <f>INDEX('Energy Model tables'!$J$61:$M$76,MATCH($B12,'Energy Model tables'!$I$61:$I$76,0),MATCH($C$7,'Energy Model tables'!$J$60:$M$60,0))</f>
        <v>477.45170282676003</v>
      </c>
      <c r="S12" s="735">
        <f>INDEX('Energy Model tables'!$D$81:$G$96,MATCH($B12,'Energy Model tables'!$C$81:$C$96,0),MATCH($C$7,'Energy Model tables'!$D$80:$G$80,0))</f>
        <v>-3902.6637256030222</v>
      </c>
      <c r="T12" s="735">
        <f>INDEX('Energy Model tables'!$J$81:$M$96,MATCH($B12,'Energy Model tables'!$I$81:$I$96,0),MATCH($C$7,'Energy Model tables'!$J$80:$M$80,0))</f>
        <v>-2703.2628127794569</v>
      </c>
    </row>
    <row r="13" spans="1:20" x14ac:dyDescent="0.3">
      <c r="B13" s="410">
        <v>7</v>
      </c>
      <c r="C13" s="725"/>
      <c r="D13" s="735">
        <f>INDEX('Energy Model tables'!$D$6:$G$21,MATCH($B13,'Energy Model tables'!$C$6:$C$21,0),MATCH($C$7,'Energy Model tables'!$D$5:$G$5,0))</f>
        <v>11.617000000000001</v>
      </c>
      <c r="E13" s="735">
        <f>HLOOKUP($C$7,'Energy Model tables'!$D$24:$G$25,2,FALSE)</f>
        <v>55</v>
      </c>
      <c r="F13" s="735">
        <f>'Energy Model tables'!$D$28</f>
        <v>220</v>
      </c>
      <c r="G13" s="735">
        <f>IF($C13&lt;&gt;"",HLOOKUP($C$7,'Energy Model tables'!$D$31:$G$32,2,FALSE),0)</f>
        <v>0</v>
      </c>
      <c r="H13" s="735">
        <f>INDEX('Energy Model tables'!$D$37:$G$52,MATCH($B13,'Energy Model tables'!$C$37:$C$52,0),MATCH($C$7,'Energy Model tables'!$D$36:$G$36,0))</f>
        <v>299.50866666666667</v>
      </c>
      <c r="I13" s="735">
        <f>IF($C13&lt;&gt;"",HLOOKUP($C$7,'Energy Model tables'!$D$55:$G$56,2,FALSE),0)</f>
        <v>0</v>
      </c>
      <c r="J13" s="735">
        <f t="shared" si="0"/>
        <v>299.50866666666667</v>
      </c>
      <c r="K13" s="735">
        <f t="shared" si="1"/>
        <v>638.93500000000006</v>
      </c>
      <c r="L13" s="735">
        <f t="shared" si="2"/>
        <v>858.93500000000006</v>
      </c>
      <c r="M13" s="735">
        <f t="shared" si="3"/>
        <v>339.42633333333339</v>
      </c>
      <c r="N13" s="735">
        <f t="shared" si="4"/>
        <v>559.42633333333333</v>
      </c>
      <c r="O13" s="735">
        <f t="shared" si="5"/>
        <v>-3179.0206666666659</v>
      </c>
      <c r="P13" s="735">
        <f t="shared" si="5"/>
        <v>-1639.0206666666668</v>
      </c>
      <c r="Q13" s="735">
        <f>INDEX('Energy Model tables'!$D$61:$G$76,MATCH($B13,'Energy Model tables'!$C$61:$C$76,0),MATCH($C$7,'Energy Model tables'!$D$60:$G$60,0))</f>
        <v>285.21898013432951</v>
      </c>
      <c r="R13" s="735">
        <f>INDEX('Energy Model tables'!$J$61:$M$76,MATCH($B13,'Energy Model tables'!$I$61:$I$76,0),MATCH($C$7,'Energy Model tables'!$J$60:$M$60,0))</f>
        <v>459.08817579496156</v>
      </c>
      <c r="S13" s="735">
        <f>INDEX('Energy Model tables'!$D$81:$G$96,MATCH($B13,'Energy Model tables'!$C$81:$C$96,0),MATCH($C$7,'Energy Model tables'!$D$80:$G$80,0))</f>
        <v>-3617.4447454686924</v>
      </c>
      <c r="T13" s="735">
        <f>INDEX('Energy Model tables'!$J$81:$M$96,MATCH($B13,'Energy Model tables'!$I$81:$I$96,0),MATCH($C$7,'Energy Model tables'!$J$80:$M$80,0))</f>
        <v>-2244.1746369844955</v>
      </c>
    </row>
    <row r="14" spans="1:20" x14ac:dyDescent="0.3">
      <c r="B14" s="410">
        <v>8</v>
      </c>
      <c r="C14" s="725"/>
      <c r="D14" s="735">
        <f>INDEX('Energy Model tables'!$D$6:$G$21,MATCH($B14,'Energy Model tables'!$C$6:$C$21,0),MATCH($C$7,'Energy Model tables'!$D$5:$G$5,0))</f>
        <v>11.617000000000001</v>
      </c>
      <c r="E14" s="735">
        <f>HLOOKUP($C$7,'Energy Model tables'!$D$24:$G$25,2,FALSE)</f>
        <v>55</v>
      </c>
      <c r="F14" s="735">
        <f>'Energy Model tables'!$D$28</f>
        <v>220</v>
      </c>
      <c r="G14" s="735">
        <f>IF($C14&lt;&gt;"",HLOOKUP($C$7,'Energy Model tables'!$D$31:$G$32,2,FALSE),0)</f>
        <v>0</v>
      </c>
      <c r="H14" s="735">
        <f>INDEX('Energy Model tables'!$D$37:$G$52,MATCH($B14,'Energy Model tables'!$C$37:$C$52,0),MATCH($C$7,'Energy Model tables'!$D$36:$G$36,0))</f>
        <v>299.50866666666667</v>
      </c>
      <c r="I14" s="735">
        <f>IF($C14&lt;&gt;"",HLOOKUP($C$7,'Energy Model tables'!$D$55:$G$56,2,FALSE),0)</f>
        <v>0</v>
      </c>
      <c r="J14" s="735">
        <f t="shared" si="0"/>
        <v>299.50866666666667</v>
      </c>
      <c r="K14" s="735">
        <f t="shared" si="1"/>
        <v>638.93500000000006</v>
      </c>
      <c r="L14" s="735">
        <f t="shared" si="2"/>
        <v>858.93500000000006</v>
      </c>
      <c r="M14" s="735">
        <f t="shared" si="3"/>
        <v>339.42633333333339</v>
      </c>
      <c r="N14" s="735">
        <f t="shared" si="4"/>
        <v>559.42633333333333</v>
      </c>
      <c r="O14" s="735">
        <f t="shared" si="5"/>
        <v>-2839.5943333333325</v>
      </c>
      <c r="P14" s="735">
        <f t="shared" si="5"/>
        <v>-1079.5943333333335</v>
      </c>
      <c r="Q14" s="735">
        <f>INDEX('Energy Model tables'!$D$61:$G$76,MATCH($B14,'Energy Model tables'!$C$61:$C$76,0),MATCH($C$7,'Energy Model tables'!$D$60:$G$60,0))</f>
        <v>274.24901935993222</v>
      </c>
      <c r="R14" s="735">
        <f>INDEX('Energy Model tables'!$J$61:$M$76,MATCH($B14,'Energy Model tables'!$I$61:$I$76,0),MATCH($C$7,'Energy Model tables'!$J$60:$M$60,0))</f>
        <v>441.43093826438616</v>
      </c>
      <c r="S14" s="735">
        <f>INDEX('Energy Model tables'!$D$81:$G$96,MATCH($B14,'Energy Model tables'!$C$81:$C$96,0),MATCH($C$7,'Energy Model tables'!$D$80:$G$80,0))</f>
        <v>-3343.19572610876</v>
      </c>
      <c r="T14" s="735">
        <f>INDEX('Energy Model tables'!$J$81:$M$96,MATCH($B14,'Energy Model tables'!$I$81:$I$96,0),MATCH($C$7,'Energy Model tables'!$J$80:$M$80,0))</f>
        <v>-1802.7436987201093</v>
      </c>
    </row>
    <row r="15" spans="1:20" x14ac:dyDescent="0.3">
      <c r="B15" s="410">
        <v>9</v>
      </c>
      <c r="C15" s="725"/>
      <c r="D15" s="735">
        <f>INDEX('Energy Model tables'!$D$6:$G$21,MATCH($B15,'Energy Model tables'!$C$6:$C$21,0),MATCH($C$7,'Energy Model tables'!$D$5:$G$5,0))</f>
        <v>11.617000000000001</v>
      </c>
      <c r="E15" s="735">
        <f>HLOOKUP($C$7,'Energy Model tables'!$D$24:$G$25,2,FALSE)</f>
        <v>55</v>
      </c>
      <c r="F15" s="735">
        <f>'Energy Model tables'!$D$28</f>
        <v>220</v>
      </c>
      <c r="G15" s="735">
        <f>IF($C15&lt;&gt;"",HLOOKUP($C$7,'Energy Model tables'!$D$31:$G$32,2,FALSE),0)</f>
        <v>0</v>
      </c>
      <c r="H15" s="735">
        <f>INDEX('Energy Model tables'!$D$37:$G$52,MATCH($B15,'Energy Model tables'!$C$37:$C$52,0),MATCH($C$7,'Energy Model tables'!$D$36:$G$36,0))</f>
        <v>299.50866666666667</v>
      </c>
      <c r="I15" s="735">
        <f>IF($C15&lt;&gt;"",HLOOKUP($C$7,'Energy Model tables'!$D$55:$G$56,2,FALSE),0)</f>
        <v>0</v>
      </c>
      <c r="J15" s="735">
        <f t="shared" si="0"/>
        <v>299.50866666666667</v>
      </c>
      <c r="K15" s="735">
        <f t="shared" si="1"/>
        <v>638.93500000000006</v>
      </c>
      <c r="L15" s="735">
        <f t="shared" si="2"/>
        <v>858.93500000000006</v>
      </c>
      <c r="M15" s="735">
        <f t="shared" si="3"/>
        <v>339.42633333333339</v>
      </c>
      <c r="N15" s="735">
        <f t="shared" si="4"/>
        <v>559.42633333333333</v>
      </c>
      <c r="O15" s="735">
        <f t="shared" si="5"/>
        <v>-2500.1679999999992</v>
      </c>
      <c r="P15" s="735">
        <f t="shared" si="5"/>
        <v>-520.16800000000012</v>
      </c>
      <c r="Q15" s="735">
        <f>INDEX('Energy Model tables'!$D$61:$G$76,MATCH($B15,'Energy Model tables'!$C$61:$C$76,0),MATCH($C$7,'Energy Model tables'!$D$60:$G$60,0))</f>
        <v>263.70098015378096</v>
      </c>
      <c r="R15" s="735">
        <f>INDEX('Energy Model tables'!$J$61:$M$76,MATCH($B15,'Energy Model tables'!$I$61:$I$76,0),MATCH($C$7,'Energy Model tables'!$J$60:$M$60,0))</f>
        <v>424.45282525421737</v>
      </c>
      <c r="S15" s="735">
        <f>INDEX('Energy Model tables'!$D$81:$G$96,MATCH($B15,'Energy Model tables'!$C$81:$C$96,0),MATCH($C$7,'Energy Model tables'!$D$80:$G$80,0))</f>
        <v>-3079.494745954979</v>
      </c>
      <c r="T15" s="735">
        <f>INDEX('Energy Model tables'!$J$81:$M$96,MATCH($B15,'Energy Model tables'!$I$81:$I$96,0),MATCH($C$7,'Energy Model tables'!$J$80:$M$80,0))</f>
        <v>-1378.2908734658918</v>
      </c>
    </row>
    <row r="16" spans="1:20" x14ac:dyDescent="0.3">
      <c r="B16" s="410">
        <v>10</v>
      </c>
      <c r="C16" s="725"/>
      <c r="D16" s="735">
        <f>INDEX('Energy Model tables'!$D$6:$G$21,MATCH($B16,'Energy Model tables'!$C$6:$C$21,0),MATCH($C$7,'Energy Model tables'!$D$5:$G$5,0))</f>
        <v>11.617000000000001</v>
      </c>
      <c r="E16" s="735">
        <f>HLOOKUP($C$7,'Energy Model tables'!$D$24:$G$25,2,FALSE)</f>
        <v>55</v>
      </c>
      <c r="F16" s="735">
        <f>'Energy Model tables'!$D$28</f>
        <v>220</v>
      </c>
      <c r="G16" s="735">
        <f>IF($C16&lt;&gt;"",HLOOKUP($C$7,'Energy Model tables'!$D$31:$G$32,2,FALSE),0)</f>
        <v>0</v>
      </c>
      <c r="H16" s="735">
        <f>INDEX('Energy Model tables'!$D$37:$G$52,MATCH($B16,'Energy Model tables'!$C$37:$C$52,0),MATCH($C$7,'Energy Model tables'!$D$36:$G$36,0))</f>
        <v>299.50866666666667</v>
      </c>
      <c r="I16" s="735">
        <f>IF($C16&lt;&gt;"",HLOOKUP($C$7,'Energy Model tables'!$D$55:$G$56,2,FALSE),0)</f>
        <v>0</v>
      </c>
      <c r="J16" s="735">
        <f t="shared" si="0"/>
        <v>299.50866666666667</v>
      </c>
      <c r="K16" s="735">
        <f t="shared" si="1"/>
        <v>638.93500000000006</v>
      </c>
      <c r="L16" s="735">
        <f t="shared" si="2"/>
        <v>858.93500000000006</v>
      </c>
      <c r="M16" s="735">
        <f t="shared" si="3"/>
        <v>339.42633333333339</v>
      </c>
      <c r="N16" s="735">
        <f t="shared" si="4"/>
        <v>559.42633333333333</v>
      </c>
      <c r="O16" s="735">
        <f t="shared" si="5"/>
        <v>-2160.7416666666659</v>
      </c>
      <c r="P16" s="735">
        <f t="shared" si="5"/>
        <v>39.258333333333212</v>
      </c>
      <c r="Q16" s="735">
        <f>INDEX('Energy Model tables'!$D$61:$G$76,MATCH($B16,'Energy Model tables'!$C$61:$C$76,0),MATCH($C$7,'Energy Model tables'!$D$60:$G$60,0))</f>
        <v>253.55863476325089</v>
      </c>
      <c r="R16" s="735">
        <f>INDEX('Energy Model tables'!$J$61:$M$76,MATCH($B16,'Energy Model tables'!$I$61:$I$76,0),MATCH($C$7,'Energy Model tables'!$J$60:$M$60,0))</f>
        <v>408.12771659059359</v>
      </c>
      <c r="S16" s="735">
        <f>INDEX('Energy Model tables'!$D$81:$G$96,MATCH($B16,'Energy Model tables'!$C$81:$C$96,0),MATCH($C$7,'Energy Model tables'!$D$80:$G$80,0))</f>
        <v>-2825.9361111917278</v>
      </c>
      <c r="T16" s="735">
        <f>INDEX('Energy Model tables'!$J$81:$M$96,MATCH($B16,'Energy Model tables'!$I$81:$I$96,0),MATCH($C$7,'Energy Model tables'!$J$80:$M$80,0))</f>
        <v>-970.16315687529823</v>
      </c>
    </row>
    <row r="17" spans="2:20" x14ac:dyDescent="0.3">
      <c r="B17" s="410">
        <v>11</v>
      </c>
      <c r="C17" s="725"/>
      <c r="D17" s="735">
        <f>INDEX('Energy Model tables'!$D$6:$G$21,MATCH($B17,'Energy Model tables'!$C$6:$C$21,0),MATCH($C$7,'Energy Model tables'!$D$5:$G$5,0))</f>
        <v>11.617000000000001</v>
      </c>
      <c r="E17" s="735">
        <f>HLOOKUP($C$7,'Energy Model tables'!$D$24:$G$25,2,FALSE)</f>
        <v>55</v>
      </c>
      <c r="F17" s="735">
        <f>'Energy Model tables'!$D$28</f>
        <v>220</v>
      </c>
      <c r="G17" s="735">
        <f>IF($C17&lt;&gt;"",HLOOKUP($C$7,'Energy Model tables'!$D$31:$G$32,2,FALSE),0)</f>
        <v>0</v>
      </c>
      <c r="H17" s="735">
        <f>INDEX('Energy Model tables'!$D$37:$G$52,MATCH($B17,'Energy Model tables'!$C$37:$C$52,0),MATCH($C$7,'Energy Model tables'!$D$36:$G$36,0))</f>
        <v>299.50866666666667</v>
      </c>
      <c r="I17" s="735">
        <f>IF($C17&lt;&gt;"",HLOOKUP($C$7,'Energy Model tables'!$D$55:$G$56,2,FALSE),0)</f>
        <v>0</v>
      </c>
      <c r="J17" s="735">
        <f t="shared" si="0"/>
        <v>299.50866666666667</v>
      </c>
      <c r="K17" s="735">
        <f t="shared" si="1"/>
        <v>638.93500000000006</v>
      </c>
      <c r="L17" s="735">
        <f t="shared" si="2"/>
        <v>858.93500000000006</v>
      </c>
      <c r="M17" s="735">
        <f t="shared" si="3"/>
        <v>339.42633333333339</v>
      </c>
      <c r="N17" s="735">
        <f t="shared" si="4"/>
        <v>559.42633333333333</v>
      </c>
      <c r="O17" s="735">
        <f t="shared" si="5"/>
        <v>-1821.3153333333325</v>
      </c>
      <c r="P17" s="735">
        <f t="shared" si="5"/>
        <v>598.68466666666654</v>
      </c>
      <c r="Q17" s="735">
        <f>INDEX('Energy Model tables'!$D$61:$G$76,MATCH($B17,'Energy Model tables'!$C$61:$C$76,0),MATCH($C$7,'Energy Model tables'!$D$60:$G$60,0))</f>
        <v>243.80637958004894</v>
      </c>
      <c r="R17" s="735">
        <f>INDEX('Energy Model tables'!$J$61:$M$76,MATCH($B17,'Energy Model tables'!$I$61:$I$76,0),MATCH($C$7,'Energy Model tables'!$J$60:$M$60,0))</f>
        <v>392.43049672172464</v>
      </c>
      <c r="S17" s="735">
        <f>INDEX('Energy Model tables'!$D$81:$G$96,MATCH($B17,'Energy Model tables'!$C$81:$C$96,0),MATCH($C$7,'Energy Model tables'!$D$80:$G$80,0))</f>
        <v>-2582.1297316116788</v>
      </c>
      <c r="T17" s="735">
        <f>INDEX('Energy Model tables'!$J$81:$M$96,MATCH($B17,'Energy Model tables'!$I$81:$I$96,0),MATCH($C$7,'Energy Model tables'!$J$80:$M$80,0))</f>
        <v>-577.73266015357353</v>
      </c>
    </row>
    <row r="18" spans="2:20" x14ac:dyDescent="0.3">
      <c r="B18" s="410">
        <v>12</v>
      </c>
      <c r="C18" s="725"/>
      <c r="D18" s="735">
        <f>INDEX('Energy Model tables'!$D$6:$G$21,MATCH($B18,'Energy Model tables'!$C$6:$C$21,0),MATCH($C$7,'Energy Model tables'!$D$5:$G$5,0))</f>
        <v>11.617000000000001</v>
      </c>
      <c r="E18" s="735">
        <f>HLOOKUP($C$7,'Energy Model tables'!$D$24:$G$25,2,FALSE)</f>
        <v>55</v>
      </c>
      <c r="F18" s="735">
        <f>'Energy Model tables'!$D$28</f>
        <v>220</v>
      </c>
      <c r="G18" s="735">
        <f>IF($C18&lt;&gt;"",HLOOKUP($C$7,'Energy Model tables'!$D$31:$G$32,2,FALSE),0)</f>
        <v>0</v>
      </c>
      <c r="H18" s="735">
        <f>INDEX('Energy Model tables'!$D$37:$G$52,MATCH($B18,'Energy Model tables'!$C$37:$C$52,0),MATCH($C$7,'Energy Model tables'!$D$36:$G$36,0))</f>
        <v>299.50866666666667</v>
      </c>
      <c r="I18" s="735">
        <f>IF($C18&lt;&gt;"",HLOOKUP($C$7,'Energy Model tables'!$D$55:$G$56,2,FALSE),0)</f>
        <v>0</v>
      </c>
      <c r="J18" s="735">
        <f t="shared" si="0"/>
        <v>299.50866666666667</v>
      </c>
      <c r="K18" s="735">
        <f t="shared" si="1"/>
        <v>638.93500000000006</v>
      </c>
      <c r="L18" s="735">
        <f t="shared" si="2"/>
        <v>858.93500000000006</v>
      </c>
      <c r="M18" s="735">
        <f t="shared" si="3"/>
        <v>339.42633333333339</v>
      </c>
      <c r="N18" s="735">
        <f t="shared" si="4"/>
        <v>559.42633333333333</v>
      </c>
      <c r="O18" s="735">
        <f t="shared" si="5"/>
        <v>-1481.8889999999992</v>
      </c>
      <c r="P18" s="735">
        <f t="shared" si="5"/>
        <v>1158.1109999999999</v>
      </c>
      <c r="Q18" s="735">
        <f>INDEX('Energy Model tables'!$D$61:$G$76,MATCH($B18,'Energy Model tables'!$C$61:$C$76,0),MATCH($C$7,'Energy Model tables'!$D$60:$G$60,0))</f>
        <v>234.42921113466247</v>
      </c>
      <c r="R18" s="735">
        <f>INDEX('Energy Model tables'!$J$61:$M$76,MATCH($B18,'Energy Model tables'!$I$61:$I$76,0),MATCH($C$7,'Energy Model tables'!$J$60:$M$60,0))</f>
        <v>377.33701607858137</v>
      </c>
      <c r="S18" s="735">
        <f>INDEX('Energy Model tables'!$D$81:$G$96,MATCH($B18,'Energy Model tables'!$C$81:$C$96,0),MATCH($C$7,'Energy Model tables'!$D$80:$G$80,0))</f>
        <v>-2347.7005204770162</v>
      </c>
      <c r="T18" s="735">
        <f>INDEX('Energy Model tables'!$J$81:$M$96,MATCH($B18,'Energy Model tables'!$I$81:$I$96,0),MATCH($C$7,'Energy Model tables'!$J$80:$M$80,0))</f>
        <v>-200.39564407499216</v>
      </c>
    </row>
    <row r="19" spans="2:20" x14ac:dyDescent="0.3">
      <c r="B19" s="410">
        <v>13</v>
      </c>
      <c r="C19" s="725"/>
      <c r="D19" s="735">
        <f>INDEX('Energy Model tables'!$D$6:$G$21,MATCH($B19,'Energy Model tables'!$C$6:$C$21,0),MATCH($C$7,'Energy Model tables'!$D$5:$G$5,0))</f>
        <v>11.617000000000001</v>
      </c>
      <c r="E19" s="735">
        <f>HLOOKUP($C$7,'Energy Model tables'!$D$24:$G$25,2,FALSE)</f>
        <v>55</v>
      </c>
      <c r="F19" s="735">
        <f>'Energy Model tables'!$D$28</f>
        <v>220</v>
      </c>
      <c r="G19" s="735">
        <f>IF($C19&lt;&gt;"",HLOOKUP($C$7,'Energy Model tables'!$D$31:$G$32,2,FALSE),0)</f>
        <v>0</v>
      </c>
      <c r="H19" s="735">
        <f>INDEX('Energy Model tables'!$D$37:$G$52,MATCH($B19,'Energy Model tables'!$C$37:$C$52,0),MATCH($C$7,'Energy Model tables'!$D$36:$G$36,0))</f>
        <v>299.50866666666667</v>
      </c>
      <c r="I19" s="735">
        <f>IF($C19&lt;&gt;"",HLOOKUP($C$7,'Energy Model tables'!$D$55:$G$56,2,FALSE),0)</f>
        <v>0</v>
      </c>
      <c r="J19" s="735">
        <f t="shared" si="0"/>
        <v>299.50866666666667</v>
      </c>
      <c r="K19" s="735">
        <f t="shared" si="1"/>
        <v>638.93500000000006</v>
      </c>
      <c r="L19" s="735">
        <f t="shared" si="2"/>
        <v>858.93500000000006</v>
      </c>
      <c r="M19" s="735">
        <f t="shared" si="3"/>
        <v>339.42633333333339</v>
      </c>
      <c r="N19" s="735">
        <f t="shared" si="4"/>
        <v>559.42633333333333</v>
      </c>
      <c r="O19" s="735">
        <f t="shared" si="5"/>
        <v>-1142.4626666666659</v>
      </c>
      <c r="P19" s="735">
        <f t="shared" si="5"/>
        <v>1717.5373333333332</v>
      </c>
      <c r="Q19" s="735">
        <f>INDEX('Energy Model tables'!$D$61:$G$76,MATCH($B19,'Energy Model tables'!$C$61:$C$76,0),MATCH($C$7,'Energy Model tables'!$D$60:$G$60,0))</f>
        <v>225.41270301409847</v>
      </c>
      <c r="R19" s="735">
        <f>INDEX('Energy Model tables'!$J$61:$M$76,MATCH($B19,'Energy Model tables'!$I$61:$I$76,0),MATCH($C$7,'Energy Model tables'!$J$60:$M$60,0))</f>
        <v>362.82405392171279</v>
      </c>
      <c r="S19" s="735">
        <f>INDEX('Energy Model tables'!$D$81:$G$96,MATCH($B19,'Energy Model tables'!$C$81:$C$96,0),MATCH($C$7,'Energy Model tables'!$D$80:$G$80,0))</f>
        <v>-2122.2878174629177</v>
      </c>
      <c r="T19" s="735">
        <f>INDEX('Energy Model tables'!$J$81:$M$96,MATCH($B19,'Energy Model tables'!$I$81:$I$96,0),MATCH($C$7,'Energy Model tables'!$J$80:$M$80,0))</f>
        <v>162.42840984672063</v>
      </c>
    </row>
    <row r="20" spans="2:20" x14ac:dyDescent="0.3">
      <c r="B20" s="410">
        <v>14</v>
      </c>
      <c r="C20" s="725"/>
      <c r="D20" s="735">
        <f>INDEX('Energy Model tables'!$D$6:$G$21,MATCH($B20,'Energy Model tables'!$C$6:$C$21,0),MATCH($C$7,'Energy Model tables'!$D$5:$G$5,0))</f>
        <v>11.617000000000001</v>
      </c>
      <c r="E20" s="735">
        <f>HLOOKUP($C$7,'Energy Model tables'!$D$24:$G$25,2,FALSE)</f>
        <v>55</v>
      </c>
      <c r="F20" s="735">
        <f>'Energy Model tables'!$D$28</f>
        <v>220</v>
      </c>
      <c r="G20" s="735">
        <f>IF($C20&lt;&gt;"",HLOOKUP($C$7,'Energy Model tables'!$D$31:$G$32,2,FALSE),0)</f>
        <v>0</v>
      </c>
      <c r="H20" s="735">
        <f>INDEX('Energy Model tables'!$D$37:$G$52,MATCH($B20,'Energy Model tables'!$C$37:$C$52,0),MATCH($C$7,'Energy Model tables'!$D$36:$G$36,0))</f>
        <v>299.50866666666667</v>
      </c>
      <c r="I20" s="735">
        <f>IF($C20&lt;&gt;"",HLOOKUP($C$7,'Energy Model tables'!$D$55:$G$56,2,FALSE),0)</f>
        <v>0</v>
      </c>
      <c r="J20" s="735">
        <f t="shared" si="0"/>
        <v>299.50866666666667</v>
      </c>
      <c r="K20" s="735">
        <f t="shared" si="1"/>
        <v>638.93500000000006</v>
      </c>
      <c r="L20" s="735">
        <f t="shared" si="2"/>
        <v>858.93500000000006</v>
      </c>
      <c r="M20" s="735">
        <f t="shared" si="3"/>
        <v>339.42633333333339</v>
      </c>
      <c r="N20" s="735">
        <f t="shared" si="4"/>
        <v>559.42633333333333</v>
      </c>
      <c r="O20" s="735">
        <f t="shared" si="5"/>
        <v>-803.03633333333255</v>
      </c>
      <c r="P20" s="735">
        <f t="shared" si="5"/>
        <v>2276.9636666666665</v>
      </c>
      <c r="Q20" s="735">
        <f>INDEX('Energy Model tables'!$D$61:$G$76,MATCH($B20,'Energy Model tables'!$C$61:$C$76,0),MATCH($C$7,'Energy Model tables'!$D$60:$G$60,0))</f>
        <v>216.74298366740237</v>
      </c>
      <c r="R20" s="735">
        <f>INDEX('Energy Model tables'!$J$61:$M$76,MATCH($B20,'Energy Model tables'!$I$61:$I$76,0),MATCH($C$7,'Energy Model tables'!$J$60:$M$60,0))</f>
        <v>348.8692826170315</v>
      </c>
      <c r="S20" s="735">
        <f>INDEX('Energy Model tables'!$D$81:$G$96,MATCH($B20,'Energy Model tables'!$C$81:$C$96,0),MATCH($C$7,'Energy Model tables'!$D$80:$G$80,0))</f>
        <v>-1905.5448337955154</v>
      </c>
      <c r="T20" s="735">
        <f>INDEX('Energy Model tables'!$J$81:$M$96,MATCH($B20,'Energy Model tables'!$I$81:$I$96,0),MATCH($C$7,'Energy Model tables'!$J$80:$M$80,0))</f>
        <v>511.29769246375213</v>
      </c>
    </row>
    <row r="21" spans="2:20" x14ac:dyDescent="0.3">
      <c r="B21" s="410">
        <v>15</v>
      </c>
      <c r="C21" s="725"/>
      <c r="D21" s="735">
        <f>INDEX('Energy Model tables'!$D$6:$G$21,MATCH($B21,'Energy Model tables'!$C$6:$C$21,0),MATCH($C$7,'Energy Model tables'!$D$5:$G$5,0))</f>
        <v>11.617000000000001</v>
      </c>
      <c r="E21" s="735">
        <f>HLOOKUP($C$7,'Energy Model tables'!$D$24:$G$25,2,FALSE)</f>
        <v>55</v>
      </c>
      <c r="F21" s="735">
        <f>'Energy Model tables'!$D$28</f>
        <v>220</v>
      </c>
      <c r="G21" s="735">
        <f>IF($C21&lt;&gt;"",HLOOKUP($C$7,'Energy Model tables'!$D$31:$G$32,2,FALSE),0)</f>
        <v>0</v>
      </c>
      <c r="H21" s="735">
        <f>INDEX('Energy Model tables'!$D$37:$G$52,MATCH($B21,'Energy Model tables'!$C$37:$C$52,0),MATCH($C$7,'Energy Model tables'!$D$36:$G$36,0))</f>
        <v>299.50866666666667</v>
      </c>
      <c r="I21" s="735">
        <f>IF($C21&lt;&gt;"",HLOOKUP($C$7,'Energy Model tables'!$D$55:$G$56,2,FALSE),0)</f>
        <v>0</v>
      </c>
      <c r="J21" s="735">
        <f t="shared" si="0"/>
        <v>299.50866666666667</v>
      </c>
      <c r="K21" s="735">
        <f t="shared" si="1"/>
        <v>638.93500000000006</v>
      </c>
      <c r="L21" s="735">
        <f t="shared" si="2"/>
        <v>858.93500000000006</v>
      </c>
      <c r="M21" s="735">
        <f t="shared" si="3"/>
        <v>339.42633333333339</v>
      </c>
      <c r="N21" s="735">
        <f t="shared" si="4"/>
        <v>559.42633333333333</v>
      </c>
      <c r="O21" s="735">
        <f t="shared" si="5"/>
        <v>-463.60999999999916</v>
      </c>
      <c r="P21" s="735">
        <f t="shared" si="5"/>
        <v>2836.39</v>
      </c>
      <c r="Q21" s="735">
        <f>INDEX('Energy Model tables'!$D$61:$G$76,MATCH($B21,'Energy Model tables'!$C$61:$C$76,0),MATCH($C$7,'Energy Model tables'!$D$60:$G$60,0))</f>
        <v>208.40671506480996</v>
      </c>
      <c r="R21" s="735">
        <f>INDEX('Energy Model tables'!$J$61:$M$76,MATCH($B21,'Energy Model tables'!$I$61:$I$76,0),MATCH($C$7,'Energy Model tables'!$J$60:$M$60,0))</f>
        <v>335.45123328560726</v>
      </c>
      <c r="S21" s="735">
        <f>INDEX('Energy Model tables'!$D$81:$G$96,MATCH($B21,'Energy Model tables'!$C$81:$C$96,0),MATCH($C$7,'Energy Model tables'!$D$80:$G$80,0))</f>
        <v>-1697.1381187307054</v>
      </c>
      <c r="T21" s="735">
        <f>INDEX('Energy Model tables'!$J$81:$M$96,MATCH($B21,'Energy Model tables'!$I$81:$I$96,0),MATCH($C$7,'Energy Model tables'!$J$80:$M$80,0))</f>
        <v>846.74892574935939</v>
      </c>
    </row>
    <row r="22" spans="2:20" x14ac:dyDescent="0.3">
      <c r="B22" s="551">
        <v>16</v>
      </c>
      <c r="C22" s="729"/>
      <c r="D22" s="736">
        <f>INDEX('Energy Model tables'!$D$6:$G$21,MATCH($B22,'Energy Model tables'!$C$6:$C$21,0),MATCH($C$7,'Energy Model tables'!$D$5:$G$5,0))</f>
        <v>11.617000000000001</v>
      </c>
      <c r="E22" s="736">
        <f>HLOOKUP($C$7,'Energy Model tables'!$D$24:$G$25,2,FALSE)</f>
        <v>55</v>
      </c>
      <c r="F22" s="736">
        <f>'Energy Model tables'!$D$28</f>
        <v>220</v>
      </c>
      <c r="G22" s="736">
        <f>IF($C22&lt;&gt;"",HLOOKUP($C$7,'Energy Model tables'!$D$31:$G$32,2,FALSE),0)</f>
        <v>0</v>
      </c>
      <c r="H22" s="736">
        <f>INDEX('Energy Model tables'!$D$37:$G$52,MATCH($B22,'Energy Model tables'!$C$37:$C$52,0),MATCH($C$7,'Energy Model tables'!$D$36:$G$36,0))</f>
        <v>299.50866666666667</v>
      </c>
      <c r="I22" s="736">
        <f>IF($C7&lt;&gt;"",HLOOKUP($C$7,'Energy Model tables'!$D$55:$G$56,2,FALSE),0)</f>
        <v>170</v>
      </c>
      <c r="J22" s="736">
        <f t="shared" si="0"/>
        <v>469.50866666666667</v>
      </c>
      <c r="K22" s="736">
        <f t="shared" si="1"/>
        <v>638.93500000000006</v>
      </c>
      <c r="L22" s="736">
        <f t="shared" si="2"/>
        <v>858.93500000000006</v>
      </c>
      <c r="M22" s="736">
        <f t="shared" si="3"/>
        <v>169.42633333333339</v>
      </c>
      <c r="N22" s="736">
        <f t="shared" si="4"/>
        <v>389.42633333333339</v>
      </c>
      <c r="O22" s="736">
        <f t="shared" si="5"/>
        <v>-294.18366666666577</v>
      </c>
      <c r="P22" s="736">
        <f t="shared" si="5"/>
        <v>3225.8163333333332</v>
      </c>
      <c r="Q22" s="736">
        <f>INDEX('Energy Model tables'!$D$61:$G$76,MATCH($B22,'Energy Model tables'!$C$61:$C$76,0),MATCH($C$7,'Energy Model tables'!$D$60:$G$60,0))</f>
        <v>105.99610671644518</v>
      </c>
      <c r="R22" s="736">
        <f>INDEX('Energy Model tables'!$J$61:$M$76,MATCH($B22,'Energy Model tables'!$I$61:$I$76,0),MATCH($C$7,'Energy Model tables'!$J$60:$M$60,0))</f>
        <v>228.15429731336565</v>
      </c>
      <c r="S22" s="736">
        <f>INDEX('Energy Model tables'!$D$81:$G$96,MATCH($B22,'Energy Model tables'!$C$81:$C$96,0),MATCH($C$7,'Energy Model tables'!$D$80:$G$80,0))</f>
        <v>-1591.1420120142602</v>
      </c>
      <c r="T22" s="736">
        <f>INDEX('Energy Model tables'!$J$81:$M$96,MATCH($B22,'Energy Model tables'!$I$81:$I$96,0),MATCH($C$7,'Energy Model tables'!$J$80:$M$80,0))</f>
        <v>1074.9032230627249</v>
      </c>
    </row>
    <row r="23" spans="2:20" x14ac:dyDescent="0.3">
      <c r="C23" s="361"/>
      <c r="N23" s="39"/>
      <c r="O23" s="39"/>
      <c r="P23" s="39"/>
      <c r="Q23" s="39"/>
      <c r="R23" s="39"/>
    </row>
    <row r="25" spans="2:20" x14ac:dyDescent="0.3">
      <c r="D25" s="24"/>
      <c r="E25" s="24"/>
      <c r="F25" s="24"/>
    </row>
    <row r="26" spans="2:20" ht="30" x14ac:dyDescent="0.3">
      <c r="B26" s="86"/>
      <c r="C26" s="357" t="s">
        <v>371</v>
      </c>
      <c r="D26" s="358" t="s">
        <v>372</v>
      </c>
      <c r="E26" s="358" t="s">
        <v>373</v>
      </c>
      <c r="F26" s="358" t="s">
        <v>374</v>
      </c>
    </row>
    <row r="27" spans="2:20" x14ac:dyDescent="0.3">
      <c r="B27" s="86"/>
      <c r="C27" s="357" t="s">
        <v>486</v>
      </c>
      <c r="D27" s="358" t="s">
        <v>477</v>
      </c>
      <c r="E27" s="358" t="s">
        <v>477</v>
      </c>
      <c r="F27" s="358" t="s">
        <v>485</v>
      </c>
    </row>
    <row r="28" spans="2:20" x14ac:dyDescent="0.3">
      <c r="B28" s="86" t="s">
        <v>301</v>
      </c>
      <c r="C28" s="359">
        <v>0</v>
      </c>
      <c r="D28" s="739">
        <f>'Energy NPV'!C6</f>
        <v>0.04</v>
      </c>
      <c r="E28" s="86"/>
      <c r="F28" s="86"/>
    </row>
    <row r="29" spans="2:20" x14ac:dyDescent="0.3">
      <c r="B29" s="86" t="s">
        <v>496</v>
      </c>
      <c r="C29" s="771">
        <f>O22</f>
        <v>-294.18366666666577</v>
      </c>
      <c r="D29" s="771">
        <f>S22</f>
        <v>-1591.1420120142602</v>
      </c>
      <c r="E29" s="771">
        <f>D29*((1+$D$28)^16)/(((1+$D$28)^16)-1)</f>
        <v>-3413.7951558270329</v>
      </c>
      <c r="F29" s="771">
        <f>E29*$D$28</f>
        <v>-136.55180623308132</v>
      </c>
    </row>
    <row r="30" spans="2:20" x14ac:dyDescent="0.3">
      <c r="B30" s="86" t="s">
        <v>497</v>
      </c>
      <c r="C30" s="771">
        <f>P22</f>
        <v>3225.8163333333332</v>
      </c>
      <c r="D30" s="771">
        <f>T22</f>
        <v>1074.9032230627249</v>
      </c>
      <c r="E30" s="771">
        <f>D30*((1+$D$28)^16)/(((1+$D$28)^16)-1)</f>
        <v>2306.2048441729585</v>
      </c>
      <c r="F30" s="771">
        <f>E30*$D$28</f>
        <v>92.248193766918334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'Energy Model tables'!$D$5:$G$5</xm:f>
          </x14:formula1>
          <xm:sqref>C7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AI106"/>
  <sheetViews>
    <sheetView topLeftCell="A76" zoomScaleNormal="100" workbookViewId="0">
      <selection activeCell="L90" sqref="L90"/>
    </sheetView>
  </sheetViews>
  <sheetFormatPr defaultColWidth="9" defaultRowHeight="14" x14ac:dyDescent="0.3"/>
  <cols>
    <col min="1" max="1" width="13.75" customWidth="1"/>
    <col min="2" max="5" width="9" customWidth="1"/>
  </cols>
  <sheetData>
    <row r="2" spans="2:35" ht="14.5" thickBot="1" x14ac:dyDescent="0.35"/>
    <row r="3" spans="2:35" ht="14.5" thickBot="1" x14ac:dyDescent="0.35">
      <c r="B3" s="350" t="s">
        <v>475</v>
      </c>
      <c r="C3" s="351"/>
      <c r="D3" s="351"/>
      <c r="E3" s="229"/>
      <c r="F3" s="200"/>
    </row>
    <row r="6" spans="2:35" x14ac:dyDescent="0.3">
      <c r="B6" s="86" t="s">
        <v>301</v>
      </c>
      <c r="C6" s="757">
        <f>'Arable NPV'!C6</f>
        <v>0.04</v>
      </c>
    </row>
    <row r="7" spans="2:35" x14ac:dyDescent="0.3">
      <c r="B7" s="24"/>
      <c r="C7" s="24"/>
      <c r="D7" s="24"/>
      <c r="E7" s="24"/>
      <c r="F7" s="24"/>
    </row>
    <row r="9" spans="2:35" x14ac:dyDescent="0.3">
      <c r="B9" s="211" t="s">
        <v>94</v>
      </c>
      <c r="C9" s="230"/>
      <c r="D9" s="230"/>
      <c r="E9" s="230"/>
      <c r="F9" s="194"/>
      <c r="G9" s="193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</row>
    <row r="10" spans="2:35" x14ac:dyDescent="0.3">
      <c r="B10" s="203"/>
      <c r="C10" s="148"/>
      <c r="D10" s="148"/>
      <c r="E10" s="148"/>
      <c r="F10" s="1124"/>
      <c r="G10" s="1124"/>
      <c r="H10" s="1124"/>
      <c r="I10" s="148"/>
      <c r="J10" s="940" t="s">
        <v>88</v>
      </c>
      <c r="K10" s="941"/>
      <c r="L10" s="941"/>
      <c r="M10" s="941"/>
      <c r="N10" s="941"/>
      <c r="O10" s="941"/>
      <c r="P10" s="941"/>
      <c r="Q10" s="941"/>
      <c r="R10" s="941"/>
      <c r="S10" s="941"/>
      <c r="T10" s="941"/>
      <c r="U10" s="942"/>
      <c r="V10" s="1124"/>
      <c r="W10" s="1124"/>
      <c r="X10" s="148"/>
      <c r="Y10" s="148"/>
      <c r="Z10" s="1125" t="s">
        <v>279</v>
      </c>
      <c r="AA10" s="1126"/>
      <c r="AB10" s="1126"/>
      <c r="AC10" s="1126"/>
      <c r="AD10" s="1127"/>
      <c r="AE10" s="1125" t="s">
        <v>280</v>
      </c>
      <c r="AF10" s="1126"/>
      <c r="AG10" s="1126"/>
      <c r="AH10" s="1126"/>
      <c r="AI10" s="1127"/>
    </row>
    <row r="11" spans="2:35" ht="51" x14ac:dyDescent="0.3">
      <c r="B11" s="204" t="s">
        <v>281</v>
      </c>
      <c r="C11" s="205" t="s">
        <v>615</v>
      </c>
      <c r="D11" s="205" t="s">
        <v>307</v>
      </c>
      <c r="E11" s="205" t="s">
        <v>308</v>
      </c>
      <c r="F11" s="171" t="s">
        <v>283</v>
      </c>
      <c r="G11" s="171" t="s">
        <v>10</v>
      </c>
      <c r="H11" s="171" t="s">
        <v>284</v>
      </c>
      <c r="I11" s="205" t="s">
        <v>305</v>
      </c>
      <c r="J11" s="912" t="s">
        <v>255</v>
      </c>
      <c r="K11" s="913" t="s">
        <v>35</v>
      </c>
      <c r="L11" s="913" t="s">
        <v>584</v>
      </c>
      <c r="M11" s="913" t="s">
        <v>147</v>
      </c>
      <c r="N11" s="914" t="s">
        <v>621</v>
      </c>
      <c r="O11" s="914" t="s">
        <v>645</v>
      </c>
      <c r="P11" s="914" t="s">
        <v>644</v>
      </c>
      <c r="Q11" s="928" t="s">
        <v>182</v>
      </c>
      <c r="R11" s="928" t="s">
        <v>527</v>
      </c>
      <c r="S11" s="929" t="s">
        <v>528</v>
      </c>
      <c r="T11" s="928" t="s">
        <v>529</v>
      </c>
      <c r="U11" s="915" t="s">
        <v>306</v>
      </c>
      <c r="V11" s="205" t="s">
        <v>309</v>
      </c>
      <c r="W11" s="171" t="s">
        <v>287</v>
      </c>
      <c r="X11" s="171" t="s">
        <v>288</v>
      </c>
      <c r="Y11" s="171" t="s">
        <v>289</v>
      </c>
      <c r="Z11" s="195" t="s">
        <v>290</v>
      </c>
      <c r="AA11" s="171" t="s">
        <v>291</v>
      </c>
      <c r="AB11" s="171" t="s">
        <v>292</v>
      </c>
      <c r="AC11" s="171" t="s">
        <v>293</v>
      </c>
      <c r="AD11" s="198" t="s">
        <v>294</v>
      </c>
      <c r="AE11" s="195" t="s">
        <v>295</v>
      </c>
      <c r="AF11" s="171" t="s">
        <v>296</v>
      </c>
      <c r="AG11" s="171" t="s">
        <v>297</v>
      </c>
      <c r="AH11" s="171" t="s">
        <v>298</v>
      </c>
      <c r="AI11" s="198" t="s">
        <v>299</v>
      </c>
    </row>
    <row r="12" spans="2:35" x14ac:dyDescent="0.3">
      <c r="B12" s="210"/>
      <c r="C12" s="225" t="s">
        <v>616</v>
      </c>
      <c r="D12" s="225" t="s">
        <v>356</v>
      </c>
      <c r="E12" s="225" t="s">
        <v>476</v>
      </c>
      <c r="F12" s="225" t="s">
        <v>477</v>
      </c>
      <c r="G12" s="225" t="s">
        <v>477</v>
      </c>
      <c r="H12" s="225" t="s">
        <v>477</v>
      </c>
      <c r="I12" s="225" t="s">
        <v>477</v>
      </c>
      <c r="J12" s="916" t="s">
        <v>460</v>
      </c>
      <c r="K12" s="917" t="s">
        <v>460</v>
      </c>
      <c r="L12" s="917" t="s">
        <v>460</v>
      </c>
      <c r="M12" s="917" t="s">
        <v>460</v>
      </c>
      <c r="N12" s="917" t="s">
        <v>460</v>
      </c>
      <c r="O12" s="917" t="s">
        <v>460</v>
      </c>
      <c r="P12" s="917" t="s">
        <v>460</v>
      </c>
      <c r="Q12" s="918" t="s">
        <v>460</v>
      </c>
      <c r="R12" s="918" t="s">
        <v>460</v>
      </c>
      <c r="S12" s="918" t="s">
        <v>460</v>
      </c>
      <c r="T12" s="918" t="s">
        <v>462</v>
      </c>
      <c r="U12" s="919" t="s">
        <v>477</v>
      </c>
      <c r="V12" s="226" t="s">
        <v>477</v>
      </c>
      <c r="W12" s="226" t="s">
        <v>477</v>
      </c>
      <c r="X12" s="226" t="s">
        <v>477</v>
      </c>
      <c r="Y12" s="717" t="s">
        <v>477</v>
      </c>
      <c r="Z12" s="226" t="s">
        <v>477</v>
      </c>
      <c r="AA12" s="226" t="s">
        <v>477</v>
      </c>
      <c r="AB12" s="226" t="s">
        <v>477</v>
      </c>
      <c r="AC12" s="226" t="s">
        <v>477</v>
      </c>
      <c r="AD12" s="717" t="s">
        <v>477</v>
      </c>
      <c r="AE12" s="226" t="s">
        <v>477</v>
      </c>
      <c r="AF12" s="226" t="s">
        <v>477</v>
      </c>
      <c r="AG12" s="226" t="s">
        <v>477</v>
      </c>
      <c r="AH12" s="226" t="s">
        <v>477</v>
      </c>
      <c r="AI12" s="717" t="s">
        <v>477</v>
      </c>
    </row>
    <row r="13" spans="2:35" x14ac:dyDescent="0.3">
      <c r="B13" s="880">
        <v>1</v>
      </c>
      <c r="C13" s="907">
        <f>'Energy Inputs'!D30</f>
        <v>0</v>
      </c>
      <c r="D13" s="907">
        <f>C13*'Energy Inputs'!$D$24</f>
        <v>0</v>
      </c>
      <c r="E13" s="213">
        <f>'Energy margins'!$E$12</f>
        <v>55</v>
      </c>
      <c r="F13" s="907">
        <f t="shared" ref="F13:F28" si="0">D13*E13</f>
        <v>0</v>
      </c>
      <c r="G13" s="907">
        <f>'Energy Inputs'!$D$10</f>
        <v>220</v>
      </c>
      <c r="H13" s="213">
        <f>F13+G13</f>
        <v>220</v>
      </c>
      <c r="I13" s="908">
        <f>'Margins summary'!P20</f>
        <v>1642.4049999999997</v>
      </c>
      <c r="J13" s="949">
        <f>IF(ISERROR(IF(MOD(IF(AND(B13&gt;='Energy margins'!$F$44,B13&lt;='Energy margins'!$G$44),B13-'Energy margins'!$F$44,""),'Energy margins'!$H$44)=0,'Energy margins'!$E$44,0)),0,IF(MOD(IF(AND(B13&gt;='Energy margins'!$F$44,B13&lt;='Energy margins'!$G$44),B13-'Energy margins'!$F$44,""),'Energy margins'!$H$44)=0,'Energy margins'!$E$44,0))</f>
        <v>0</v>
      </c>
      <c r="K13" s="907">
        <f>IF(ISERROR(IF(MOD(IF(AND(B13&gt;='Energy margins'!$F$45,B13&lt;='Energy margins'!$G$45),B13-'Energy margins'!$F$45,""),'Energy margins'!$H$45)=0,'Energy margins'!$E$45,0)),0,IF(MOD(IF(AND(B13&gt;='Energy margins'!$F$45,B13&lt;='Energy margins'!$G$45),B13-'Energy margins'!$F$45,""),'Energy margins'!$H$45)=0,'Energy margins'!$E$45,0))</f>
        <v>0</v>
      </c>
      <c r="L13" s="907">
        <f>IF(ISERROR(IF(MOD(IF(AND(B13&gt;='Energy margins'!$F$46,B13&lt;='Energy margins'!$G$46),B13-'Energy margins'!$F$46,""),'Energy margins'!$H$46)=0,'Energy margins'!$E$46,0)),0,IF(MOD(IF(AND(B13&gt;='Energy margins'!$F$46,B13&lt;='Energy margins'!$G$46),B13-'Energy margins'!$F$46,""),'Energy margins'!$H$46)=0,'Energy margins'!$E$46,0))</f>
        <v>0</v>
      </c>
      <c r="M13" s="907">
        <f>IF(ISERROR(IF(MOD(IF(AND(B13&gt;='Energy margins'!$F$47,B13&lt;='Energy margins'!$G$47),B13-'Energy margins'!$F$47,""),'Energy margins'!$H$47)=0,'Energy margins'!$E$47,0)),0,IF(MOD(IF(AND(B13&gt;='Energy margins'!$F$47,B13&lt;='Energy margins'!$G$47),B13-'Energy margins'!$F$47,""),'Energy margins'!$H$47)=0,'Energy margins'!$E$47,0))</f>
        <v>0</v>
      </c>
      <c r="N13" s="907">
        <f>IF(ISERROR(IF(MOD(IF(AND(B13&gt;='Energy margins'!$F$50,B13&lt;='Energy margins'!$G$50),B13-'Energy margins'!$F$50,""),'Energy margins'!$H$50)=0,'Energy margins'!$E$50,0)),0,IF(MOD(IF(AND(B13&gt;='Energy margins'!$F$50,B13&lt;='Energy margins'!$G$50),B13-'Energy margins'!$F$50,""),'Energy margins'!$H$50)=0,'Energy margins'!$E$50,0))</f>
        <v>0</v>
      </c>
      <c r="O13" s="907">
        <f>IF(ISERROR(IF(MOD(IF(AND(B13&gt;='Energy margins'!$F$53,B13&lt;='Energy margins'!$G$53),B13-'Energy margins'!$F$53,""),'Energy margins'!$H$53)=0,'Energy margins'!$E$53,0)),0,IF(MOD(IF(AND(B13&gt;='Energy margins'!$F$53,B13&lt;='Energy margins'!$G$53),B13-'Energy margins'!$F$53,""),'Energy margins'!$H$53)=0,'Energy margins'!$E$53,0))</f>
        <v>0</v>
      </c>
      <c r="P13" s="907">
        <f>IF(ISERROR(IF(MOD(IF(AND(B13&gt;='Energy margins'!$F$56,B13&lt;='Energy margins'!$G$56),B13-'Energy margins'!$F$56,""),'Energy margins'!$H$56)=0,'Energy margins'!$E$56,0)),0,IF(MOD(IF(AND(B13&gt;='Energy margins'!$F$56,B13&lt;='Energy margins'!$G$56),B13-'Energy margins'!$F$56,""),'Energy margins'!$H$56)=0,'Energy margins'!$E$56,0))</f>
        <v>0</v>
      </c>
      <c r="Q13" s="907">
        <f>IF(ISERROR(IF(MOD(IF(AND(B13&gt;='Energy margins'!$F$59,B13&lt;='Energy margins'!$G$59),B13-'Energy margins'!$F$59,""),'Energy margins'!$H$59)=0,'Energy margins'!$E$59,0)),0,IF(MOD(IF(AND(B13&gt;='Energy margins'!$F$59,B13&lt;='Energy margins'!$G$59),B13-'Energy margins'!$F$59,""),'Energy margins'!$H$59)=0,'Energy margins'!$E$59,0))</f>
        <v>0</v>
      </c>
      <c r="R13" s="907">
        <f>IF(ISERROR(IF(MOD(IF(AND(B13&gt;='Energy margins'!$F$60,B13&lt;='Energy margins'!$G$60),B13-'Energy margins'!$F$60,""),'Energy margins'!$H$60)=0,'Energy margins'!$E$60,0)),0,IF(MOD(IF(AND(B13&gt;='Energy margins'!$F$60,B13&lt;='Energy margins'!$G$60),B13-'Energy margins'!$F$60,""),'Energy margins'!$H$60)=0,'Energy margins'!$E$60,0))</f>
        <v>0</v>
      </c>
      <c r="S13" s="907">
        <f>IF(ISERROR(IF(MOD(IF(AND(B13&gt;='Energy margins'!$F$61,B13&lt;='Energy margins'!$G$61),B13-'Energy margins'!$F$61,""),'Energy margins'!$H$61)=0,'Energy margins'!$E$61,0)),0,IF(MOD(IF(AND(B13&gt;='Energy margins'!$F$61,B13&lt;='Energy margins'!$G$61),B13-'Energy margins'!$F$61,""),'Energy margins'!$H$61)=0,'Energy margins'!$E$61,0))</f>
        <v>0</v>
      </c>
      <c r="T13" s="907">
        <f>IF(ISERROR(IF(MOD(IF(AND(B13&gt;='Energy margins'!$F$62,B13&lt;='Energy margins'!$G$62),B13-'Energy margins'!$F$62,""),'Energy margins'!$H$62)=0,'Energy margins'!$E$62,0)),0,IF(MOD(IF(AND(B13&gt;='Energy margins'!$F$62,B13&lt;='Energy margins'!$G$62),B13-'Energy margins'!$F$62,""),'Energy margins'!$H$62)=0,'Energy margins'!$E$62,0))</f>
        <v>0</v>
      </c>
      <c r="U13" s="921">
        <f>SUM(J13:T13)</f>
        <v>0</v>
      </c>
      <c r="V13" s="197"/>
      <c r="W13" s="197">
        <f>I13+U13+V13</f>
        <v>1642.4049999999997</v>
      </c>
      <c r="X13" s="197">
        <f>F13-W13</f>
        <v>-1642.4049999999997</v>
      </c>
      <c r="Y13" s="197">
        <f t="shared" ref="Y13:Y28" si="1">H13-W13</f>
        <v>-1422.4049999999997</v>
      </c>
      <c r="Z13" s="952">
        <f>F13/((1+$C$6)^($B13-1))</f>
        <v>0</v>
      </c>
      <c r="AA13" s="953">
        <f>G13/(1+$C$6)^($B13-1)</f>
        <v>220</v>
      </c>
      <c r="AB13" s="953">
        <f>W13/((1+$C$6)^($B13-1))</f>
        <v>1642.4049999999997</v>
      </c>
      <c r="AC13" s="1019">
        <f>Z13-AB13</f>
        <v>-1642.4049999999997</v>
      </c>
      <c r="AD13" s="1020">
        <f>AC13+AA13</f>
        <v>-1422.4049999999997</v>
      </c>
      <c r="AE13" s="952">
        <f>Z13</f>
        <v>0</v>
      </c>
      <c r="AF13" s="953">
        <f>AA13</f>
        <v>220</v>
      </c>
      <c r="AG13" s="953">
        <f>AB13</f>
        <v>1642.4049999999997</v>
      </c>
      <c r="AH13" s="1019">
        <f>AC13</f>
        <v>-1642.4049999999997</v>
      </c>
      <c r="AI13" s="1020">
        <f>AD13</f>
        <v>-1422.4049999999997</v>
      </c>
    </row>
    <row r="14" spans="2:35" x14ac:dyDescent="0.3">
      <c r="B14" s="881">
        <v>2</v>
      </c>
      <c r="C14" s="897">
        <f>'Energy Inputs'!D31</f>
        <v>0</v>
      </c>
      <c r="D14" s="897">
        <f>C14*'Energy Inputs'!$D$24</f>
        <v>0</v>
      </c>
      <c r="E14" s="197">
        <f>'Energy margins'!$E$12</f>
        <v>55</v>
      </c>
      <c r="F14" s="897">
        <f t="shared" si="0"/>
        <v>0</v>
      </c>
      <c r="G14" s="897">
        <f>'Energy Inputs'!$D$10</f>
        <v>220</v>
      </c>
      <c r="H14" s="197">
        <f t="shared" ref="H14:H28" si="2">F14+G14</f>
        <v>220</v>
      </c>
      <c r="I14" s="199"/>
      <c r="J14" s="899">
        <f>IF(ISERROR(IF(MOD(IF(AND(B14&gt;='Energy margins'!$F$44,B14&lt;='Energy margins'!$G$44),B14-'Energy margins'!$F$44,""),'Energy margins'!$H$44)=0,'Energy margins'!$E$44,0)),0,IF(MOD(IF(AND(B14&gt;='Energy margins'!$F$44,B14&lt;='Energy margins'!$G$44),B14-'Energy margins'!$F$44,""),'Energy margins'!$H$44)=0,'Energy margins'!$E$44,0))</f>
        <v>0</v>
      </c>
      <c r="K14" s="897">
        <f>IF(ISERROR(IF(MOD(IF(AND(B14&gt;='Energy margins'!$F$45,B14&lt;='Energy margins'!$G$45),B14-'Energy margins'!$F$45,""),'Energy margins'!$H$45)=0,'Energy margins'!$E$45,0)),0,IF(MOD(IF(AND(B14&gt;='Energy margins'!$F$45,B14&lt;='Energy margins'!$G$45),B14-'Energy margins'!$F$45,""),'Energy margins'!$H$45)=0,'Energy margins'!$E$45,0))</f>
        <v>40.299999999999997</v>
      </c>
      <c r="L14" s="897">
        <f>IF(ISERROR(IF(MOD(IF(AND(B14&gt;='Energy margins'!$F$46,B14&lt;='Energy margins'!$G$46),B14-'Energy margins'!$F$46,""),'Energy margins'!$H$46)=0,'Energy margins'!$E$46,0)),0,IF(MOD(IF(AND(B14&gt;='Energy margins'!$F$46,B14&lt;='Energy margins'!$G$46),B14-'Energy margins'!$F$46,""),'Energy margins'!$H$46)=0,'Energy margins'!$E$46,0))</f>
        <v>100</v>
      </c>
      <c r="M14" s="897">
        <f>IF(ISERROR(IF(MOD(IF(AND(B14&gt;='Energy margins'!$F$47,B14&lt;='Energy margins'!$G$47),B14-'Energy margins'!$F$47,""),'Energy margins'!$H$47)=0,'Energy margins'!$E$47,0)),0,IF(MOD(IF(AND(B14&gt;='Energy margins'!$F$47,B14&lt;='Energy margins'!$G$47),B14-'Energy margins'!$F$47,""),'Energy margins'!$H$47)=0,'Energy margins'!$E$47,0))</f>
        <v>0</v>
      </c>
      <c r="N14" s="897">
        <f>IF(ISERROR(IF(MOD(IF(AND(B14&gt;='Energy margins'!$F$50,B14&lt;='Energy margins'!$G$50),B14-'Energy margins'!$F$50,""),'Energy margins'!$H$50)=0,'Energy margins'!$E$50,0)),0,IF(MOD(IF(AND(B14&gt;='Energy margins'!$F$50,B14&lt;='Energy margins'!$G$50),B14-'Energy margins'!$F$50,""),'Energy margins'!$H$50)=0,'Energy margins'!$E$50,0))</f>
        <v>0</v>
      </c>
      <c r="O14" s="897">
        <f>IF(ISERROR(IF(MOD(IF(AND(B14&gt;='Energy margins'!$F$53,B14&lt;='Energy margins'!$G$53),B14-'Energy margins'!$F$53,""),'Energy margins'!$H$53)=0,'Energy margins'!$E$53,0)),0,IF(MOD(IF(AND(B14&gt;='Energy margins'!$F$53,B14&lt;='Energy margins'!$G$53),B14-'Energy margins'!$F$53,""),'Energy margins'!$H$53)=0,'Energy margins'!$E$53,0))</f>
        <v>0</v>
      </c>
      <c r="P14" s="897">
        <f>IF(ISERROR(IF(MOD(IF(AND(B14&gt;='Energy margins'!$F$56,B14&lt;='Energy margins'!$G$56),B14-'Energy margins'!$F$56,""),'Energy margins'!$H$56)=0,'Energy margins'!$E$56,0)),0,IF(MOD(IF(AND(B14&gt;='Energy margins'!$F$56,B14&lt;='Energy margins'!$G$56),B14-'Energy margins'!$F$56,""),'Energy margins'!$H$56)=0,'Energy margins'!$E$56,0))</f>
        <v>0</v>
      </c>
      <c r="Q14" s="897">
        <f>IF(ISERROR(IF(MOD(IF(AND(B14&gt;='Energy margins'!$F$59,B14&lt;='Energy margins'!$G$59),B14-'Energy margins'!$F$59,""),'Energy margins'!$H$59)=0,'Energy margins'!$E$59,0)),0,IF(MOD(IF(AND(B14&gt;='Energy margins'!$F$59,B14&lt;='Energy margins'!$G$59),B14-'Energy margins'!$F$59,""),'Energy margins'!$H$59)=0,'Energy margins'!$E$59,0))</f>
        <v>0</v>
      </c>
      <c r="R14" s="897">
        <f>IF(ISERROR(IF(MOD(IF(AND(B14&gt;='Energy margins'!$F$60,B14&lt;='Energy margins'!$G$60),B14-'Energy margins'!$F$60,""),'Energy margins'!$H$60)=0,'Energy margins'!$E$60,0)),0,IF(MOD(IF(AND(B14&gt;='Energy margins'!$F$60,B14&lt;='Energy margins'!$G$60),B14-'Energy margins'!$F$60,""),'Energy margins'!$H$60)=0,'Energy margins'!$E$60,0))</f>
        <v>0</v>
      </c>
      <c r="S14" s="897">
        <f>IF(ISERROR(IF(MOD(IF(AND(B14&gt;='Energy margins'!$F$61,B14&lt;='Energy margins'!$G$61),B14-'Energy margins'!$F$61,""),'Energy margins'!$H$61)=0,'Energy margins'!$E$61,0)),0,IF(MOD(IF(AND(B14&gt;='Energy margins'!$F$61,B14&lt;='Energy margins'!$G$61),B14-'Energy margins'!$F$61,""),'Energy margins'!$H$61)=0,'Energy margins'!$E$61,0))</f>
        <v>0</v>
      </c>
      <c r="T14" s="897">
        <f>IF(ISERROR(IF(MOD(IF(AND(B14&gt;='Energy margins'!$F$62,B14&lt;='Energy margins'!$G$62),B14-'Energy margins'!$F$62,""),'Energy margins'!$H$62)=0,'Energy margins'!$E$62,0)),0,IF(MOD(IF(AND(B14&gt;='Energy margins'!$F$62,B14&lt;='Energy margins'!$G$62),B14-'Energy margins'!$F$62,""),'Energy margins'!$H$62)=0,'Energy margins'!$E$62,0))</f>
        <v>0</v>
      </c>
      <c r="U14" s="923">
        <f t="shared" ref="U14:U28" si="3">SUM(J14:T14)</f>
        <v>140.30000000000001</v>
      </c>
      <c r="V14" s="197"/>
      <c r="W14" s="197">
        <f t="shared" ref="W14:W28" si="4">I14+U14+V14</f>
        <v>140.30000000000001</v>
      </c>
      <c r="X14" s="197">
        <f t="shared" ref="X14:X28" si="5">F14-W14</f>
        <v>-140.30000000000001</v>
      </c>
      <c r="Y14" s="197">
        <f t="shared" si="1"/>
        <v>79.699999999999989</v>
      </c>
      <c r="Z14" s="952">
        <f t="shared" ref="Z14:Z28" si="6">F14/((1+$C$6)^($B14-1))</f>
        <v>0</v>
      </c>
      <c r="AA14" s="953">
        <f t="shared" ref="AA14:AA28" si="7">G14/(1+$C$6)^($B14-1)</f>
        <v>211.53846153846152</v>
      </c>
      <c r="AB14" s="953">
        <f t="shared" ref="AB14:AB28" si="8">W14/((1+$C$6)^($B14-1))</f>
        <v>134.90384615384616</v>
      </c>
      <c r="AC14" s="1019">
        <f t="shared" ref="AC14:AC28" si="9">Z14-AB14</f>
        <v>-134.90384615384616</v>
      </c>
      <c r="AD14" s="1020">
        <f t="shared" ref="AD14:AD28" si="10">AC14+AA14</f>
        <v>76.634615384615358</v>
      </c>
      <c r="AE14" s="952">
        <f>AE13+Z14</f>
        <v>0</v>
      </c>
      <c r="AF14" s="953">
        <f t="shared" ref="AF14:AI28" si="11">AF13+AA14</f>
        <v>431.53846153846155</v>
      </c>
      <c r="AG14" s="953">
        <f t="shared" si="11"/>
        <v>1777.3088461538459</v>
      </c>
      <c r="AH14" s="1019">
        <f t="shared" si="11"/>
        <v>-1777.3088461538459</v>
      </c>
      <c r="AI14" s="1020">
        <f t="shared" si="11"/>
        <v>-1345.7703846153845</v>
      </c>
    </row>
    <row r="15" spans="2:35" x14ac:dyDescent="0.3">
      <c r="B15" s="881">
        <v>3</v>
      </c>
      <c r="C15" s="897">
        <f>'Energy Inputs'!D32</f>
        <v>0</v>
      </c>
      <c r="D15" s="897">
        <f>C15*'Energy Inputs'!$D$24</f>
        <v>0</v>
      </c>
      <c r="E15" s="197">
        <f>'Energy margins'!$E$12</f>
        <v>55</v>
      </c>
      <c r="F15" s="897">
        <f t="shared" si="0"/>
        <v>0</v>
      </c>
      <c r="G15" s="897">
        <f>'Energy Inputs'!$D$10</f>
        <v>220</v>
      </c>
      <c r="H15" s="197">
        <f t="shared" si="2"/>
        <v>220</v>
      </c>
      <c r="I15" s="199"/>
      <c r="J15" s="899">
        <f>IF(ISERROR(IF(MOD(IF(AND(B15&gt;='Energy margins'!$F$44,B15&lt;='Energy margins'!$G$44),B15-'Energy margins'!$F$44,""),'Energy margins'!$H$44)=0,'Energy margins'!$E$44,0)),0,IF(MOD(IF(AND(B15&gt;='Energy margins'!$F$44,B15&lt;='Energy margins'!$G$44),B15-'Energy margins'!$F$44,""),'Energy margins'!$H$44)=0,'Energy margins'!$E$44,0))</f>
        <v>0</v>
      </c>
      <c r="K15" s="897">
        <f>IF(ISERROR(IF(MOD(IF(AND(B15&gt;='Energy margins'!$F$45,B15&lt;='Energy margins'!$G$45),B15-'Energy margins'!$F$45,""),'Energy margins'!$H$45)=0,'Energy margins'!$E$45,0)),0,IF(MOD(IF(AND(B15&gt;='Energy margins'!$F$45,B15&lt;='Energy margins'!$G$45),B15-'Energy margins'!$F$45,""),'Energy margins'!$H$45)=0,'Energy margins'!$E$45,0))</f>
        <v>40.299999999999997</v>
      </c>
      <c r="L15" s="897">
        <f>IF(ISERROR(IF(MOD(IF(AND(B15&gt;='Energy margins'!$F$46,B15&lt;='Energy margins'!$G$46),B15-'Energy margins'!$F$46,""),'Energy margins'!$H$46)=0,'Energy margins'!$E$46,0)),0,IF(MOD(IF(AND(B15&gt;='Energy margins'!$F$46,B15&lt;='Energy margins'!$G$46),B15-'Energy margins'!$F$46,""),'Energy margins'!$H$46)=0,'Energy margins'!$E$46,0))</f>
        <v>100</v>
      </c>
      <c r="M15" s="897">
        <f>IF(ISERROR(IF(MOD(IF(AND(B15&gt;='Energy margins'!$F$47,B15&lt;='Energy margins'!$G$47),B15-'Energy margins'!$F$47,""),'Energy margins'!$H$47)=0,'Energy margins'!$E$47,0)),0,IF(MOD(IF(AND(B15&gt;='Energy margins'!$F$47,B15&lt;='Energy margins'!$G$47),B15-'Energy margins'!$F$47,""),'Energy margins'!$H$47)=0,'Energy margins'!$E$47,0))</f>
        <v>0</v>
      </c>
      <c r="N15" s="897">
        <f>IF(ISERROR(IF(MOD(IF(AND(B15&gt;='Energy margins'!$F$50,B15&lt;='Energy margins'!$G$50),B15-'Energy margins'!$F$50,""),'Energy margins'!$H$50)=0,'Energy margins'!$E$50,0)),0,IF(MOD(IF(AND(B15&gt;='Energy margins'!$F$50,B15&lt;='Energy margins'!$G$50),B15-'Energy margins'!$F$50,""),'Energy margins'!$H$50)=0,'Energy margins'!$E$50,0))</f>
        <v>0</v>
      </c>
      <c r="O15" s="897">
        <f>IF(ISERROR(IF(MOD(IF(AND(B15&gt;='Energy margins'!$F$53,B15&lt;='Energy margins'!$G$53),B15-'Energy margins'!$F$53,""),'Energy margins'!$H$53)=0,'Energy margins'!$E$53,0)),0,IF(MOD(IF(AND(B15&gt;='Energy margins'!$F$53,B15&lt;='Energy margins'!$G$53),B15-'Energy margins'!$F$53,""),'Energy margins'!$H$53)=0,'Energy margins'!$E$53,0))</f>
        <v>0</v>
      </c>
      <c r="P15" s="897">
        <f>IF(ISERROR(IF(MOD(IF(AND(B15&gt;='Energy margins'!$F$56,B15&lt;='Energy margins'!$G$56),B15-'Energy margins'!$F$56,""),'Energy margins'!$H$56)=0,'Energy margins'!$E$56,0)),0,IF(MOD(IF(AND(B15&gt;='Energy margins'!$F$56,B15&lt;='Energy margins'!$G$56),B15-'Energy margins'!$F$56,""),'Energy margins'!$H$56)=0,'Energy margins'!$E$56,0))</f>
        <v>0</v>
      </c>
      <c r="Q15" s="897">
        <f>IF(ISERROR(IF(MOD(IF(AND(B15&gt;='Energy margins'!$F$59,B15&lt;='Energy margins'!$G$59),B15-'Energy margins'!$F$59,""),'Energy margins'!$H$59)=0,'Energy margins'!$E$59,0)),0,IF(MOD(IF(AND(B15&gt;='Energy margins'!$F$59,B15&lt;='Energy margins'!$G$59),B15-'Energy margins'!$F$59,""),'Energy margins'!$H$59)=0,'Energy margins'!$E$59,0))</f>
        <v>0</v>
      </c>
      <c r="R15" s="897">
        <f>IF(ISERROR(IF(MOD(IF(AND(B15&gt;='Energy margins'!$F$60,B15&lt;='Energy margins'!$G$60),B15-'Energy margins'!$F$60,""),'Energy margins'!$H$60)=0,'Energy margins'!$E$60,0)),0,IF(MOD(IF(AND(B15&gt;='Energy margins'!$F$60,B15&lt;='Energy margins'!$G$60),B15-'Energy margins'!$F$60,""),'Energy margins'!$H$60)=0,'Energy margins'!$E$60,0))</f>
        <v>0</v>
      </c>
      <c r="S15" s="897">
        <f>IF(ISERROR(IF(MOD(IF(AND(B15&gt;='Energy margins'!$F$61,B15&lt;='Energy margins'!$G$61),B15-'Energy margins'!$F$61,""),'Energy margins'!$H$61)=0,'Energy margins'!$E$61,0)),0,IF(MOD(IF(AND(B15&gt;='Energy margins'!$F$61,B15&lt;='Energy margins'!$G$61),B15-'Energy margins'!$F$61,""),'Energy margins'!$H$61)=0,'Energy margins'!$E$61,0))</f>
        <v>0</v>
      </c>
      <c r="T15" s="897">
        <f>IF(ISERROR(IF(MOD(IF(AND(B15&gt;='Energy margins'!$F$62,B15&lt;='Energy margins'!$G$62),B15-'Energy margins'!$F$62,""),'Energy margins'!$H$62)=0,'Energy margins'!$E$62,0)),0,IF(MOD(IF(AND(B15&gt;='Energy margins'!$F$62,B15&lt;='Energy margins'!$G$62),B15-'Energy margins'!$F$62,""),'Energy margins'!$H$62)=0,'Energy margins'!$E$62,0))</f>
        <v>0</v>
      </c>
      <c r="U15" s="923">
        <f t="shared" si="3"/>
        <v>140.30000000000001</v>
      </c>
      <c r="V15" s="197"/>
      <c r="W15" s="197">
        <f t="shared" si="4"/>
        <v>140.30000000000001</v>
      </c>
      <c r="X15" s="197">
        <f t="shared" si="5"/>
        <v>-140.30000000000001</v>
      </c>
      <c r="Y15" s="197">
        <f t="shared" si="1"/>
        <v>79.699999999999989</v>
      </c>
      <c r="Z15" s="952">
        <f t="shared" si="6"/>
        <v>0</v>
      </c>
      <c r="AA15" s="953">
        <f t="shared" si="7"/>
        <v>203.40236686390531</v>
      </c>
      <c r="AB15" s="953">
        <f t="shared" si="8"/>
        <v>129.71523668639054</v>
      </c>
      <c r="AC15" s="1019">
        <f t="shared" si="9"/>
        <v>-129.71523668639054</v>
      </c>
      <c r="AD15" s="1020">
        <f t="shared" si="10"/>
        <v>73.687130177514774</v>
      </c>
      <c r="AE15" s="952">
        <f t="shared" ref="AE15:AE28" si="12">AE14+Z15</f>
        <v>0</v>
      </c>
      <c r="AF15" s="953">
        <f t="shared" si="11"/>
        <v>634.94082840236683</v>
      </c>
      <c r="AG15" s="953">
        <f t="shared" si="11"/>
        <v>1907.0240828402366</v>
      </c>
      <c r="AH15" s="1019">
        <f t="shared" si="11"/>
        <v>-1907.0240828402366</v>
      </c>
      <c r="AI15" s="1020">
        <f t="shared" si="11"/>
        <v>-1272.0832544378698</v>
      </c>
    </row>
    <row r="16" spans="2:35" x14ac:dyDescent="0.3">
      <c r="B16" s="881">
        <v>4</v>
      </c>
      <c r="C16" s="897">
        <f>'Energy Inputs'!D33</f>
        <v>1</v>
      </c>
      <c r="D16" s="897">
        <f>C16*'Energy Inputs'!$D$24</f>
        <v>30</v>
      </c>
      <c r="E16" s="197">
        <f>'Energy margins'!$E$12</f>
        <v>55</v>
      </c>
      <c r="F16" s="897">
        <f t="shared" si="0"/>
        <v>1650</v>
      </c>
      <c r="G16" s="897">
        <f>'Energy Inputs'!$D$10</f>
        <v>220</v>
      </c>
      <c r="H16" s="197">
        <f t="shared" si="2"/>
        <v>1870</v>
      </c>
      <c r="I16" s="199"/>
      <c r="J16" s="899">
        <f>IF(ISERROR(IF(MOD(IF(AND(B16&gt;='Energy margins'!$F$44,B16&lt;='Energy margins'!$G$44),B16-'Energy margins'!$F$44,""),'Energy margins'!$H$44)=0,'Energy margins'!$E$44,0)),0,IF(MOD(IF(AND(B16&gt;='Energy margins'!$F$44,B16&lt;='Energy margins'!$G$44),B16-'Energy margins'!$F$44,""),'Energy margins'!$H$44)=0,'Energy margins'!$E$44,0))</f>
        <v>0</v>
      </c>
      <c r="K16" s="897">
        <f>IF(ISERROR(IF(MOD(IF(AND(B16&gt;='Energy margins'!$F$45,B16&lt;='Energy margins'!$G$45),B16-'Energy margins'!$F$45,""),'Energy margins'!$H$45)=0,'Energy margins'!$E$45,0)),0,IF(MOD(IF(AND(B16&gt;='Energy margins'!$F$45,B16&lt;='Energy margins'!$G$45),B16-'Energy margins'!$F$45,""),'Energy margins'!$H$45)=0,'Energy margins'!$E$45,0))</f>
        <v>0</v>
      </c>
      <c r="L16" s="897">
        <f>IF(ISERROR(IF(MOD(IF(AND(B16&gt;='Energy margins'!$F$46,B16&lt;='Energy margins'!$G$46),B16-'Energy margins'!$F$46,""),'Energy margins'!$H$46)=0,'Energy margins'!$E$46,0)),0,IF(MOD(IF(AND(B16&gt;='Energy margins'!$F$46,B16&lt;='Energy margins'!$G$46),B16-'Energy margins'!$F$46,""),'Energy margins'!$H$46)=0,'Energy margins'!$E$46,0))</f>
        <v>0</v>
      </c>
      <c r="M16" s="897">
        <f>IF(ISERROR(IF(MOD(IF(AND(B16&gt;='Energy margins'!$F$47,B16&lt;='Energy margins'!$G$47),B16-'Energy margins'!$F$47,""),'Energy margins'!$H$47)=0,'Energy margins'!$E$47,0)),0,IF(MOD(IF(AND(B16&gt;='Energy margins'!$F$47,B16&lt;='Energy margins'!$G$47),B16-'Energy margins'!$F$47,""),'Energy margins'!$H$47)=0,'Energy margins'!$E$47,0))</f>
        <v>16.07</v>
      </c>
      <c r="N16" s="897">
        <f>IF(ISERROR(IF(MOD(IF(AND(B16&gt;='Energy margins'!$F$50,B16&lt;='Energy margins'!$G$50),B16-'Energy margins'!$F$50,""),'Energy margins'!$H$50)=0,'Energy margins'!$E$50,0)),0,IF(MOD(IF(AND(B16&gt;='Energy margins'!$F$50,B16&lt;='Energy margins'!$G$50),B16-'Energy margins'!$F$50,""),'Energy margins'!$H$50)=0,'Energy margins'!$E$50,0))</f>
        <v>58.68</v>
      </c>
      <c r="O16" s="897">
        <f>IF(ISERROR(IF(MOD(IF(AND(B16&gt;='Energy margins'!$F$53,B16&lt;='Energy margins'!$G$53),B16-'Energy margins'!$F$53,""),'Energy margins'!$H$53)=0,'Energy margins'!$E$53,0)),0,IF(MOD(IF(AND(B16&gt;='Energy margins'!$F$53,B16&lt;='Energy margins'!$G$53),B16-'Energy margins'!$F$53,""),'Energy margins'!$H$53)=0,'Energy margins'!$E$53,0))</f>
        <v>35.255000000000003</v>
      </c>
      <c r="P16" s="897">
        <f>IF(ISERROR(IF(MOD(IF(AND(B16&gt;='Energy margins'!$F$56,B16&lt;='Energy margins'!$G$56),B16-'Energy margins'!$F$56,""),'Energy margins'!$H$56)=0,'Energy margins'!$E$56,0)),0,IF(MOD(IF(AND(B16&gt;='Energy margins'!$F$56,B16&lt;='Energy margins'!$G$56),B16-'Energy margins'!$F$56,""),'Energy margins'!$H$56)=0,'Energy margins'!$E$56,0))</f>
        <v>32.4</v>
      </c>
      <c r="Q16" s="897">
        <f>IF(ISERROR(IF(MOD(IF(AND(B16&gt;='Energy margins'!$F$59,B16&lt;='Energy margins'!$G$59),B16-'Energy margins'!$F$59,""),'Energy margins'!$H$59)=0,'Energy margins'!$E$59,0)),0,IF(MOD(IF(AND(B16&gt;='Energy margins'!$F$59,B16&lt;='Energy margins'!$G$59),B16-'Energy margins'!$F$59,""),'Energy margins'!$H$59)=0,'Energy margins'!$E$59,0))</f>
        <v>450</v>
      </c>
      <c r="R16" s="897">
        <f>IF(ISERROR(IF(MOD(IF(AND(B16&gt;='Energy margins'!$F$60,B16&lt;='Energy margins'!$G$60),B16-'Energy margins'!$F$60,""),'Energy margins'!$H$60)=0,'Energy margins'!$E$60,0)),0,IF(MOD(IF(AND(B16&gt;='Energy margins'!$F$60,B16&lt;='Energy margins'!$G$60),B16-'Energy margins'!$F$60,""),'Energy margins'!$H$60)=0,'Energy margins'!$E$60,0))</f>
        <v>0</v>
      </c>
      <c r="S16" s="897">
        <f>IF(ISERROR(IF(MOD(IF(AND(B16&gt;='Energy margins'!$F$61,B16&lt;='Energy margins'!$G$61),B16-'Energy margins'!$F$61,""),'Energy margins'!$H$61)=0,'Energy margins'!$E$61,0)),0,IF(MOD(IF(AND(B16&gt;='Energy margins'!$F$61,B16&lt;='Energy margins'!$G$61),B16-'Energy margins'!$F$61,""),'Energy margins'!$H$61)=0,'Energy margins'!$E$61,0))</f>
        <v>0</v>
      </c>
      <c r="T16" s="897">
        <f>IF(ISERROR(IF(MOD(IF(AND(B16&gt;='Energy margins'!$F$62,B16&lt;='Energy margins'!$G$62),B16-'Energy margins'!$F$62,""),'Energy margins'!$H$62)=0,'Energy margins'!$E$62,0)),0,IF(MOD(IF(AND(B16&gt;='Energy margins'!$F$62,B16&lt;='Energy margins'!$G$62),B16-'Energy margins'!$F$62,""),'Energy margins'!$H$62)=0,'Energy margins'!$E$62,0))</f>
        <v>0</v>
      </c>
      <c r="U16" s="923">
        <f t="shared" si="3"/>
        <v>592.40499999999997</v>
      </c>
      <c r="V16" s="197"/>
      <c r="W16" s="197">
        <f t="shared" si="4"/>
        <v>592.40499999999997</v>
      </c>
      <c r="X16" s="197">
        <f t="shared" si="5"/>
        <v>1057.595</v>
      </c>
      <c r="Y16" s="197">
        <f t="shared" si="1"/>
        <v>1277.595</v>
      </c>
      <c r="Z16" s="1015">
        <f>F16/((1+$C$6)^($B16-1))</f>
        <v>1466.8439918070094</v>
      </c>
      <c r="AA16" s="953">
        <f t="shared" si="7"/>
        <v>195.57919890760127</v>
      </c>
      <c r="AB16" s="953">
        <f t="shared" si="8"/>
        <v>526.6458878584433</v>
      </c>
      <c r="AC16" s="1019">
        <f t="shared" si="9"/>
        <v>940.19810394856609</v>
      </c>
      <c r="AD16" s="1020">
        <f t="shared" si="10"/>
        <v>1135.7773028561674</v>
      </c>
      <c r="AE16" s="952">
        <f t="shared" si="12"/>
        <v>1466.8439918070094</v>
      </c>
      <c r="AF16" s="953">
        <f t="shared" si="11"/>
        <v>830.5200273099681</v>
      </c>
      <c r="AG16" s="953">
        <f t="shared" si="11"/>
        <v>2433.6699706986801</v>
      </c>
      <c r="AH16" s="1019">
        <f t="shared" si="11"/>
        <v>-966.8259788916705</v>
      </c>
      <c r="AI16" s="1020">
        <f t="shared" si="11"/>
        <v>-136.3059515817024</v>
      </c>
    </row>
    <row r="17" spans="2:35" x14ac:dyDescent="0.3">
      <c r="B17" s="881">
        <v>5</v>
      </c>
      <c r="C17" s="897">
        <f>'Energy Inputs'!D34</f>
        <v>0</v>
      </c>
      <c r="D17" s="897">
        <f>C17*'Energy Inputs'!$D$24</f>
        <v>0</v>
      </c>
      <c r="E17" s="197">
        <f>'Energy margins'!$E$12</f>
        <v>55</v>
      </c>
      <c r="F17" s="897">
        <f t="shared" si="0"/>
        <v>0</v>
      </c>
      <c r="G17" s="897">
        <f>'Energy Inputs'!$D$10</f>
        <v>220</v>
      </c>
      <c r="H17" s="197">
        <f t="shared" si="2"/>
        <v>220</v>
      </c>
      <c r="I17" s="199"/>
      <c r="J17" s="899">
        <f>IF(ISERROR(IF(MOD(IF(AND(B17&gt;='Energy margins'!$F$44,B17&lt;='Energy margins'!$G$44),B17-'Energy margins'!$F$44,""),'Energy margins'!$H$44)=0,'Energy margins'!$E$44,0)),0,IF(MOD(IF(AND(B17&gt;='Energy margins'!$F$44,B17&lt;='Energy margins'!$G$44),B17-'Energy margins'!$F$44,""),'Energy margins'!$H$44)=0,'Energy margins'!$E$44,0))</f>
        <v>0</v>
      </c>
      <c r="K17" s="897">
        <f>IF(ISERROR(IF(MOD(IF(AND(B17&gt;='Energy margins'!$F$45,B17&lt;='Energy margins'!$G$45),B17-'Energy margins'!$F$45,""),'Energy margins'!$H$45)=0,'Energy margins'!$E$45,0)),0,IF(MOD(IF(AND(B17&gt;='Energy margins'!$F$45,B17&lt;='Energy margins'!$G$45),B17-'Energy margins'!$F$45,""),'Energy margins'!$H$45)=0,'Energy margins'!$E$45,0))</f>
        <v>0</v>
      </c>
      <c r="L17" s="897">
        <f>IF(ISERROR(IF(MOD(IF(AND(B17&gt;='Energy margins'!$F$46,B17&lt;='Energy margins'!$G$46),B17-'Energy margins'!$F$46,""),'Energy margins'!$H$46)=0,'Energy margins'!$E$46,0)),0,IF(MOD(IF(AND(B17&gt;='Energy margins'!$F$46,B17&lt;='Energy margins'!$G$46),B17-'Energy margins'!$F$46,""),'Energy margins'!$H$46)=0,'Energy margins'!$E$46,0))</f>
        <v>0</v>
      </c>
      <c r="M17" s="897">
        <f>IF(ISERROR(IF(MOD(IF(AND(B17&gt;='Energy margins'!$F$47,B17&lt;='Energy margins'!$G$47),B17-'Energy margins'!$F$47,""),'Energy margins'!$H$47)=0,'Energy margins'!$E$47,0)),0,IF(MOD(IF(AND(B17&gt;='Energy margins'!$F$47,B17&lt;='Energy margins'!$G$47),B17-'Energy margins'!$F$47,""),'Energy margins'!$H$47)=0,'Energy margins'!$E$47,0))</f>
        <v>0</v>
      </c>
      <c r="N17" s="897">
        <f>IF(ISERROR(IF(MOD(IF(AND(B17&gt;='Energy margins'!$F$50,B17&lt;='Energy margins'!$G$50),B17-'Energy margins'!$F$50,""),'Energy margins'!$H$50)=0,'Energy margins'!$E$50,0)),0,IF(MOD(IF(AND(B17&gt;='Energy margins'!$F$50,B17&lt;='Energy margins'!$G$50),B17-'Energy margins'!$F$50,""),'Energy margins'!$H$50)=0,'Energy margins'!$E$50,0))</f>
        <v>0</v>
      </c>
      <c r="O17" s="897">
        <f>IF(ISERROR(IF(MOD(IF(AND(B17&gt;='Energy margins'!$F$53,B17&lt;='Energy margins'!$G$53),B17-'Energy margins'!$F$53,""),'Energy margins'!$H$53)=0,'Energy margins'!$E$53,0)),0,IF(MOD(IF(AND(B17&gt;='Energy margins'!$F$53,B17&lt;='Energy margins'!$G$53),B17-'Energy margins'!$F$53,""),'Energy margins'!$H$53)=0,'Energy margins'!$E$53,0))</f>
        <v>0</v>
      </c>
      <c r="P17" s="897">
        <f>IF(ISERROR(IF(MOD(IF(AND(B17&gt;='Energy margins'!$F$56,B17&lt;='Energy margins'!$G$56),B17-'Energy margins'!$F$56,""),'Energy margins'!$H$56)=0,'Energy margins'!$E$56,0)),0,IF(MOD(IF(AND(B17&gt;='Energy margins'!$F$56,B17&lt;='Energy margins'!$G$56),B17-'Energy margins'!$F$56,""),'Energy margins'!$H$56)=0,'Energy margins'!$E$56,0))</f>
        <v>0</v>
      </c>
      <c r="Q17" s="897">
        <f>IF(ISERROR(IF(MOD(IF(AND(B17&gt;='Energy margins'!$F$59,B17&lt;='Energy margins'!$G$59),B17-'Energy margins'!$F$59,""),'Energy margins'!$H$59)=0,'Energy margins'!$E$59,0)),0,IF(MOD(IF(AND(B17&gt;='Energy margins'!$F$59,B17&lt;='Energy margins'!$G$59),B17-'Energy margins'!$F$59,""),'Energy margins'!$H$59)=0,'Energy margins'!$E$59,0))</f>
        <v>0</v>
      </c>
      <c r="R17" s="897">
        <f>IF(ISERROR(IF(MOD(IF(AND(B17&gt;='Energy margins'!$F$60,B17&lt;='Energy margins'!$G$60),B17-'Energy margins'!$F$60,""),'Energy margins'!$H$60)=0,'Energy margins'!$E$60,0)),0,IF(MOD(IF(AND(B17&gt;='Energy margins'!$F$60,B17&lt;='Energy margins'!$G$60),B17-'Energy margins'!$F$60,""),'Energy margins'!$H$60)=0,'Energy margins'!$E$60,0))</f>
        <v>0</v>
      </c>
      <c r="S17" s="897">
        <f>IF(ISERROR(IF(MOD(IF(AND(B17&gt;='Energy margins'!$F$61,B17&lt;='Energy margins'!$G$61),B17-'Energy margins'!$F$61,""),'Energy margins'!$H$61)=0,'Energy margins'!$E$61,0)),0,IF(MOD(IF(AND(B17&gt;='Energy margins'!$F$61,B17&lt;='Energy margins'!$G$61),B17-'Energy margins'!$F$61,""),'Energy margins'!$H$61)=0,'Energy margins'!$E$61,0))</f>
        <v>0</v>
      </c>
      <c r="T17" s="897">
        <f>IF(ISERROR(IF(MOD(IF(AND(B17&gt;='Energy margins'!$F$62,B17&lt;='Energy margins'!$G$62),B17-'Energy margins'!$F$62,""),'Energy margins'!$H$62)=0,'Energy margins'!$E$62,0)),0,IF(MOD(IF(AND(B17&gt;='Energy margins'!$F$62,B17&lt;='Energy margins'!$G$62),B17-'Energy margins'!$F$62,""),'Energy margins'!$H$62)=0,'Energy margins'!$E$62,0))</f>
        <v>0</v>
      </c>
      <c r="U17" s="923">
        <f t="shared" si="3"/>
        <v>0</v>
      </c>
      <c r="V17" s="197"/>
      <c r="W17" s="197">
        <f t="shared" si="4"/>
        <v>0</v>
      </c>
      <c r="X17" s="197">
        <f t="shared" si="5"/>
        <v>0</v>
      </c>
      <c r="Y17" s="197">
        <f t="shared" si="1"/>
        <v>220</v>
      </c>
      <c r="Z17" s="952">
        <f t="shared" si="6"/>
        <v>0</v>
      </c>
      <c r="AA17" s="953">
        <f t="shared" si="7"/>
        <v>188.05692202653967</v>
      </c>
      <c r="AB17" s="953">
        <f t="shared" si="8"/>
        <v>0</v>
      </c>
      <c r="AC17" s="1019">
        <f t="shared" si="9"/>
        <v>0</v>
      </c>
      <c r="AD17" s="1020">
        <f t="shared" si="10"/>
        <v>188.05692202653967</v>
      </c>
      <c r="AE17" s="952">
        <f t="shared" si="12"/>
        <v>1466.8439918070094</v>
      </c>
      <c r="AF17" s="953">
        <f t="shared" si="11"/>
        <v>1018.5769493365078</v>
      </c>
      <c r="AG17" s="953">
        <f t="shared" si="11"/>
        <v>2433.6699706986801</v>
      </c>
      <c r="AH17" s="1019">
        <f t="shared" si="11"/>
        <v>-966.8259788916705</v>
      </c>
      <c r="AI17" s="1020">
        <f t="shared" si="11"/>
        <v>51.750970444837264</v>
      </c>
    </row>
    <row r="18" spans="2:35" x14ac:dyDescent="0.3">
      <c r="B18" s="881">
        <v>6</v>
      </c>
      <c r="C18" s="897">
        <f>'Energy Inputs'!D35</f>
        <v>0</v>
      </c>
      <c r="D18" s="897">
        <f>C18*'Energy Inputs'!$D$24</f>
        <v>0</v>
      </c>
      <c r="E18" s="197">
        <f>'Energy margins'!$E$12</f>
        <v>55</v>
      </c>
      <c r="F18" s="897">
        <f t="shared" si="0"/>
        <v>0</v>
      </c>
      <c r="G18" s="897">
        <f>'Energy Inputs'!$D$10</f>
        <v>220</v>
      </c>
      <c r="H18" s="197">
        <f t="shared" si="2"/>
        <v>220</v>
      </c>
      <c r="I18" s="199"/>
      <c r="J18" s="899">
        <f>IF(ISERROR(IF(MOD(IF(AND(B18&gt;='Energy margins'!$F$44,B18&lt;='Energy margins'!$G$44),B18-'Energy margins'!$F$44,""),'Energy margins'!$H$44)=0,'Energy margins'!$E$44,0)),0,IF(MOD(IF(AND(B18&gt;='Energy margins'!$F$44,B18&lt;='Energy margins'!$G$44),B18-'Energy margins'!$F$44,""),'Energy margins'!$H$44)=0,'Energy margins'!$E$44,0))</f>
        <v>0</v>
      </c>
      <c r="K18" s="897">
        <f>IF(ISERROR(IF(MOD(IF(AND(B18&gt;='Energy margins'!$F$45,B18&lt;='Energy margins'!$G$45),B18-'Energy margins'!$F$45,""),'Energy margins'!$H$45)=0,'Energy margins'!$E$45,0)),0,IF(MOD(IF(AND(B18&gt;='Energy margins'!$F$45,B18&lt;='Energy margins'!$G$45),B18-'Energy margins'!$F$45,""),'Energy margins'!$H$45)=0,'Energy margins'!$E$45,0))</f>
        <v>0</v>
      </c>
      <c r="L18" s="897">
        <f>IF(ISERROR(IF(MOD(IF(AND(B18&gt;='Energy margins'!$F$46,B18&lt;='Energy margins'!$G$46),B18-'Energy margins'!$F$46,""),'Energy margins'!$H$46)=0,'Energy margins'!$E$46,0)),0,IF(MOD(IF(AND(B18&gt;='Energy margins'!$F$46,B18&lt;='Energy margins'!$G$46),B18-'Energy margins'!$F$46,""),'Energy margins'!$H$46)=0,'Energy margins'!$E$46,0))</f>
        <v>0</v>
      </c>
      <c r="M18" s="897">
        <f>IF(ISERROR(IF(MOD(IF(AND(B18&gt;='Energy margins'!$F$47,B18&lt;='Energy margins'!$G$47),B18-'Energy margins'!$F$47,""),'Energy margins'!$H$47)=0,'Energy margins'!$E$47,0)),0,IF(MOD(IF(AND(B18&gt;='Energy margins'!$F$47,B18&lt;='Energy margins'!$G$47),B18-'Energy margins'!$F$47,""),'Energy margins'!$H$47)=0,'Energy margins'!$E$47,0))</f>
        <v>0</v>
      </c>
      <c r="N18" s="897">
        <f>IF(ISERROR(IF(MOD(IF(AND(B18&gt;='Energy margins'!$F$50,B18&lt;='Energy margins'!$G$50),B18-'Energy margins'!$F$50,""),'Energy margins'!$H$50)=0,'Energy margins'!$E$50,0)),0,IF(MOD(IF(AND(B18&gt;='Energy margins'!$F$50,B18&lt;='Energy margins'!$G$50),B18-'Energy margins'!$F$50,""),'Energy margins'!$H$50)=0,'Energy margins'!$E$50,0))</f>
        <v>0</v>
      </c>
      <c r="O18" s="897">
        <f>IF(ISERROR(IF(MOD(IF(AND(B18&gt;='Energy margins'!$F$53,B18&lt;='Energy margins'!$G$53),B18-'Energy margins'!$F$53,""),'Energy margins'!$H$53)=0,'Energy margins'!$E$53,0)),0,IF(MOD(IF(AND(B18&gt;='Energy margins'!$F$53,B18&lt;='Energy margins'!$G$53),B18-'Energy margins'!$F$53,""),'Energy margins'!$H$53)=0,'Energy margins'!$E$53,0))</f>
        <v>0</v>
      </c>
      <c r="P18" s="897">
        <f>IF(ISERROR(IF(MOD(IF(AND(B18&gt;='Energy margins'!$F$56,B18&lt;='Energy margins'!$G$56),B18-'Energy margins'!$F$56,""),'Energy margins'!$H$56)=0,'Energy margins'!$E$56,0)),0,IF(MOD(IF(AND(B18&gt;='Energy margins'!$F$56,B18&lt;='Energy margins'!$G$56),B18-'Energy margins'!$F$56,""),'Energy margins'!$H$56)=0,'Energy margins'!$E$56,0))</f>
        <v>0</v>
      </c>
      <c r="Q18" s="897">
        <f>IF(ISERROR(IF(MOD(IF(AND(B18&gt;='Energy margins'!$F$59,B18&lt;='Energy margins'!$G$59),B18-'Energy margins'!$F$59,""),'Energy margins'!$H$59)=0,'Energy margins'!$E$59,0)),0,IF(MOD(IF(AND(B18&gt;='Energy margins'!$F$59,B18&lt;='Energy margins'!$G$59),B18-'Energy margins'!$F$59,""),'Energy margins'!$H$59)=0,'Energy margins'!$E$59,0))</f>
        <v>0</v>
      </c>
      <c r="R18" s="897">
        <f>IF(ISERROR(IF(MOD(IF(AND(B18&gt;='Energy margins'!$F$60,B18&lt;='Energy margins'!$G$60),B18-'Energy margins'!$F$60,""),'Energy margins'!$H$60)=0,'Energy margins'!$E$60,0)),0,IF(MOD(IF(AND(B18&gt;='Energy margins'!$F$60,B18&lt;='Energy margins'!$G$60),B18-'Energy margins'!$F$60,""),'Energy margins'!$H$60)=0,'Energy margins'!$E$60,0))</f>
        <v>0</v>
      </c>
      <c r="S18" s="897">
        <f>IF(ISERROR(IF(MOD(IF(AND(B18&gt;='Energy margins'!$F$61,B18&lt;='Energy margins'!$G$61),B18-'Energy margins'!$F$61,""),'Energy margins'!$H$61)=0,'Energy margins'!$E$61,0)),0,IF(MOD(IF(AND(B18&gt;='Energy margins'!$F$61,B18&lt;='Energy margins'!$G$61),B18-'Energy margins'!$F$61,""),'Energy margins'!$H$61)=0,'Energy margins'!$E$61,0))</f>
        <v>0</v>
      </c>
      <c r="T18" s="897">
        <f>IF(ISERROR(IF(MOD(IF(AND(B18&gt;='Energy margins'!$F$62,B18&lt;='Energy margins'!$G$62),B18-'Energy margins'!$F$62,""),'Energy margins'!$H$62)=0,'Energy margins'!$E$62,0)),0,IF(MOD(IF(AND(B18&gt;='Energy margins'!$F$62,B18&lt;='Energy margins'!$G$62),B18-'Energy margins'!$F$62,""),'Energy margins'!$H$62)=0,'Energy margins'!$E$62,0))</f>
        <v>0</v>
      </c>
      <c r="U18" s="923">
        <f t="shared" si="3"/>
        <v>0</v>
      </c>
      <c r="V18" s="197"/>
      <c r="W18" s="197">
        <f t="shared" si="4"/>
        <v>0</v>
      </c>
      <c r="X18" s="197">
        <f t="shared" si="5"/>
        <v>0</v>
      </c>
      <c r="Y18" s="197">
        <f t="shared" si="1"/>
        <v>220</v>
      </c>
      <c r="Z18" s="952">
        <f t="shared" si="6"/>
        <v>0</v>
      </c>
      <c r="AA18" s="953">
        <f t="shared" si="7"/>
        <v>180.82396348705734</v>
      </c>
      <c r="AB18" s="953">
        <f t="shared" si="8"/>
        <v>0</v>
      </c>
      <c r="AC18" s="1019">
        <f t="shared" si="9"/>
        <v>0</v>
      </c>
      <c r="AD18" s="1020">
        <f t="shared" si="10"/>
        <v>180.82396348705734</v>
      </c>
      <c r="AE18" s="952">
        <f t="shared" si="12"/>
        <v>1466.8439918070094</v>
      </c>
      <c r="AF18" s="953">
        <f t="shared" si="11"/>
        <v>1199.4009128235652</v>
      </c>
      <c r="AG18" s="953">
        <f t="shared" si="11"/>
        <v>2433.6699706986801</v>
      </c>
      <c r="AH18" s="1019">
        <f t="shared" si="11"/>
        <v>-966.8259788916705</v>
      </c>
      <c r="AI18" s="1020">
        <f t="shared" si="11"/>
        <v>232.57493393189461</v>
      </c>
    </row>
    <row r="19" spans="2:35" x14ac:dyDescent="0.3">
      <c r="B19" s="881">
        <v>7</v>
      </c>
      <c r="C19" s="897">
        <f>'Energy Inputs'!D36</f>
        <v>1</v>
      </c>
      <c r="D19" s="897">
        <f>C19*'Energy Inputs'!$D$24</f>
        <v>30</v>
      </c>
      <c r="E19" s="197">
        <f>'Energy margins'!$E$12</f>
        <v>55</v>
      </c>
      <c r="F19" s="897">
        <f t="shared" si="0"/>
        <v>1650</v>
      </c>
      <c r="G19" s="897">
        <f>'Energy Inputs'!$D$10</f>
        <v>220</v>
      </c>
      <c r="H19" s="197">
        <f t="shared" si="2"/>
        <v>1870</v>
      </c>
      <c r="I19" s="199"/>
      <c r="J19" s="899">
        <f>IF(ISERROR(IF(MOD(IF(AND(B19&gt;='Energy margins'!$F$44,B19&lt;='Energy margins'!$G$44),B19-'Energy margins'!$F$44,""),'Energy margins'!$H$44)=0,'Energy margins'!$E$44,0)),0,IF(MOD(IF(AND(B19&gt;='Energy margins'!$F$44,B19&lt;='Energy margins'!$G$44),B19-'Energy margins'!$F$44,""),'Energy margins'!$H$44)=0,'Energy margins'!$E$44,0))</f>
        <v>0</v>
      </c>
      <c r="K19" s="897">
        <f>IF(ISERROR(IF(MOD(IF(AND(B19&gt;='Energy margins'!$F$45,B19&lt;='Energy margins'!$G$45),B19-'Energy margins'!$F$45,""),'Energy margins'!$H$45)=0,'Energy margins'!$E$45,0)),0,IF(MOD(IF(AND(B19&gt;='Energy margins'!$F$45,B19&lt;='Energy margins'!$G$45),B19-'Energy margins'!$F$45,""),'Energy margins'!$H$45)=0,'Energy margins'!$E$45,0))</f>
        <v>0</v>
      </c>
      <c r="L19" s="897">
        <f>IF(ISERROR(IF(MOD(IF(AND(B19&gt;='Energy margins'!$F$46,B19&lt;='Energy margins'!$G$46),B19-'Energy margins'!$F$46,""),'Energy margins'!$H$46)=0,'Energy margins'!$E$46,0)),0,IF(MOD(IF(AND(B19&gt;='Energy margins'!$F$46,B19&lt;='Energy margins'!$G$46),B19-'Energy margins'!$F$46,""),'Energy margins'!$H$46)=0,'Energy margins'!$E$46,0))</f>
        <v>0</v>
      </c>
      <c r="M19" s="897">
        <f>IF(ISERROR(IF(MOD(IF(AND(B19&gt;='Energy margins'!$F$47,B19&lt;='Energy margins'!$G$47),B19-'Energy margins'!$F$47,""),'Energy margins'!$H$47)=0,'Energy margins'!$E$47,0)),0,IF(MOD(IF(AND(B19&gt;='Energy margins'!$F$47,B19&lt;='Energy margins'!$G$47),B19-'Energy margins'!$F$47,""),'Energy margins'!$H$47)=0,'Energy margins'!$E$47,0))</f>
        <v>16.07</v>
      </c>
      <c r="N19" s="897">
        <f>IF(ISERROR(IF(MOD(IF(AND(B19&gt;='Energy margins'!$F$50,B19&lt;='Energy margins'!$G$50),B19-'Energy margins'!$F$50,""),'Energy margins'!$H$50)=0,'Energy margins'!$E$50,0)),0,IF(MOD(IF(AND(B19&gt;='Energy margins'!$F$50,B19&lt;='Energy margins'!$G$50),B19-'Energy margins'!$F$50,""),'Energy margins'!$H$50)=0,'Energy margins'!$E$50,0))</f>
        <v>58.68</v>
      </c>
      <c r="O19" s="897">
        <f>IF(ISERROR(IF(MOD(IF(AND(B19&gt;='Energy margins'!$F$53,B19&lt;='Energy margins'!$G$53),B19-'Energy margins'!$F$53,""),'Energy margins'!$H$53)=0,'Energy margins'!$E$53,0)),0,IF(MOD(IF(AND(B19&gt;='Energy margins'!$F$53,B19&lt;='Energy margins'!$G$53),B19-'Energy margins'!$F$53,""),'Energy margins'!$H$53)=0,'Energy margins'!$E$53,0))</f>
        <v>35.255000000000003</v>
      </c>
      <c r="P19" s="897">
        <f>IF(ISERROR(IF(MOD(IF(AND(B19&gt;='Energy margins'!$F$56,B19&lt;='Energy margins'!$G$56),B19-'Energy margins'!$F$56,""),'Energy margins'!$H$56)=0,'Energy margins'!$E$56,0)),0,IF(MOD(IF(AND(B19&gt;='Energy margins'!$F$56,B19&lt;='Energy margins'!$G$56),B19-'Energy margins'!$F$56,""),'Energy margins'!$H$56)=0,'Energy margins'!$E$56,0))</f>
        <v>32.4</v>
      </c>
      <c r="Q19" s="897">
        <f>IF(ISERROR(IF(MOD(IF(AND(B19&gt;='Energy margins'!$F$59,B19&lt;='Energy margins'!$G$59),B19-'Energy margins'!$F$59,""),'Energy margins'!$H$59)=0,'Energy margins'!$E$59,0)),0,IF(MOD(IF(AND(B19&gt;='Energy margins'!$F$59,B19&lt;='Energy margins'!$G$59),B19-'Energy margins'!$F$59,""),'Energy margins'!$H$59)=0,'Energy margins'!$E$59,0))</f>
        <v>450</v>
      </c>
      <c r="R19" s="897">
        <f>IF(ISERROR(IF(MOD(IF(AND(B19&gt;='Energy margins'!$F$60,B19&lt;='Energy margins'!$G$60),B19-'Energy margins'!$F$60,""),'Energy margins'!$H$60)=0,'Energy margins'!$E$60,0)),0,IF(MOD(IF(AND(B19&gt;='Energy margins'!$F$60,B19&lt;='Energy margins'!$G$60),B19-'Energy margins'!$F$60,""),'Energy margins'!$H$60)=0,'Energy margins'!$E$60,0))</f>
        <v>0</v>
      </c>
      <c r="S19" s="897">
        <f>IF(ISERROR(IF(MOD(IF(AND(B19&gt;='Energy margins'!$F$61,B19&lt;='Energy margins'!$G$61),B19-'Energy margins'!$F$61,""),'Energy margins'!$H$61)=0,'Energy margins'!$E$61,0)),0,IF(MOD(IF(AND(B19&gt;='Energy margins'!$F$61,B19&lt;='Energy margins'!$G$61),B19-'Energy margins'!$F$61,""),'Energy margins'!$H$61)=0,'Energy margins'!$E$61,0))</f>
        <v>0</v>
      </c>
      <c r="T19" s="897">
        <f>IF(ISERROR(IF(MOD(IF(AND(B19&gt;='Energy margins'!$F$62,B19&lt;='Energy margins'!$G$62),B19-'Energy margins'!$F$62,""),'Energy margins'!$H$62)=0,'Energy margins'!$E$62,0)),0,IF(MOD(IF(AND(B19&gt;='Energy margins'!$F$62,B19&lt;='Energy margins'!$G$62),B19-'Energy margins'!$F$62,""),'Energy margins'!$H$62)=0,'Energy margins'!$E$62,0))</f>
        <v>0</v>
      </c>
      <c r="U19" s="923">
        <f t="shared" si="3"/>
        <v>592.40499999999997</v>
      </c>
      <c r="V19" s="197"/>
      <c r="W19" s="197">
        <f t="shared" si="4"/>
        <v>592.40499999999997</v>
      </c>
      <c r="X19" s="197">
        <f t="shared" si="5"/>
        <v>1057.595</v>
      </c>
      <c r="Y19" s="197">
        <f t="shared" si="1"/>
        <v>1277.595</v>
      </c>
      <c r="Z19" s="952">
        <f t="shared" si="6"/>
        <v>1304.0189674547405</v>
      </c>
      <c r="AA19" s="953">
        <f t="shared" si="7"/>
        <v>173.86919566063204</v>
      </c>
      <c r="AB19" s="953">
        <f t="shared" si="8"/>
        <v>468.18627661516695</v>
      </c>
      <c r="AC19" s="1019">
        <f t="shared" si="9"/>
        <v>835.83269083957362</v>
      </c>
      <c r="AD19" s="1020">
        <f t="shared" si="10"/>
        <v>1009.7018865002057</v>
      </c>
      <c r="AE19" s="952">
        <f t="shared" si="12"/>
        <v>2770.8629592617499</v>
      </c>
      <c r="AF19" s="953">
        <f t="shared" si="11"/>
        <v>1373.2701084841974</v>
      </c>
      <c r="AG19" s="953">
        <f t="shared" si="11"/>
        <v>2901.8562473138472</v>
      </c>
      <c r="AH19" s="1019">
        <f t="shared" si="11"/>
        <v>-130.99328805209689</v>
      </c>
      <c r="AI19" s="1020">
        <f t="shared" si="11"/>
        <v>1242.2768204321003</v>
      </c>
    </row>
    <row r="20" spans="2:35" x14ac:dyDescent="0.3">
      <c r="B20" s="881">
        <v>8</v>
      </c>
      <c r="C20" s="897">
        <f>'Energy Inputs'!D37</f>
        <v>0</v>
      </c>
      <c r="D20" s="897">
        <f>C20*'Energy Inputs'!$D$24</f>
        <v>0</v>
      </c>
      <c r="E20" s="197">
        <f>'Energy margins'!$E$12</f>
        <v>55</v>
      </c>
      <c r="F20" s="897">
        <f t="shared" si="0"/>
        <v>0</v>
      </c>
      <c r="G20" s="897">
        <f>'Energy Inputs'!$D$10</f>
        <v>220</v>
      </c>
      <c r="H20" s="197">
        <f t="shared" si="2"/>
        <v>220</v>
      </c>
      <c r="I20" s="199"/>
      <c r="J20" s="899">
        <f>IF(ISERROR(IF(MOD(IF(AND(B20&gt;='Energy margins'!$F$44,B20&lt;='Energy margins'!$G$44),B20-'Energy margins'!$F$44,""),'Energy margins'!$H$44)=0,'Energy margins'!$E$44,0)),0,IF(MOD(IF(AND(B20&gt;='Energy margins'!$F$44,B20&lt;='Energy margins'!$G$44),B20-'Energy margins'!$F$44,""),'Energy margins'!$H$44)=0,'Energy margins'!$E$44,0))</f>
        <v>0</v>
      </c>
      <c r="K20" s="897">
        <f>IF(ISERROR(IF(MOD(IF(AND(B20&gt;='Energy margins'!$F$45,B20&lt;='Energy margins'!$G$45),B20-'Energy margins'!$F$45,""),'Energy margins'!$H$45)=0,'Energy margins'!$E$45,0)),0,IF(MOD(IF(AND(B20&gt;='Energy margins'!$F$45,B20&lt;='Energy margins'!$G$45),B20-'Energy margins'!$F$45,""),'Energy margins'!$H$45)=0,'Energy margins'!$E$45,0))</f>
        <v>0</v>
      </c>
      <c r="L20" s="897">
        <f>IF(ISERROR(IF(MOD(IF(AND(B20&gt;='Energy margins'!$F$46,B20&lt;='Energy margins'!$G$46),B20-'Energy margins'!$F$46,""),'Energy margins'!$H$46)=0,'Energy margins'!$E$46,0)),0,IF(MOD(IF(AND(B20&gt;='Energy margins'!$F$46,B20&lt;='Energy margins'!$G$46),B20-'Energy margins'!$F$46,""),'Energy margins'!$H$46)=0,'Energy margins'!$E$46,0))</f>
        <v>0</v>
      </c>
      <c r="M20" s="897">
        <f>IF(ISERROR(IF(MOD(IF(AND(B20&gt;='Energy margins'!$F$47,B20&lt;='Energy margins'!$G$47),B20-'Energy margins'!$F$47,""),'Energy margins'!$H$47)=0,'Energy margins'!$E$47,0)),0,IF(MOD(IF(AND(B20&gt;='Energy margins'!$F$47,B20&lt;='Energy margins'!$G$47),B20-'Energy margins'!$F$47,""),'Energy margins'!$H$47)=0,'Energy margins'!$E$47,0))</f>
        <v>0</v>
      </c>
      <c r="N20" s="897">
        <f>IF(ISERROR(IF(MOD(IF(AND(B20&gt;='Energy margins'!$F$50,B20&lt;='Energy margins'!$G$50),B20-'Energy margins'!$F$50,""),'Energy margins'!$H$50)=0,'Energy margins'!$E$50,0)),0,IF(MOD(IF(AND(B20&gt;='Energy margins'!$F$50,B20&lt;='Energy margins'!$G$50),B20-'Energy margins'!$F$50,""),'Energy margins'!$H$50)=0,'Energy margins'!$E$50,0))</f>
        <v>0</v>
      </c>
      <c r="O20" s="897">
        <f>IF(ISERROR(IF(MOD(IF(AND(B20&gt;='Energy margins'!$F$53,B20&lt;='Energy margins'!$G$53),B20-'Energy margins'!$F$53,""),'Energy margins'!$H$53)=0,'Energy margins'!$E$53,0)),0,IF(MOD(IF(AND(B20&gt;='Energy margins'!$F$53,B20&lt;='Energy margins'!$G$53),B20-'Energy margins'!$F$53,""),'Energy margins'!$H$53)=0,'Energy margins'!$E$53,0))</f>
        <v>0</v>
      </c>
      <c r="P20" s="897">
        <f>IF(ISERROR(IF(MOD(IF(AND(B20&gt;='Energy margins'!$F$56,B20&lt;='Energy margins'!$G$56),B20-'Energy margins'!$F$56,""),'Energy margins'!$H$56)=0,'Energy margins'!$E$56,0)),0,IF(MOD(IF(AND(B20&gt;='Energy margins'!$F$56,B20&lt;='Energy margins'!$G$56),B20-'Energy margins'!$F$56,""),'Energy margins'!$H$56)=0,'Energy margins'!$E$56,0))</f>
        <v>0</v>
      </c>
      <c r="Q20" s="897">
        <f>IF(ISERROR(IF(MOD(IF(AND(B20&gt;='Energy margins'!$F$59,B20&lt;='Energy margins'!$G$59),B20-'Energy margins'!$F$59,""),'Energy margins'!$H$59)=0,'Energy margins'!$E$59,0)),0,IF(MOD(IF(AND(B20&gt;='Energy margins'!$F$59,B20&lt;='Energy margins'!$G$59),B20-'Energy margins'!$F$59,""),'Energy margins'!$H$59)=0,'Energy margins'!$E$59,0))</f>
        <v>0</v>
      </c>
      <c r="R20" s="897">
        <f>IF(ISERROR(IF(MOD(IF(AND(B20&gt;='Energy margins'!$F$60,B20&lt;='Energy margins'!$G$60),B20-'Energy margins'!$F$60,""),'Energy margins'!$H$60)=0,'Energy margins'!$E$60,0)),0,IF(MOD(IF(AND(B20&gt;='Energy margins'!$F$60,B20&lt;='Energy margins'!$G$60),B20-'Energy margins'!$F$60,""),'Energy margins'!$H$60)=0,'Energy margins'!$E$60,0))</f>
        <v>0</v>
      </c>
      <c r="S20" s="897">
        <f>IF(ISERROR(IF(MOD(IF(AND(B20&gt;='Energy margins'!$F$61,B20&lt;='Energy margins'!$G$61),B20-'Energy margins'!$F$61,""),'Energy margins'!$H$61)=0,'Energy margins'!$E$61,0)),0,IF(MOD(IF(AND(B20&gt;='Energy margins'!$F$61,B20&lt;='Energy margins'!$G$61),B20-'Energy margins'!$F$61,""),'Energy margins'!$H$61)=0,'Energy margins'!$E$61,0))</f>
        <v>0</v>
      </c>
      <c r="T20" s="897">
        <f>IF(ISERROR(IF(MOD(IF(AND(B20&gt;='Energy margins'!$F$62,B20&lt;='Energy margins'!$G$62),B20-'Energy margins'!$F$62,""),'Energy margins'!$H$62)=0,'Energy margins'!$E$62,0)),0,IF(MOD(IF(AND(B20&gt;='Energy margins'!$F$62,B20&lt;='Energy margins'!$G$62),B20-'Energy margins'!$F$62,""),'Energy margins'!$H$62)=0,'Energy margins'!$E$62,0))</f>
        <v>0</v>
      </c>
      <c r="U20" s="923">
        <f t="shared" si="3"/>
        <v>0</v>
      </c>
      <c r="V20" s="197"/>
      <c r="W20" s="197">
        <f t="shared" si="4"/>
        <v>0</v>
      </c>
      <c r="X20" s="197">
        <f t="shared" si="5"/>
        <v>0</v>
      </c>
      <c r="Y20" s="197">
        <f t="shared" si="1"/>
        <v>220</v>
      </c>
      <c r="Z20" s="952">
        <f t="shared" si="6"/>
        <v>0</v>
      </c>
      <c r="AA20" s="953">
        <f t="shared" si="7"/>
        <v>167.18191890445391</v>
      </c>
      <c r="AB20" s="953">
        <f t="shared" si="8"/>
        <v>0</v>
      </c>
      <c r="AC20" s="1019">
        <f t="shared" si="9"/>
        <v>0</v>
      </c>
      <c r="AD20" s="1020">
        <f t="shared" si="10"/>
        <v>167.18191890445391</v>
      </c>
      <c r="AE20" s="952">
        <f t="shared" si="12"/>
        <v>2770.8629592617499</v>
      </c>
      <c r="AF20" s="953">
        <f t="shared" si="11"/>
        <v>1540.4520273886512</v>
      </c>
      <c r="AG20" s="953">
        <f t="shared" si="11"/>
        <v>2901.8562473138472</v>
      </c>
      <c r="AH20" s="1019">
        <f t="shared" si="11"/>
        <v>-130.99328805209689</v>
      </c>
      <c r="AI20" s="1020">
        <f t="shared" si="11"/>
        <v>1409.4587393365541</v>
      </c>
    </row>
    <row r="21" spans="2:35" x14ac:dyDescent="0.3">
      <c r="B21" s="881">
        <v>9</v>
      </c>
      <c r="C21" s="897">
        <f>'Energy Inputs'!D38</f>
        <v>0</v>
      </c>
      <c r="D21" s="897">
        <f>C21*'Energy Inputs'!$D$24</f>
        <v>0</v>
      </c>
      <c r="E21" s="197">
        <f>'Energy margins'!$E$12</f>
        <v>55</v>
      </c>
      <c r="F21" s="897">
        <f t="shared" si="0"/>
        <v>0</v>
      </c>
      <c r="G21" s="897">
        <f>'Energy Inputs'!$D$10</f>
        <v>220</v>
      </c>
      <c r="H21" s="197">
        <f t="shared" si="2"/>
        <v>220</v>
      </c>
      <c r="I21" s="199"/>
      <c r="J21" s="899">
        <f>IF(ISERROR(IF(MOD(IF(AND(B21&gt;='Energy margins'!$F$44,B21&lt;='Energy margins'!$G$44),B21-'Energy margins'!$F$44,""),'Energy margins'!$H$44)=0,'Energy margins'!$E$44,0)),0,IF(MOD(IF(AND(B21&gt;='Energy margins'!$F$44,B21&lt;='Energy margins'!$G$44),B21-'Energy margins'!$F$44,""),'Energy margins'!$H$44)=0,'Energy margins'!$E$44,0))</f>
        <v>0</v>
      </c>
      <c r="K21" s="897">
        <f>IF(ISERROR(IF(MOD(IF(AND(B21&gt;='Energy margins'!$F$45,B21&lt;='Energy margins'!$G$45),B21-'Energy margins'!$F$45,""),'Energy margins'!$H$45)=0,'Energy margins'!$E$45,0)),0,IF(MOD(IF(AND(B21&gt;='Energy margins'!$F$45,B21&lt;='Energy margins'!$G$45),B21-'Energy margins'!$F$45,""),'Energy margins'!$H$45)=0,'Energy margins'!$E$45,0))</f>
        <v>0</v>
      </c>
      <c r="L21" s="897">
        <f>IF(ISERROR(IF(MOD(IF(AND(B21&gt;='Energy margins'!$F$46,B21&lt;='Energy margins'!$G$46),B21-'Energy margins'!$F$46,""),'Energy margins'!$H$46)=0,'Energy margins'!$E$46,0)),0,IF(MOD(IF(AND(B21&gt;='Energy margins'!$F$46,B21&lt;='Energy margins'!$G$46),B21-'Energy margins'!$F$46,""),'Energy margins'!$H$46)=0,'Energy margins'!$E$46,0))</f>
        <v>0</v>
      </c>
      <c r="M21" s="897">
        <f>IF(ISERROR(IF(MOD(IF(AND(B21&gt;='Energy margins'!$F$47,B21&lt;='Energy margins'!$G$47),B21-'Energy margins'!$F$47,""),'Energy margins'!$H$47)=0,'Energy margins'!$E$47,0)),0,IF(MOD(IF(AND(B21&gt;='Energy margins'!$F$47,B21&lt;='Energy margins'!$G$47),B21-'Energy margins'!$F$47,""),'Energy margins'!$H$47)=0,'Energy margins'!$E$47,0))</f>
        <v>0</v>
      </c>
      <c r="N21" s="897">
        <f>IF(ISERROR(IF(MOD(IF(AND(B21&gt;='Energy margins'!$F$50,B21&lt;='Energy margins'!$G$50),B21-'Energy margins'!$F$50,""),'Energy margins'!$H$50)=0,'Energy margins'!$E$50,0)),0,IF(MOD(IF(AND(B21&gt;='Energy margins'!$F$50,B21&lt;='Energy margins'!$G$50),B21-'Energy margins'!$F$50,""),'Energy margins'!$H$50)=0,'Energy margins'!$E$50,0))</f>
        <v>0</v>
      </c>
      <c r="O21" s="897">
        <f>IF(ISERROR(IF(MOD(IF(AND(B21&gt;='Energy margins'!$F$53,B21&lt;='Energy margins'!$G$53),B21-'Energy margins'!$F$53,""),'Energy margins'!$H$53)=0,'Energy margins'!$E$53,0)),0,IF(MOD(IF(AND(B21&gt;='Energy margins'!$F$53,B21&lt;='Energy margins'!$G$53),B21-'Energy margins'!$F$53,""),'Energy margins'!$H$53)=0,'Energy margins'!$E$53,0))</f>
        <v>0</v>
      </c>
      <c r="P21" s="897">
        <f>IF(ISERROR(IF(MOD(IF(AND(B21&gt;='Energy margins'!$F$56,B21&lt;='Energy margins'!$G$56),B21-'Energy margins'!$F$56,""),'Energy margins'!$H$56)=0,'Energy margins'!$E$56,0)),0,IF(MOD(IF(AND(B21&gt;='Energy margins'!$F$56,B21&lt;='Energy margins'!$G$56),B21-'Energy margins'!$F$56,""),'Energy margins'!$H$56)=0,'Energy margins'!$E$56,0))</f>
        <v>0</v>
      </c>
      <c r="Q21" s="897">
        <f>IF(ISERROR(IF(MOD(IF(AND(B21&gt;='Energy margins'!$F$59,B21&lt;='Energy margins'!$G$59),B21-'Energy margins'!$F$59,""),'Energy margins'!$H$59)=0,'Energy margins'!$E$59,0)),0,IF(MOD(IF(AND(B21&gt;='Energy margins'!$F$59,B21&lt;='Energy margins'!$G$59),B21-'Energy margins'!$F$59,""),'Energy margins'!$H$59)=0,'Energy margins'!$E$59,0))</f>
        <v>0</v>
      </c>
      <c r="R21" s="897">
        <f>IF(ISERROR(IF(MOD(IF(AND(B21&gt;='Energy margins'!$F$60,B21&lt;='Energy margins'!$G$60),B21-'Energy margins'!$F$60,""),'Energy margins'!$H$60)=0,'Energy margins'!$E$60,0)),0,IF(MOD(IF(AND(B21&gt;='Energy margins'!$F$60,B21&lt;='Energy margins'!$G$60),B21-'Energy margins'!$F$60,""),'Energy margins'!$H$60)=0,'Energy margins'!$E$60,0))</f>
        <v>0</v>
      </c>
      <c r="S21" s="897">
        <f>IF(ISERROR(IF(MOD(IF(AND(B21&gt;='Energy margins'!$F$61,B21&lt;='Energy margins'!$G$61),B21-'Energy margins'!$F$61,""),'Energy margins'!$H$61)=0,'Energy margins'!$E$61,0)),0,IF(MOD(IF(AND(B21&gt;='Energy margins'!$F$61,B21&lt;='Energy margins'!$G$61),B21-'Energy margins'!$F$61,""),'Energy margins'!$H$61)=0,'Energy margins'!$E$61,0))</f>
        <v>0</v>
      </c>
      <c r="T21" s="897">
        <f>IF(ISERROR(IF(MOD(IF(AND(B21&gt;='Energy margins'!$F$62,B21&lt;='Energy margins'!$G$62),B21-'Energy margins'!$F$62,""),'Energy margins'!$H$62)=0,'Energy margins'!$E$62,0)),0,IF(MOD(IF(AND(B21&gt;='Energy margins'!$F$62,B21&lt;='Energy margins'!$G$62),B21-'Energy margins'!$F$62,""),'Energy margins'!$H$62)=0,'Energy margins'!$E$62,0))</f>
        <v>0</v>
      </c>
      <c r="U21" s="923">
        <f t="shared" si="3"/>
        <v>0</v>
      </c>
      <c r="V21" s="197"/>
      <c r="W21" s="197">
        <f t="shared" si="4"/>
        <v>0</v>
      </c>
      <c r="X21" s="197">
        <f t="shared" si="5"/>
        <v>0</v>
      </c>
      <c r="Y21" s="197">
        <f t="shared" si="1"/>
        <v>220</v>
      </c>
      <c r="Z21" s="952">
        <f t="shared" si="6"/>
        <v>0</v>
      </c>
      <c r="AA21" s="953">
        <f t="shared" si="7"/>
        <v>160.75184510043644</v>
      </c>
      <c r="AB21" s="953">
        <f t="shared" si="8"/>
        <v>0</v>
      </c>
      <c r="AC21" s="1019">
        <f t="shared" si="9"/>
        <v>0</v>
      </c>
      <c r="AD21" s="1020">
        <f t="shared" si="10"/>
        <v>160.75184510043644</v>
      </c>
      <c r="AE21" s="952">
        <f t="shared" si="12"/>
        <v>2770.8629592617499</v>
      </c>
      <c r="AF21" s="953">
        <f t="shared" si="11"/>
        <v>1701.2038724890876</v>
      </c>
      <c r="AG21" s="953">
        <f t="shared" si="11"/>
        <v>2901.8562473138472</v>
      </c>
      <c r="AH21" s="1019">
        <f t="shared" si="11"/>
        <v>-130.99328805209689</v>
      </c>
      <c r="AI21" s="1020">
        <f t="shared" si="11"/>
        <v>1570.2105844369905</v>
      </c>
    </row>
    <row r="22" spans="2:35" x14ac:dyDescent="0.3">
      <c r="B22" s="881">
        <v>10</v>
      </c>
      <c r="C22" s="897">
        <f>'Energy Inputs'!D39</f>
        <v>1</v>
      </c>
      <c r="D22" s="897">
        <f>C22*'Energy Inputs'!$D$24</f>
        <v>30</v>
      </c>
      <c r="E22" s="197">
        <f>'Energy margins'!$E$12</f>
        <v>55</v>
      </c>
      <c r="F22" s="897">
        <f t="shared" si="0"/>
        <v>1650</v>
      </c>
      <c r="G22" s="897">
        <f>'Energy Inputs'!$D$10</f>
        <v>220</v>
      </c>
      <c r="H22" s="197">
        <f t="shared" si="2"/>
        <v>1870</v>
      </c>
      <c r="I22" s="199"/>
      <c r="J22" s="899">
        <f>IF(ISERROR(IF(MOD(IF(AND(B22&gt;='Energy margins'!$F$44,B22&lt;='Energy margins'!$G$44),B22-'Energy margins'!$F$44,""),'Energy margins'!$H$44)=0,'Energy margins'!$E$44,0)),0,IF(MOD(IF(AND(B22&gt;='Energy margins'!$F$44,B22&lt;='Energy margins'!$G$44),B22-'Energy margins'!$F$44,""),'Energy margins'!$H$44)=0,'Energy margins'!$E$44,0))</f>
        <v>0</v>
      </c>
      <c r="K22" s="897">
        <f>IF(ISERROR(IF(MOD(IF(AND(B22&gt;='Energy margins'!$F$45,B22&lt;='Energy margins'!$G$45),B22-'Energy margins'!$F$45,""),'Energy margins'!$H$45)=0,'Energy margins'!$E$45,0)),0,IF(MOD(IF(AND(B22&gt;='Energy margins'!$F$45,B22&lt;='Energy margins'!$G$45),B22-'Energy margins'!$F$45,""),'Energy margins'!$H$45)=0,'Energy margins'!$E$45,0))</f>
        <v>0</v>
      </c>
      <c r="L22" s="897">
        <f>IF(ISERROR(IF(MOD(IF(AND(B22&gt;='Energy margins'!$F$46,B22&lt;='Energy margins'!$G$46),B22-'Energy margins'!$F$46,""),'Energy margins'!$H$46)=0,'Energy margins'!$E$46,0)),0,IF(MOD(IF(AND(B22&gt;='Energy margins'!$F$46,B22&lt;='Energy margins'!$G$46),B22-'Energy margins'!$F$46,""),'Energy margins'!$H$46)=0,'Energy margins'!$E$46,0))</f>
        <v>0</v>
      </c>
      <c r="M22" s="897">
        <f>IF(ISERROR(IF(MOD(IF(AND(B22&gt;='Energy margins'!$F$47,B22&lt;='Energy margins'!$G$47),B22-'Energy margins'!$F$47,""),'Energy margins'!$H$47)=0,'Energy margins'!$E$47,0)),0,IF(MOD(IF(AND(B22&gt;='Energy margins'!$F$47,B22&lt;='Energy margins'!$G$47),B22-'Energy margins'!$F$47,""),'Energy margins'!$H$47)=0,'Energy margins'!$E$47,0))</f>
        <v>16.07</v>
      </c>
      <c r="N22" s="897">
        <f>IF(ISERROR(IF(MOD(IF(AND(B22&gt;='Energy margins'!$F$50,B22&lt;='Energy margins'!$G$50),B22-'Energy margins'!$F$50,""),'Energy margins'!$H$50)=0,'Energy margins'!$E$50,0)),0,IF(MOD(IF(AND(B22&gt;='Energy margins'!$F$50,B22&lt;='Energy margins'!$G$50),B22-'Energy margins'!$F$50,""),'Energy margins'!$H$50)=0,'Energy margins'!$E$50,0))</f>
        <v>58.68</v>
      </c>
      <c r="O22" s="897">
        <f>IF(ISERROR(IF(MOD(IF(AND(B22&gt;='Energy margins'!$F$53,B22&lt;='Energy margins'!$G$53),B22-'Energy margins'!$F$53,""),'Energy margins'!$H$53)=0,'Energy margins'!$E$53,0)),0,IF(MOD(IF(AND(B22&gt;='Energy margins'!$F$53,B22&lt;='Energy margins'!$G$53),B22-'Energy margins'!$F$53,""),'Energy margins'!$H$53)=0,'Energy margins'!$E$53,0))</f>
        <v>35.255000000000003</v>
      </c>
      <c r="P22" s="897">
        <f>IF(ISERROR(IF(MOD(IF(AND(B22&gt;='Energy margins'!$F$56,B22&lt;='Energy margins'!$G$56),B22-'Energy margins'!$F$56,""),'Energy margins'!$H$56)=0,'Energy margins'!$E$56,0)),0,IF(MOD(IF(AND(B22&gt;='Energy margins'!$F$56,B22&lt;='Energy margins'!$G$56),B22-'Energy margins'!$F$56,""),'Energy margins'!$H$56)=0,'Energy margins'!$E$56,0))</f>
        <v>32.4</v>
      </c>
      <c r="Q22" s="897">
        <f>IF(ISERROR(IF(MOD(IF(AND(B22&gt;='Energy margins'!$F$59,B22&lt;='Energy margins'!$G$59),B22-'Energy margins'!$F$59,""),'Energy margins'!$H$59)=0,'Energy margins'!$E$59,0)),0,IF(MOD(IF(AND(B22&gt;='Energy margins'!$F$59,B22&lt;='Energy margins'!$G$59),B22-'Energy margins'!$F$59,""),'Energy margins'!$H$59)=0,'Energy margins'!$E$59,0))</f>
        <v>450</v>
      </c>
      <c r="R22" s="897">
        <f>IF(ISERROR(IF(MOD(IF(AND(B22&gt;='Energy margins'!$F$60,B22&lt;='Energy margins'!$G$60),B22-'Energy margins'!$F$60,""),'Energy margins'!$H$60)=0,'Energy margins'!$E$60,0)),0,IF(MOD(IF(AND(B22&gt;='Energy margins'!$F$60,B22&lt;='Energy margins'!$G$60),B22-'Energy margins'!$F$60,""),'Energy margins'!$H$60)=0,'Energy margins'!$E$60,0))</f>
        <v>0</v>
      </c>
      <c r="S22" s="897">
        <f>IF(ISERROR(IF(MOD(IF(AND(B22&gt;='Energy margins'!$F$61,B22&lt;='Energy margins'!$G$61),B22-'Energy margins'!$F$61,""),'Energy margins'!$H$61)=0,'Energy margins'!$E$61,0)),0,IF(MOD(IF(AND(B22&gt;='Energy margins'!$F$61,B22&lt;='Energy margins'!$G$61),B22-'Energy margins'!$F$61,""),'Energy margins'!$H$61)=0,'Energy margins'!$E$61,0))</f>
        <v>0</v>
      </c>
      <c r="T22" s="897">
        <f>IF(ISERROR(IF(MOD(IF(AND(B22&gt;='Energy margins'!$F$62,B22&lt;='Energy margins'!$G$62),B22-'Energy margins'!$F$62,""),'Energy margins'!$H$62)=0,'Energy margins'!$E$62,0)),0,IF(MOD(IF(AND(B22&gt;='Energy margins'!$F$62,B22&lt;='Energy margins'!$G$62),B22-'Energy margins'!$F$62,""),'Energy margins'!$H$62)=0,'Energy margins'!$E$62,0))</f>
        <v>0</v>
      </c>
      <c r="U22" s="923">
        <f t="shared" si="3"/>
        <v>592.40499999999997</v>
      </c>
      <c r="V22" s="197"/>
      <c r="W22" s="197">
        <f t="shared" si="4"/>
        <v>592.40499999999997</v>
      </c>
      <c r="X22" s="197">
        <f t="shared" si="5"/>
        <v>1057.595</v>
      </c>
      <c r="Y22" s="197">
        <f t="shared" si="1"/>
        <v>1277.595</v>
      </c>
      <c r="Z22" s="952">
        <f t="shared" si="6"/>
        <v>1159.2681137050704</v>
      </c>
      <c r="AA22" s="953">
        <f t="shared" si="7"/>
        <v>154.5690818273427</v>
      </c>
      <c r="AB22" s="953">
        <f t="shared" si="8"/>
        <v>416.21589509057708</v>
      </c>
      <c r="AC22" s="1019">
        <f t="shared" si="9"/>
        <v>743.05221861449331</v>
      </c>
      <c r="AD22" s="1020">
        <f t="shared" si="10"/>
        <v>897.62130044183596</v>
      </c>
      <c r="AE22" s="952">
        <f t="shared" si="12"/>
        <v>3930.1310729668203</v>
      </c>
      <c r="AF22" s="953">
        <f t="shared" si="11"/>
        <v>1855.7729543164303</v>
      </c>
      <c r="AG22" s="953">
        <f t="shared" si="11"/>
        <v>3318.0721424044241</v>
      </c>
      <c r="AH22" s="1019">
        <f t="shared" si="11"/>
        <v>612.05893056239643</v>
      </c>
      <c r="AI22" s="1020">
        <f t="shared" si="11"/>
        <v>2467.8318848788267</v>
      </c>
    </row>
    <row r="23" spans="2:35" x14ac:dyDescent="0.3">
      <c r="B23" s="881">
        <v>11</v>
      </c>
      <c r="C23" s="897">
        <f>'Energy Inputs'!D40</f>
        <v>0</v>
      </c>
      <c r="D23" s="897">
        <f>C23*'Energy Inputs'!$D$24</f>
        <v>0</v>
      </c>
      <c r="E23" s="197">
        <f>'Energy margins'!$E$12</f>
        <v>55</v>
      </c>
      <c r="F23" s="897">
        <f t="shared" si="0"/>
        <v>0</v>
      </c>
      <c r="G23" s="897">
        <f>'Energy Inputs'!$D$10</f>
        <v>220</v>
      </c>
      <c r="H23" s="197">
        <f t="shared" si="2"/>
        <v>220</v>
      </c>
      <c r="I23" s="199"/>
      <c r="J23" s="899">
        <f>IF(ISERROR(IF(MOD(IF(AND(B23&gt;='Energy margins'!$F$44,B23&lt;='Energy margins'!$G$44),B23-'Energy margins'!$F$44,""),'Energy margins'!$H$44)=0,'Energy margins'!$E$44,0)),0,IF(MOD(IF(AND(B23&gt;='Energy margins'!$F$44,B23&lt;='Energy margins'!$G$44),B23-'Energy margins'!$F$44,""),'Energy margins'!$H$44)=0,'Energy margins'!$E$44,0))</f>
        <v>0</v>
      </c>
      <c r="K23" s="897">
        <f>IF(ISERROR(IF(MOD(IF(AND(B23&gt;='Energy margins'!$F$45,B23&lt;='Energy margins'!$G$45),B23-'Energy margins'!$F$45,""),'Energy margins'!$H$45)=0,'Energy margins'!$E$45,0)),0,IF(MOD(IF(AND(B23&gt;='Energy margins'!$F$45,B23&lt;='Energy margins'!$G$45),B23-'Energy margins'!$F$45,""),'Energy margins'!$H$45)=0,'Energy margins'!$E$45,0))</f>
        <v>0</v>
      </c>
      <c r="L23" s="897">
        <f>IF(ISERROR(IF(MOD(IF(AND(B23&gt;='Energy margins'!$F$46,B23&lt;='Energy margins'!$G$46),B23-'Energy margins'!$F$46,""),'Energy margins'!$H$46)=0,'Energy margins'!$E$46,0)),0,IF(MOD(IF(AND(B23&gt;='Energy margins'!$F$46,B23&lt;='Energy margins'!$G$46),B23-'Energy margins'!$F$46,""),'Energy margins'!$H$46)=0,'Energy margins'!$E$46,0))</f>
        <v>0</v>
      </c>
      <c r="M23" s="897">
        <f>IF(ISERROR(IF(MOD(IF(AND(B23&gt;='Energy margins'!$F$47,B23&lt;='Energy margins'!$G$47),B23-'Energy margins'!$F$47,""),'Energy margins'!$H$47)=0,'Energy margins'!$E$47,0)),0,IF(MOD(IF(AND(B23&gt;='Energy margins'!$F$47,B23&lt;='Energy margins'!$G$47),B23-'Energy margins'!$F$47,""),'Energy margins'!$H$47)=0,'Energy margins'!$E$47,0))</f>
        <v>0</v>
      </c>
      <c r="N23" s="897">
        <f>IF(ISERROR(IF(MOD(IF(AND(B23&gt;='Energy margins'!$F$50,B23&lt;='Energy margins'!$G$50),B23-'Energy margins'!$F$50,""),'Energy margins'!$H$50)=0,'Energy margins'!$E$50,0)),0,IF(MOD(IF(AND(B23&gt;='Energy margins'!$F$50,B23&lt;='Energy margins'!$G$50),B23-'Energy margins'!$F$50,""),'Energy margins'!$H$50)=0,'Energy margins'!$E$50,0))</f>
        <v>0</v>
      </c>
      <c r="O23" s="897">
        <f>IF(ISERROR(IF(MOD(IF(AND(B23&gt;='Energy margins'!$F$53,B23&lt;='Energy margins'!$G$53),B23-'Energy margins'!$F$53,""),'Energy margins'!$H$53)=0,'Energy margins'!$E$53,0)),0,IF(MOD(IF(AND(B23&gt;='Energy margins'!$F$53,B23&lt;='Energy margins'!$G$53),B23-'Energy margins'!$F$53,""),'Energy margins'!$H$53)=0,'Energy margins'!$E$53,0))</f>
        <v>0</v>
      </c>
      <c r="P23" s="897">
        <f>IF(ISERROR(IF(MOD(IF(AND(B23&gt;='Energy margins'!$F$56,B23&lt;='Energy margins'!$G$56),B23-'Energy margins'!$F$56,""),'Energy margins'!$H$56)=0,'Energy margins'!$E$56,0)),0,IF(MOD(IF(AND(B23&gt;='Energy margins'!$F$56,B23&lt;='Energy margins'!$G$56),B23-'Energy margins'!$F$56,""),'Energy margins'!$H$56)=0,'Energy margins'!$E$56,0))</f>
        <v>0</v>
      </c>
      <c r="Q23" s="897">
        <f>IF(ISERROR(IF(MOD(IF(AND(B23&gt;='Energy margins'!$F$59,B23&lt;='Energy margins'!$G$59),B23-'Energy margins'!$F$59,""),'Energy margins'!$H$59)=0,'Energy margins'!$E$59,0)),0,IF(MOD(IF(AND(B23&gt;='Energy margins'!$F$59,B23&lt;='Energy margins'!$G$59),B23-'Energy margins'!$F$59,""),'Energy margins'!$H$59)=0,'Energy margins'!$E$59,0))</f>
        <v>0</v>
      </c>
      <c r="R23" s="897">
        <f>IF(ISERROR(IF(MOD(IF(AND(B23&gt;='Energy margins'!$F$60,B23&lt;='Energy margins'!$G$60),B23-'Energy margins'!$F$60,""),'Energy margins'!$H$60)=0,'Energy margins'!$E$60,0)),0,IF(MOD(IF(AND(B23&gt;='Energy margins'!$F$60,B23&lt;='Energy margins'!$G$60),B23-'Energy margins'!$F$60,""),'Energy margins'!$H$60)=0,'Energy margins'!$E$60,0))</f>
        <v>0</v>
      </c>
      <c r="S23" s="897">
        <f>IF(ISERROR(IF(MOD(IF(AND(B23&gt;='Energy margins'!$F$61,B23&lt;='Energy margins'!$G$61),B23-'Energy margins'!$F$61,""),'Energy margins'!$H$61)=0,'Energy margins'!$E$61,0)),0,IF(MOD(IF(AND(B23&gt;='Energy margins'!$F$61,B23&lt;='Energy margins'!$G$61),B23-'Energy margins'!$F$61,""),'Energy margins'!$H$61)=0,'Energy margins'!$E$61,0))</f>
        <v>0</v>
      </c>
      <c r="T23" s="897">
        <f>IF(ISERROR(IF(MOD(IF(AND(B23&gt;='Energy margins'!$F$62,B23&lt;='Energy margins'!$G$62),B23-'Energy margins'!$F$62,""),'Energy margins'!$H$62)=0,'Energy margins'!$E$62,0)),0,IF(MOD(IF(AND(B23&gt;='Energy margins'!$F$62,B23&lt;='Energy margins'!$G$62),B23-'Energy margins'!$F$62,""),'Energy margins'!$H$62)=0,'Energy margins'!$E$62,0))</f>
        <v>0</v>
      </c>
      <c r="U23" s="923">
        <f t="shared" si="3"/>
        <v>0</v>
      </c>
      <c r="V23" s="197"/>
      <c r="W23" s="197">
        <f t="shared" si="4"/>
        <v>0</v>
      </c>
      <c r="X23" s="197">
        <f t="shared" si="5"/>
        <v>0</v>
      </c>
      <c r="Y23" s="197">
        <f t="shared" si="1"/>
        <v>220</v>
      </c>
      <c r="Z23" s="952">
        <f t="shared" si="6"/>
        <v>0</v>
      </c>
      <c r="AA23" s="953">
        <f t="shared" si="7"/>
        <v>148.62411714167567</v>
      </c>
      <c r="AB23" s="953">
        <f t="shared" si="8"/>
        <v>0</v>
      </c>
      <c r="AC23" s="1019">
        <f t="shared" si="9"/>
        <v>0</v>
      </c>
      <c r="AD23" s="1020">
        <f t="shared" si="10"/>
        <v>148.62411714167567</v>
      </c>
      <c r="AE23" s="952">
        <f t="shared" si="12"/>
        <v>3930.1310729668203</v>
      </c>
      <c r="AF23" s="953">
        <f t="shared" si="11"/>
        <v>2004.397071458106</v>
      </c>
      <c r="AG23" s="953">
        <f t="shared" si="11"/>
        <v>3318.0721424044241</v>
      </c>
      <c r="AH23" s="1019">
        <f t="shared" si="11"/>
        <v>612.05893056239643</v>
      </c>
      <c r="AI23" s="1020">
        <f t="shared" si="11"/>
        <v>2616.4560020205022</v>
      </c>
    </row>
    <row r="24" spans="2:35" x14ac:dyDescent="0.3">
      <c r="B24" s="881">
        <v>12</v>
      </c>
      <c r="C24" s="897">
        <f>'Energy Inputs'!D41</f>
        <v>0</v>
      </c>
      <c r="D24" s="897">
        <f>C24*'Energy Inputs'!$D$24</f>
        <v>0</v>
      </c>
      <c r="E24" s="197">
        <f>'Energy margins'!$E$12</f>
        <v>55</v>
      </c>
      <c r="F24" s="897">
        <f t="shared" si="0"/>
        <v>0</v>
      </c>
      <c r="G24" s="897">
        <f>'Energy Inputs'!$D$10</f>
        <v>220</v>
      </c>
      <c r="H24" s="197">
        <f t="shared" si="2"/>
        <v>220</v>
      </c>
      <c r="I24" s="199"/>
      <c r="J24" s="899">
        <f>IF(ISERROR(IF(MOD(IF(AND(B24&gt;='Energy margins'!$F$44,B24&lt;='Energy margins'!$G$44),B24-'Energy margins'!$F$44,""),'Energy margins'!$H$44)=0,'Energy margins'!$E$44,0)),0,IF(MOD(IF(AND(B24&gt;='Energy margins'!$F$44,B24&lt;='Energy margins'!$G$44),B24-'Energy margins'!$F$44,""),'Energy margins'!$H$44)=0,'Energy margins'!$E$44,0))</f>
        <v>0</v>
      </c>
      <c r="K24" s="897">
        <f>IF(ISERROR(IF(MOD(IF(AND(B24&gt;='Energy margins'!$F$45,B24&lt;='Energy margins'!$G$45),B24-'Energy margins'!$F$45,""),'Energy margins'!$H$45)=0,'Energy margins'!$E$45,0)),0,IF(MOD(IF(AND(B24&gt;='Energy margins'!$F$45,B24&lt;='Energy margins'!$G$45),B24-'Energy margins'!$F$45,""),'Energy margins'!$H$45)=0,'Energy margins'!$E$45,0))</f>
        <v>0</v>
      </c>
      <c r="L24" s="897">
        <f>IF(ISERROR(IF(MOD(IF(AND(B24&gt;='Energy margins'!$F$46,B24&lt;='Energy margins'!$G$46),B24-'Energy margins'!$F$46,""),'Energy margins'!$H$46)=0,'Energy margins'!$E$46,0)),0,IF(MOD(IF(AND(B24&gt;='Energy margins'!$F$46,B24&lt;='Energy margins'!$G$46),B24-'Energy margins'!$F$46,""),'Energy margins'!$H$46)=0,'Energy margins'!$E$46,0))</f>
        <v>0</v>
      </c>
      <c r="M24" s="897">
        <f>IF(ISERROR(IF(MOD(IF(AND(B24&gt;='Energy margins'!$F$47,B24&lt;='Energy margins'!$G$47),B24-'Energy margins'!$F$47,""),'Energy margins'!$H$47)=0,'Energy margins'!$E$47,0)),0,IF(MOD(IF(AND(B24&gt;='Energy margins'!$F$47,B24&lt;='Energy margins'!$G$47),B24-'Energy margins'!$F$47,""),'Energy margins'!$H$47)=0,'Energy margins'!$E$47,0))</f>
        <v>0</v>
      </c>
      <c r="N24" s="897">
        <f>IF(ISERROR(IF(MOD(IF(AND(B24&gt;='Energy margins'!$F$50,B24&lt;='Energy margins'!$G$50),B24-'Energy margins'!$F$50,""),'Energy margins'!$H$50)=0,'Energy margins'!$E$50,0)),0,IF(MOD(IF(AND(B24&gt;='Energy margins'!$F$50,B24&lt;='Energy margins'!$G$50),B24-'Energy margins'!$F$50,""),'Energy margins'!$H$50)=0,'Energy margins'!$E$50,0))</f>
        <v>0</v>
      </c>
      <c r="O24" s="897">
        <f>IF(ISERROR(IF(MOD(IF(AND(B24&gt;='Energy margins'!$F$53,B24&lt;='Energy margins'!$G$53),B24-'Energy margins'!$F$53,""),'Energy margins'!$H$53)=0,'Energy margins'!$E$53,0)),0,IF(MOD(IF(AND(B24&gt;='Energy margins'!$F$53,B24&lt;='Energy margins'!$G$53),B24-'Energy margins'!$F$53,""),'Energy margins'!$H$53)=0,'Energy margins'!$E$53,0))</f>
        <v>0</v>
      </c>
      <c r="P24" s="897">
        <f>IF(ISERROR(IF(MOD(IF(AND(B24&gt;='Energy margins'!$F$56,B24&lt;='Energy margins'!$G$56),B24-'Energy margins'!$F$56,""),'Energy margins'!$H$56)=0,'Energy margins'!$E$56,0)),0,IF(MOD(IF(AND(B24&gt;='Energy margins'!$F$56,B24&lt;='Energy margins'!$G$56),B24-'Energy margins'!$F$56,""),'Energy margins'!$H$56)=0,'Energy margins'!$E$56,0))</f>
        <v>0</v>
      </c>
      <c r="Q24" s="897">
        <f>IF(ISERROR(IF(MOD(IF(AND(B24&gt;='Energy margins'!$F$59,B24&lt;='Energy margins'!$G$59),B24-'Energy margins'!$F$59,""),'Energy margins'!$H$59)=0,'Energy margins'!$E$59,0)),0,IF(MOD(IF(AND(B24&gt;='Energy margins'!$F$59,B24&lt;='Energy margins'!$G$59),B24-'Energy margins'!$F$59,""),'Energy margins'!$H$59)=0,'Energy margins'!$E$59,0))</f>
        <v>0</v>
      </c>
      <c r="R24" s="897">
        <f>IF(ISERROR(IF(MOD(IF(AND(B24&gt;='Energy margins'!$F$60,B24&lt;='Energy margins'!$G$60),B24-'Energy margins'!$F$60,""),'Energy margins'!$H$60)=0,'Energy margins'!$E$60,0)),0,IF(MOD(IF(AND(B24&gt;='Energy margins'!$F$60,B24&lt;='Energy margins'!$G$60),B24-'Energy margins'!$F$60,""),'Energy margins'!$H$60)=0,'Energy margins'!$E$60,0))</f>
        <v>0</v>
      </c>
      <c r="S24" s="897">
        <f>IF(ISERROR(IF(MOD(IF(AND(B24&gt;='Energy margins'!$F$61,B24&lt;='Energy margins'!$G$61),B24-'Energy margins'!$F$61,""),'Energy margins'!$H$61)=0,'Energy margins'!$E$61,0)),0,IF(MOD(IF(AND(B24&gt;='Energy margins'!$F$61,B24&lt;='Energy margins'!$G$61),B24-'Energy margins'!$F$61,""),'Energy margins'!$H$61)=0,'Energy margins'!$E$61,0))</f>
        <v>0</v>
      </c>
      <c r="T24" s="897">
        <f>IF(ISERROR(IF(MOD(IF(AND(B24&gt;='Energy margins'!$F$62,B24&lt;='Energy margins'!$G$62),B24-'Energy margins'!$F$62,""),'Energy margins'!$H$62)=0,'Energy margins'!$E$62,0)),0,IF(MOD(IF(AND(B24&gt;='Energy margins'!$F$62,B24&lt;='Energy margins'!$G$62),B24-'Energy margins'!$F$62,""),'Energy margins'!$H$62)=0,'Energy margins'!$E$62,0))</f>
        <v>0</v>
      </c>
      <c r="U24" s="923">
        <f t="shared" si="3"/>
        <v>0</v>
      </c>
      <c r="V24" s="197"/>
      <c r="W24" s="197">
        <f t="shared" si="4"/>
        <v>0</v>
      </c>
      <c r="X24" s="197">
        <f t="shared" si="5"/>
        <v>0</v>
      </c>
      <c r="Y24" s="197">
        <f t="shared" si="1"/>
        <v>220</v>
      </c>
      <c r="Z24" s="952">
        <f t="shared" si="6"/>
        <v>0</v>
      </c>
      <c r="AA24" s="953">
        <f t="shared" si="7"/>
        <v>142.90780494391893</v>
      </c>
      <c r="AB24" s="953">
        <f t="shared" si="8"/>
        <v>0</v>
      </c>
      <c r="AC24" s="1019">
        <f t="shared" si="9"/>
        <v>0</v>
      </c>
      <c r="AD24" s="1020">
        <f t="shared" si="10"/>
        <v>142.90780494391893</v>
      </c>
      <c r="AE24" s="952">
        <f t="shared" si="12"/>
        <v>3930.1310729668203</v>
      </c>
      <c r="AF24" s="953">
        <f t="shared" si="11"/>
        <v>2147.304876402025</v>
      </c>
      <c r="AG24" s="953">
        <f t="shared" si="11"/>
        <v>3318.0721424044241</v>
      </c>
      <c r="AH24" s="1019">
        <f t="shared" si="11"/>
        <v>612.05893056239643</v>
      </c>
      <c r="AI24" s="1020">
        <f t="shared" si="11"/>
        <v>2759.3638069644212</v>
      </c>
    </row>
    <row r="25" spans="2:35" x14ac:dyDescent="0.3">
      <c r="B25" s="881">
        <v>13</v>
      </c>
      <c r="C25" s="897">
        <f>'Energy Inputs'!D42</f>
        <v>1</v>
      </c>
      <c r="D25" s="897">
        <f>C25*'Energy Inputs'!$D$24</f>
        <v>30</v>
      </c>
      <c r="E25" s="197">
        <f>'Energy margins'!$E$12</f>
        <v>55</v>
      </c>
      <c r="F25" s="897">
        <f t="shared" si="0"/>
        <v>1650</v>
      </c>
      <c r="G25" s="897">
        <f>'Energy Inputs'!$D$10</f>
        <v>220</v>
      </c>
      <c r="H25" s="197">
        <f t="shared" si="2"/>
        <v>1870</v>
      </c>
      <c r="I25" s="199"/>
      <c r="J25" s="899">
        <f>IF(ISERROR(IF(MOD(IF(AND(B25&gt;='Energy margins'!$F$44,B25&lt;='Energy margins'!$G$44),B25-'Energy margins'!$F$44,""),'Energy margins'!$H$44)=0,'Energy margins'!$E$44,0)),0,IF(MOD(IF(AND(B25&gt;='Energy margins'!$F$44,B25&lt;='Energy margins'!$G$44),B25-'Energy margins'!$F$44,""),'Energy margins'!$H$44)=0,'Energy margins'!$E$44,0))</f>
        <v>0</v>
      </c>
      <c r="K25" s="897">
        <f>IF(ISERROR(IF(MOD(IF(AND(B25&gt;='Energy margins'!$F$45,B25&lt;='Energy margins'!$G$45),B25-'Energy margins'!$F$45,""),'Energy margins'!$H$45)=0,'Energy margins'!$E$45,0)),0,IF(MOD(IF(AND(B25&gt;='Energy margins'!$F$45,B25&lt;='Energy margins'!$G$45),B25-'Energy margins'!$F$45,""),'Energy margins'!$H$45)=0,'Energy margins'!$E$45,0))</f>
        <v>0</v>
      </c>
      <c r="L25" s="897">
        <f>IF(ISERROR(IF(MOD(IF(AND(B25&gt;='Energy margins'!$F$46,B25&lt;='Energy margins'!$G$46),B25-'Energy margins'!$F$46,""),'Energy margins'!$H$46)=0,'Energy margins'!$E$46,0)),0,IF(MOD(IF(AND(B25&gt;='Energy margins'!$F$46,B25&lt;='Energy margins'!$G$46),B25-'Energy margins'!$F$46,""),'Energy margins'!$H$46)=0,'Energy margins'!$E$46,0))</f>
        <v>0</v>
      </c>
      <c r="M25" s="897">
        <f>IF(ISERROR(IF(MOD(IF(AND(B25&gt;='Energy margins'!$F$47,B25&lt;='Energy margins'!$G$47),B25-'Energy margins'!$F$47,""),'Energy margins'!$H$47)=0,'Energy margins'!$E$47,0)),0,IF(MOD(IF(AND(B25&gt;='Energy margins'!$F$47,B25&lt;='Energy margins'!$G$47),B25-'Energy margins'!$F$47,""),'Energy margins'!$H$47)=0,'Energy margins'!$E$47,0))</f>
        <v>16.07</v>
      </c>
      <c r="N25" s="897">
        <f>IF(ISERROR(IF(MOD(IF(AND(B25&gt;='Energy margins'!$F$50,B25&lt;='Energy margins'!$G$50),B25-'Energy margins'!$F$50,""),'Energy margins'!$H$50)=0,'Energy margins'!$E$50,0)),0,IF(MOD(IF(AND(B25&gt;='Energy margins'!$F$50,B25&lt;='Energy margins'!$G$50),B25-'Energy margins'!$F$50,""),'Energy margins'!$H$50)=0,'Energy margins'!$E$50,0))</f>
        <v>58.68</v>
      </c>
      <c r="O25" s="897">
        <f>IF(ISERROR(IF(MOD(IF(AND(B25&gt;='Energy margins'!$F$53,B25&lt;='Energy margins'!$G$53),B25-'Energy margins'!$F$53,""),'Energy margins'!$H$53)=0,'Energy margins'!$E$53,0)),0,IF(MOD(IF(AND(B25&gt;='Energy margins'!$F$53,B25&lt;='Energy margins'!$G$53),B25-'Energy margins'!$F$53,""),'Energy margins'!$H$53)=0,'Energy margins'!$E$53,0))</f>
        <v>35.255000000000003</v>
      </c>
      <c r="P25" s="897">
        <f>IF(ISERROR(IF(MOD(IF(AND(B25&gt;='Energy margins'!$F$56,B25&lt;='Energy margins'!$G$56),B25-'Energy margins'!$F$56,""),'Energy margins'!$H$56)=0,'Energy margins'!$E$56,0)),0,IF(MOD(IF(AND(B25&gt;='Energy margins'!$F$56,B25&lt;='Energy margins'!$G$56),B25-'Energy margins'!$F$56,""),'Energy margins'!$H$56)=0,'Energy margins'!$E$56,0))</f>
        <v>32.4</v>
      </c>
      <c r="Q25" s="897">
        <f>IF(ISERROR(IF(MOD(IF(AND(B25&gt;='Energy margins'!$F$59,B25&lt;='Energy margins'!$G$59),B25-'Energy margins'!$F$59,""),'Energy margins'!$H$59)=0,'Energy margins'!$E$59,0)),0,IF(MOD(IF(AND(B25&gt;='Energy margins'!$F$59,B25&lt;='Energy margins'!$G$59),B25-'Energy margins'!$F$59,""),'Energy margins'!$H$59)=0,'Energy margins'!$E$59,0))</f>
        <v>450</v>
      </c>
      <c r="R25" s="897">
        <f>IF(ISERROR(IF(MOD(IF(AND(B25&gt;='Energy margins'!$F$60,B25&lt;='Energy margins'!$G$60),B25-'Energy margins'!$F$60,""),'Energy margins'!$H$60)=0,'Energy margins'!$E$60,0)),0,IF(MOD(IF(AND(B25&gt;='Energy margins'!$F$60,B25&lt;='Energy margins'!$G$60),B25-'Energy margins'!$F$60,""),'Energy margins'!$H$60)=0,'Energy margins'!$E$60,0))</f>
        <v>0</v>
      </c>
      <c r="S25" s="897">
        <f>IF(ISERROR(IF(MOD(IF(AND(B25&gt;='Energy margins'!$F$61,B25&lt;='Energy margins'!$G$61),B25-'Energy margins'!$F$61,""),'Energy margins'!$H$61)=0,'Energy margins'!$E$61,0)),0,IF(MOD(IF(AND(B25&gt;='Energy margins'!$F$61,B25&lt;='Energy margins'!$G$61),B25-'Energy margins'!$F$61,""),'Energy margins'!$H$61)=0,'Energy margins'!$E$61,0))</f>
        <v>0</v>
      </c>
      <c r="T25" s="897">
        <f>IF(ISERROR(IF(MOD(IF(AND(B25&gt;='Energy margins'!$F$62,B25&lt;='Energy margins'!$G$62),B25-'Energy margins'!$F$62,""),'Energy margins'!$H$62)=0,'Energy margins'!$E$62,0)),0,IF(MOD(IF(AND(B25&gt;='Energy margins'!$F$62,B25&lt;='Energy margins'!$G$62),B25-'Energy margins'!$F$62,""),'Energy margins'!$H$62)=0,'Energy margins'!$E$62,0))</f>
        <v>0</v>
      </c>
      <c r="U25" s="923">
        <f t="shared" si="3"/>
        <v>592.40499999999997</v>
      </c>
      <c r="V25" s="197"/>
      <c r="W25" s="197">
        <f t="shared" si="4"/>
        <v>592.40499999999997</v>
      </c>
      <c r="X25" s="197">
        <f t="shared" si="5"/>
        <v>1057.595</v>
      </c>
      <c r="Y25" s="197">
        <f t="shared" si="1"/>
        <v>1277.595</v>
      </c>
      <c r="Z25" s="952">
        <f t="shared" si="6"/>
        <v>1030.5851318071075</v>
      </c>
      <c r="AA25" s="953">
        <f t="shared" si="7"/>
        <v>137.41135090761432</v>
      </c>
      <c r="AB25" s="953">
        <f t="shared" si="8"/>
        <v>370.01441515647849</v>
      </c>
      <c r="AC25" s="1019">
        <f t="shared" si="9"/>
        <v>660.57071665062904</v>
      </c>
      <c r="AD25" s="1020">
        <f t="shared" si="10"/>
        <v>797.98206755824333</v>
      </c>
      <c r="AE25" s="952">
        <f t="shared" si="12"/>
        <v>4960.7162047739275</v>
      </c>
      <c r="AF25" s="953">
        <f t="shared" si="11"/>
        <v>2284.7162273096392</v>
      </c>
      <c r="AG25" s="953">
        <f t="shared" si="11"/>
        <v>3688.0865575609027</v>
      </c>
      <c r="AH25" s="1019">
        <f t="shared" si="11"/>
        <v>1272.6296472130255</v>
      </c>
      <c r="AI25" s="1020">
        <f t="shared" si="11"/>
        <v>3557.3458745226644</v>
      </c>
    </row>
    <row r="26" spans="2:35" x14ac:dyDescent="0.3">
      <c r="B26" s="881">
        <v>14</v>
      </c>
      <c r="C26" s="897">
        <f>'Energy Inputs'!D43</f>
        <v>0</v>
      </c>
      <c r="D26" s="897">
        <f>C26*'Energy Inputs'!$D$24</f>
        <v>0</v>
      </c>
      <c r="E26" s="197">
        <f>'Energy margins'!$E$12</f>
        <v>55</v>
      </c>
      <c r="F26" s="897">
        <f>D26*E26</f>
        <v>0</v>
      </c>
      <c r="G26" s="897">
        <f>'Energy Inputs'!$D$10</f>
        <v>220</v>
      </c>
      <c r="H26" s="197">
        <f t="shared" si="2"/>
        <v>220</v>
      </c>
      <c r="I26" s="199"/>
      <c r="J26" s="899">
        <f>IF(ISERROR(IF(MOD(IF(AND(B26&gt;='Energy margins'!$F$44,B26&lt;='Energy margins'!$G$44),B26-'Energy margins'!$F$44,""),'Energy margins'!$H$44)=0,'Energy margins'!$E$44,0)),0,IF(MOD(IF(AND(B26&gt;='Energy margins'!$F$44,B26&lt;='Energy margins'!$G$44),B26-'Energy margins'!$F$44,""),'Energy margins'!$H$44)=0,'Energy margins'!$E$44,0))</f>
        <v>0</v>
      </c>
      <c r="K26" s="897">
        <f>IF(ISERROR(IF(MOD(IF(AND(B26&gt;='Energy margins'!$F$45,B26&lt;='Energy margins'!$G$45),B26-'Energy margins'!$F$45,""),'Energy margins'!$H$45)=0,'Energy margins'!$E$45,0)),0,IF(MOD(IF(AND(B26&gt;='Energy margins'!$F$45,B26&lt;='Energy margins'!$G$45),B26-'Energy margins'!$F$45,""),'Energy margins'!$H$45)=0,'Energy margins'!$E$45,0))</f>
        <v>0</v>
      </c>
      <c r="L26" s="897">
        <f>IF(ISERROR(IF(MOD(IF(AND(B26&gt;='Energy margins'!$F$46,B26&lt;='Energy margins'!$G$46),B26-'Energy margins'!$F$46,""),'Energy margins'!$H$46)=0,'Energy margins'!$E$46,0)),0,IF(MOD(IF(AND(B26&gt;='Energy margins'!$F$46,B26&lt;='Energy margins'!$G$46),B26-'Energy margins'!$F$46,""),'Energy margins'!$H$46)=0,'Energy margins'!$E$46,0))</f>
        <v>0</v>
      </c>
      <c r="M26" s="897">
        <f>IF(ISERROR(IF(MOD(IF(AND(B26&gt;='Energy margins'!$F$47,B26&lt;='Energy margins'!$G$47),B26-'Energy margins'!$F$47,""),'Energy margins'!$H$47)=0,'Energy margins'!$E$47,0)),0,IF(MOD(IF(AND(B26&gt;='Energy margins'!$F$47,B26&lt;='Energy margins'!$G$47),B26-'Energy margins'!$F$47,""),'Energy margins'!$H$47)=0,'Energy margins'!$E$47,0))</f>
        <v>0</v>
      </c>
      <c r="N26" s="897">
        <f>IF(ISERROR(IF(MOD(IF(AND(B26&gt;='Energy margins'!$F$50,B26&lt;='Energy margins'!$G$50),B26-'Energy margins'!$F$50,""),'Energy margins'!$H$50)=0,'Energy margins'!$E$50,0)),0,IF(MOD(IF(AND(B26&gt;='Energy margins'!$F$50,B26&lt;='Energy margins'!$G$50),B26-'Energy margins'!$F$50,""),'Energy margins'!$H$50)=0,'Energy margins'!$E$50,0))</f>
        <v>0</v>
      </c>
      <c r="O26" s="897">
        <f>IF(ISERROR(IF(MOD(IF(AND(B26&gt;='Energy margins'!$F$53,B26&lt;='Energy margins'!$G$53),B26-'Energy margins'!$F$53,""),'Energy margins'!$H$53)=0,'Energy margins'!$E$53,0)),0,IF(MOD(IF(AND(B26&gt;='Energy margins'!$F$53,B26&lt;='Energy margins'!$G$53),B26-'Energy margins'!$F$53,""),'Energy margins'!$H$53)=0,'Energy margins'!$E$53,0))</f>
        <v>0</v>
      </c>
      <c r="P26" s="897">
        <f>IF(ISERROR(IF(MOD(IF(AND(B26&gt;='Energy margins'!$F$56,B26&lt;='Energy margins'!$G$56),B26-'Energy margins'!$F$56,""),'Energy margins'!$H$56)=0,'Energy margins'!$E$56,0)),0,IF(MOD(IF(AND(B26&gt;='Energy margins'!$F$56,B26&lt;='Energy margins'!$G$56),B26-'Energy margins'!$F$56,""),'Energy margins'!$H$56)=0,'Energy margins'!$E$56,0))</f>
        <v>0</v>
      </c>
      <c r="Q26" s="897">
        <f>IF(ISERROR(IF(MOD(IF(AND(B26&gt;='Energy margins'!$F$59,B26&lt;='Energy margins'!$G$59),B26-'Energy margins'!$F$59,""),'Energy margins'!$H$59)=0,'Energy margins'!$E$59,0)),0,IF(MOD(IF(AND(B26&gt;='Energy margins'!$F$59,B26&lt;='Energy margins'!$G$59),B26-'Energy margins'!$F$59,""),'Energy margins'!$H$59)=0,'Energy margins'!$E$59,0))</f>
        <v>0</v>
      </c>
      <c r="R26" s="897">
        <f>IF(ISERROR(IF(MOD(IF(AND(B26&gt;='Energy margins'!$F$60,B26&lt;='Energy margins'!$G$60),B26-'Energy margins'!$F$60,""),'Energy margins'!$H$60)=0,'Energy margins'!$E$60,0)),0,IF(MOD(IF(AND(B26&gt;='Energy margins'!$F$60,B26&lt;='Energy margins'!$G$60),B26-'Energy margins'!$F$60,""),'Energy margins'!$H$60)=0,'Energy margins'!$E$60,0))</f>
        <v>0</v>
      </c>
      <c r="S26" s="897">
        <f>IF(ISERROR(IF(MOD(IF(AND(B26&gt;='Energy margins'!$F$61,B26&lt;='Energy margins'!$G$61),B26-'Energy margins'!$F$61,""),'Energy margins'!$H$61)=0,'Energy margins'!$E$61,0)),0,IF(MOD(IF(AND(B26&gt;='Energy margins'!$F$61,B26&lt;='Energy margins'!$G$61),B26-'Energy margins'!$F$61,""),'Energy margins'!$H$61)=0,'Energy margins'!$E$61,0))</f>
        <v>0</v>
      </c>
      <c r="T26" s="897">
        <f>IF(ISERROR(IF(MOD(IF(AND(B26&gt;='Energy margins'!$F$62,B26&lt;='Energy margins'!$G$62),B26-'Energy margins'!$F$62,""),'Energy margins'!$H$62)=0,'Energy margins'!$E$62,0)),0,IF(MOD(IF(AND(B26&gt;='Energy margins'!$F$62,B26&lt;='Energy margins'!$G$62),B26-'Energy margins'!$F$62,""),'Energy margins'!$H$62)=0,'Energy margins'!$E$62,0))</f>
        <v>0</v>
      </c>
      <c r="U26" s="923">
        <f t="shared" si="3"/>
        <v>0</v>
      </c>
      <c r="V26" s="197"/>
      <c r="W26" s="197">
        <f t="shared" si="4"/>
        <v>0</v>
      </c>
      <c r="X26" s="197">
        <f t="shared" si="5"/>
        <v>0</v>
      </c>
      <c r="Y26" s="197">
        <f t="shared" si="1"/>
        <v>220</v>
      </c>
      <c r="Z26" s="952">
        <f t="shared" si="6"/>
        <v>0</v>
      </c>
      <c r="AA26" s="953">
        <f t="shared" si="7"/>
        <v>132.12629894962916</v>
      </c>
      <c r="AB26" s="953">
        <f t="shared" si="8"/>
        <v>0</v>
      </c>
      <c r="AC26" s="1019">
        <f t="shared" si="9"/>
        <v>0</v>
      </c>
      <c r="AD26" s="1020">
        <f t="shared" si="10"/>
        <v>132.12629894962916</v>
      </c>
      <c r="AE26" s="952">
        <f t="shared" si="12"/>
        <v>4960.7162047739275</v>
      </c>
      <c r="AF26" s="953">
        <f t="shared" si="11"/>
        <v>2416.8425262592682</v>
      </c>
      <c r="AG26" s="953">
        <f t="shared" si="11"/>
        <v>3688.0865575609027</v>
      </c>
      <c r="AH26" s="1019">
        <f t="shared" si="11"/>
        <v>1272.6296472130255</v>
      </c>
      <c r="AI26" s="1020">
        <f t="shared" si="11"/>
        <v>3689.4721734722934</v>
      </c>
    </row>
    <row r="27" spans="2:35" x14ac:dyDescent="0.3">
      <c r="B27" s="881">
        <v>15</v>
      </c>
      <c r="C27" s="897">
        <f>'Energy Inputs'!D44</f>
        <v>0</v>
      </c>
      <c r="D27" s="897">
        <f>C27*'Energy Inputs'!$D$24</f>
        <v>0</v>
      </c>
      <c r="E27" s="197">
        <f>'Energy margins'!$E$12</f>
        <v>55</v>
      </c>
      <c r="F27" s="897">
        <f t="shared" si="0"/>
        <v>0</v>
      </c>
      <c r="G27" s="897">
        <f>'Energy Inputs'!$D$10</f>
        <v>220</v>
      </c>
      <c r="H27" s="197">
        <f t="shared" si="2"/>
        <v>220</v>
      </c>
      <c r="I27" s="199"/>
      <c r="J27" s="899">
        <f>IF(ISERROR(IF(MOD(IF(AND(B27&gt;='Energy margins'!$F$44,B27&lt;='Energy margins'!$G$44),B27-'Energy margins'!$F$44,""),'Energy margins'!$H$44)=0,'Energy margins'!$E$44,0)),0,IF(MOD(IF(AND(B27&gt;='Energy margins'!$F$44,B27&lt;='Energy margins'!$G$44),B27-'Energy margins'!$F$44,""),'Energy margins'!$H$44)=0,'Energy margins'!$E$44,0))</f>
        <v>0</v>
      </c>
      <c r="K27" s="897">
        <f>IF(ISERROR(IF(MOD(IF(AND(B27&gt;='Energy margins'!$F$45,B27&lt;='Energy margins'!$G$45),B27-'Energy margins'!$F$45,""),'Energy margins'!$H$45)=0,'Energy margins'!$E$45,0)),0,IF(MOD(IF(AND(B27&gt;='Energy margins'!$F$45,B27&lt;='Energy margins'!$G$45),B27-'Energy margins'!$F$45,""),'Energy margins'!$H$45)=0,'Energy margins'!$E$45,0))</f>
        <v>0</v>
      </c>
      <c r="L27" s="897">
        <f>IF(ISERROR(IF(MOD(IF(AND(B27&gt;='Energy margins'!$F$46,B27&lt;='Energy margins'!$G$46),B27-'Energy margins'!$F$46,""),'Energy margins'!$H$46)=0,'Energy margins'!$E$46,0)),0,IF(MOD(IF(AND(B27&gt;='Energy margins'!$F$46,B27&lt;='Energy margins'!$G$46),B27-'Energy margins'!$F$46,""),'Energy margins'!$H$46)=0,'Energy margins'!$E$46,0))</f>
        <v>0</v>
      </c>
      <c r="M27" s="897">
        <f>IF(ISERROR(IF(MOD(IF(AND(B27&gt;='Energy margins'!$F$47,B27&lt;='Energy margins'!$G$47),B27-'Energy margins'!$F$47,""),'Energy margins'!$H$47)=0,'Energy margins'!$E$47,0)),0,IF(MOD(IF(AND(B27&gt;='Energy margins'!$F$47,B27&lt;='Energy margins'!$G$47),B27-'Energy margins'!$F$47,""),'Energy margins'!$H$47)=0,'Energy margins'!$E$47,0))</f>
        <v>0</v>
      </c>
      <c r="N27" s="897">
        <f>IF(ISERROR(IF(MOD(IF(AND(B27&gt;='Energy margins'!$F$50,B27&lt;='Energy margins'!$G$50),B27-'Energy margins'!$F$50,""),'Energy margins'!$H$50)=0,'Energy margins'!$E$50,0)),0,IF(MOD(IF(AND(B27&gt;='Energy margins'!$F$50,B27&lt;='Energy margins'!$G$50),B27-'Energy margins'!$F$50,""),'Energy margins'!$H$50)=0,'Energy margins'!$E$50,0))</f>
        <v>0</v>
      </c>
      <c r="O27" s="897">
        <f>IF(ISERROR(IF(MOD(IF(AND(B27&gt;='Energy margins'!$F$53,B27&lt;='Energy margins'!$G$53),B27-'Energy margins'!$F$53,""),'Energy margins'!$H$53)=0,'Energy margins'!$E$53,0)),0,IF(MOD(IF(AND(B27&gt;='Energy margins'!$F$53,B27&lt;='Energy margins'!$G$53),B27-'Energy margins'!$F$53,""),'Energy margins'!$H$53)=0,'Energy margins'!$E$53,0))</f>
        <v>0</v>
      </c>
      <c r="P27" s="897">
        <f>IF(ISERROR(IF(MOD(IF(AND(B27&gt;='Energy margins'!$F$56,B27&lt;='Energy margins'!$G$56),B27-'Energy margins'!$F$56,""),'Energy margins'!$H$56)=0,'Energy margins'!$E$56,0)),0,IF(MOD(IF(AND(B27&gt;='Energy margins'!$F$56,B27&lt;='Energy margins'!$G$56),B27-'Energy margins'!$F$56,""),'Energy margins'!$H$56)=0,'Energy margins'!$E$56,0))</f>
        <v>0</v>
      </c>
      <c r="Q27" s="897">
        <f>IF(ISERROR(IF(MOD(IF(AND(B27&gt;='Energy margins'!$F$59,B27&lt;='Energy margins'!$G$59),B27-'Energy margins'!$F$59,""),'Energy margins'!$H$59)=0,'Energy margins'!$E$59,0)),0,IF(MOD(IF(AND(B27&gt;='Energy margins'!$F$59,B27&lt;='Energy margins'!$G$59),B27-'Energy margins'!$F$59,""),'Energy margins'!$H$59)=0,'Energy margins'!$E$59,0))</f>
        <v>0</v>
      </c>
      <c r="R27" s="897">
        <f>IF(ISERROR(IF(MOD(IF(AND(B27&gt;='Energy margins'!$F$60,B27&lt;='Energy margins'!$G$60),B27-'Energy margins'!$F$60,""),'Energy margins'!$H$60)=0,'Energy margins'!$E$60,0)),0,IF(MOD(IF(AND(B27&gt;='Energy margins'!$F$60,B27&lt;='Energy margins'!$G$60),B27-'Energy margins'!$F$60,""),'Energy margins'!$H$60)=0,'Energy margins'!$E$60,0))</f>
        <v>0</v>
      </c>
      <c r="S27" s="897">
        <f>IF(ISERROR(IF(MOD(IF(AND(B27&gt;='Energy margins'!$F$61,B27&lt;='Energy margins'!$G$61),B27-'Energy margins'!$F$61,""),'Energy margins'!$H$61)=0,'Energy margins'!$E$61,0)),0,IF(MOD(IF(AND(B27&gt;='Energy margins'!$F$61,B27&lt;='Energy margins'!$G$61),B27-'Energy margins'!$F$61,""),'Energy margins'!$H$61)=0,'Energy margins'!$E$61,0))</f>
        <v>0</v>
      </c>
      <c r="T27" s="897">
        <f>IF(ISERROR(IF(MOD(IF(AND(B27&gt;='Energy margins'!$F$62,B27&lt;='Energy margins'!$G$62),B27-'Energy margins'!$F$62,""),'Energy margins'!$H$62)=0,'Energy margins'!$E$62,0)),0,IF(MOD(IF(AND(B27&gt;='Energy margins'!$F$62,B27&lt;='Energy margins'!$G$62),B27-'Energy margins'!$F$62,""),'Energy margins'!$H$62)=0,'Energy margins'!$E$62,0))</f>
        <v>0</v>
      </c>
      <c r="U27" s="923">
        <f t="shared" si="3"/>
        <v>0</v>
      </c>
      <c r="V27" s="197"/>
      <c r="W27" s="197">
        <f t="shared" si="4"/>
        <v>0</v>
      </c>
      <c r="X27" s="197">
        <f t="shared" si="5"/>
        <v>0</v>
      </c>
      <c r="Y27" s="197">
        <f t="shared" si="1"/>
        <v>220</v>
      </c>
      <c r="Z27" s="952">
        <f t="shared" si="6"/>
        <v>0</v>
      </c>
      <c r="AA27" s="953">
        <f t="shared" si="7"/>
        <v>127.04451822079727</v>
      </c>
      <c r="AB27" s="953">
        <f t="shared" si="8"/>
        <v>0</v>
      </c>
      <c r="AC27" s="1019">
        <f t="shared" si="9"/>
        <v>0</v>
      </c>
      <c r="AD27" s="1020">
        <f t="shared" si="10"/>
        <v>127.04451822079727</v>
      </c>
      <c r="AE27" s="952">
        <f t="shared" si="12"/>
        <v>4960.7162047739275</v>
      </c>
      <c r="AF27" s="953">
        <f t="shared" si="11"/>
        <v>2543.8870444800655</v>
      </c>
      <c r="AG27" s="953">
        <f t="shared" si="11"/>
        <v>3688.0865575609027</v>
      </c>
      <c r="AH27" s="1019">
        <f t="shared" si="11"/>
        <v>1272.6296472130255</v>
      </c>
      <c r="AI27" s="1020">
        <f t="shared" si="11"/>
        <v>3816.5166916930907</v>
      </c>
    </row>
    <row r="28" spans="2:35" x14ac:dyDescent="0.3">
      <c r="B28" s="882">
        <v>16</v>
      </c>
      <c r="C28" s="898">
        <f>'Energy Inputs'!D45</f>
        <v>1</v>
      </c>
      <c r="D28" s="898">
        <f>C28*'Energy Inputs'!$D$24</f>
        <v>30</v>
      </c>
      <c r="E28" s="207">
        <f>'Energy margins'!$E$12</f>
        <v>55</v>
      </c>
      <c r="F28" s="898">
        <f t="shared" si="0"/>
        <v>1650</v>
      </c>
      <c r="G28" s="898">
        <f>'Energy Inputs'!$D$10</f>
        <v>220</v>
      </c>
      <c r="H28" s="207">
        <f t="shared" si="2"/>
        <v>1870</v>
      </c>
      <c r="I28" s="209"/>
      <c r="J28" s="900">
        <f>IF(ISERROR(IF(MOD(IF(AND(B28&gt;='Energy margins'!$F$44,B28&lt;='Energy margins'!$G$44),B28-'Energy margins'!$F$44,""),'Energy margins'!$H$44)=0,'Energy margins'!$E$44,0)),0,IF(MOD(IF(AND(B28&gt;='Energy margins'!$F$44,B28&lt;='Energy margins'!$G$44),B28-'Energy margins'!$F$44,""),'Energy margins'!$H$44)=0,'Energy margins'!$E$44,0))</f>
        <v>0</v>
      </c>
      <c r="K28" s="898">
        <f>IF(ISERROR(IF(MOD(IF(AND(B28&gt;='Energy margins'!$F$45,B28&lt;='Energy margins'!$G$45),B28-'Energy margins'!$F$45,""),'Energy margins'!$H$45)=0,'Energy margins'!$E$45,0)),0,IF(MOD(IF(AND(B28&gt;='Energy margins'!$F$45,B28&lt;='Energy margins'!$G$45),B28-'Energy margins'!$F$45,""),'Energy margins'!$H$45)=0,'Energy margins'!$E$45,0))</f>
        <v>0</v>
      </c>
      <c r="L28" s="898">
        <f>IF(ISERROR(IF(MOD(IF(AND(B28&gt;='Energy margins'!$F$46,B28&lt;='Energy margins'!$G$46),B28-'Energy margins'!$F$46,""),'Energy margins'!$H$46)=0,'Energy margins'!$E$46,0)),0,IF(MOD(IF(AND(B28&gt;='Energy margins'!$F$46,B28&lt;='Energy margins'!$G$46),B28-'Energy margins'!$F$46,""),'Energy margins'!$H$46)=0,'Energy margins'!$E$46,0))</f>
        <v>0</v>
      </c>
      <c r="M28" s="898">
        <f>IF(ISERROR(IF(MOD(IF(AND(B28&gt;='Energy margins'!$F$47,B28&lt;='Energy margins'!$G$47),B28-'Energy margins'!$F$47,""),'Energy margins'!$H$47)=0,'Energy margins'!$E$47,0)),0,IF(MOD(IF(AND(B28&gt;='Energy margins'!$F$47,B28&lt;='Energy margins'!$G$47),B28-'Energy margins'!$F$47,""),'Energy margins'!$H$47)=0,'Energy margins'!$E$47,0))</f>
        <v>16.07</v>
      </c>
      <c r="N28" s="898">
        <f>IF(ISERROR(IF(MOD(IF(AND(B28&gt;='Energy margins'!$F$50,B28&lt;='Energy margins'!$G$50),B28-'Energy margins'!$F$50,""),'Energy margins'!$H$50)=0,'Energy margins'!$E$50,0)),0,IF(MOD(IF(AND(B28&gt;='Energy margins'!$F$50,B28&lt;='Energy margins'!$G$50),B28-'Energy margins'!$F$50,""),'Energy margins'!$H$50)=0,'Energy margins'!$E$50,0))</f>
        <v>58.68</v>
      </c>
      <c r="O28" s="898">
        <f>IF(ISERROR(IF(MOD(IF(AND(B28&gt;='Energy margins'!$F$53,B28&lt;='Energy margins'!$G$53),B28-'Energy margins'!$F$53,""),'Energy margins'!$H$53)=0,'Energy margins'!$E$53,0)),0,IF(MOD(IF(AND(B28&gt;='Energy margins'!$F$53,B28&lt;='Energy margins'!$G$53),B28-'Energy margins'!$F$53,""),'Energy margins'!$H$53)=0,'Energy margins'!$E$53,0))</f>
        <v>35.255000000000003</v>
      </c>
      <c r="P28" s="898">
        <f>IF(ISERROR(IF(MOD(IF(AND(B28&gt;='Energy margins'!$F$56,B28&lt;='Energy margins'!$G$56),B28-'Energy margins'!$F$56,""),'Energy margins'!$H$56)=0,'Energy margins'!$E$56,0)),0,IF(MOD(IF(AND(B28&gt;='Energy margins'!$F$56,B28&lt;='Energy margins'!$G$56),B28-'Energy margins'!$F$56,""),'Energy margins'!$H$56)=0,'Energy margins'!$E$56,0))</f>
        <v>32.4</v>
      </c>
      <c r="Q28" s="898">
        <f>IF(ISERROR(IF(MOD(IF(AND(B28&gt;='Energy margins'!$F$59,B28&lt;='Energy margins'!$G$59),B28-'Energy margins'!$F$59,""),'Energy margins'!$H$59)=0,'Energy margins'!$E$59,0)),0,IF(MOD(IF(AND(B28&gt;='Energy margins'!$F$59,B28&lt;='Energy margins'!$G$59),B28-'Energy margins'!$F$59,""),'Energy margins'!$H$59)=0,'Energy margins'!$E$59,0))</f>
        <v>450</v>
      </c>
      <c r="R28" s="898">
        <f>IF(ISERROR(IF(MOD(IF(AND(B28&gt;='Energy margins'!$F$60,B28&lt;='Energy margins'!$G$60),B28-'Energy margins'!$F$60,""),'Energy margins'!$H$60)=0,'Energy margins'!$E$60,0)),0,IF(MOD(IF(AND(B28&gt;='Energy margins'!$F$60,B28&lt;='Energy margins'!$G$60),B28-'Energy margins'!$F$60,""),'Energy margins'!$H$60)=0,'Energy margins'!$E$60,0))</f>
        <v>0</v>
      </c>
      <c r="S28" s="898">
        <f>IF(ISERROR(IF(MOD(IF(AND(B28&gt;='Energy margins'!$F$61,B28&lt;='Energy margins'!$G$61),B28-'Energy margins'!$F$61,""),'Energy margins'!$H$61)=0,'Energy margins'!$E$61,0)),0,IF(MOD(IF(AND(B28&gt;='Energy margins'!$F$61,B28&lt;='Energy margins'!$G$61),B28-'Energy margins'!$F$61,""),'Energy margins'!$H$61)=0,'Energy margins'!$E$61,0))</f>
        <v>0</v>
      </c>
      <c r="T28" s="898">
        <f>IF(ISERROR(IF(MOD(IF(AND(B28&gt;='Energy margins'!$F$62,B28&lt;='Energy margins'!$G$62),B28-'Energy margins'!$F$62,""),'Energy margins'!$H$62)=0,'Energy margins'!$E$62,0)),0,IF(MOD(IF(AND(B28&gt;='Energy margins'!$F$62,B28&lt;='Energy margins'!$G$62),B28-'Energy margins'!$F$62,""),'Energy margins'!$H$62)=0,'Energy margins'!$E$62,0))</f>
        <v>0</v>
      </c>
      <c r="U28" s="925">
        <f t="shared" si="3"/>
        <v>592.40499999999997</v>
      </c>
      <c r="V28" s="207">
        <f>'Energy margins'!J67</f>
        <v>170</v>
      </c>
      <c r="W28" s="207">
        <f t="shared" si="4"/>
        <v>762.40499999999997</v>
      </c>
      <c r="X28" s="207">
        <f t="shared" si="5"/>
        <v>887.59500000000003</v>
      </c>
      <c r="Y28" s="207">
        <f t="shared" si="1"/>
        <v>1107.595</v>
      </c>
      <c r="Z28" s="955">
        <f t="shared" si="6"/>
        <v>916.18642947690341</v>
      </c>
      <c r="AA28" s="956">
        <f t="shared" si="7"/>
        <v>122.15819059692046</v>
      </c>
      <c r="AB28" s="956">
        <f t="shared" si="8"/>
        <v>423.33643319111428</v>
      </c>
      <c r="AC28" s="1021">
        <f t="shared" si="9"/>
        <v>492.84999628578913</v>
      </c>
      <c r="AD28" s="1022">
        <f t="shared" si="10"/>
        <v>615.00818688270965</v>
      </c>
      <c r="AE28" s="955">
        <f t="shared" si="12"/>
        <v>5876.9026342508314</v>
      </c>
      <c r="AF28" s="956">
        <f t="shared" si="11"/>
        <v>2666.045235076986</v>
      </c>
      <c r="AG28" s="956">
        <f t="shared" si="11"/>
        <v>4111.4229907520166</v>
      </c>
      <c r="AH28" s="1021">
        <f t="shared" si="11"/>
        <v>1765.4796434988145</v>
      </c>
      <c r="AI28" s="1022">
        <f t="shared" si="11"/>
        <v>4431.5248785758004</v>
      </c>
    </row>
    <row r="31" spans="2:35" x14ac:dyDescent="0.3">
      <c r="J31" t="s">
        <v>622</v>
      </c>
    </row>
    <row r="32" spans="2:35" x14ac:dyDescent="0.3">
      <c r="J32" t="s">
        <v>623</v>
      </c>
    </row>
    <row r="33" spans="2:35" x14ac:dyDescent="0.3">
      <c r="J33" t="s">
        <v>624</v>
      </c>
    </row>
    <row r="34" spans="2:35" x14ac:dyDescent="0.3">
      <c r="J34" t="s">
        <v>625</v>
      </c>
    </row>
    <row r="35" spans="2:35" x14ac:dyDescent="0.3">
      <c r="B35" s="211" t="s">
        <v>95</v>
      </c>
      <c r="C35" s="230"/>
      <c r="D35" s="230"/>
      <c r="E35" s="230"/>
      <c r="F35" s="194"/>
      <c r="G35" s="193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</row>
    <row r="36" spans="2:35" x14ac:dyDescent="0.3">
      <c r="B36" s="203"/>
      <c r="C36" s="148"/>
      <c r="D36" s="148"/>
      <c r="E36" s="148"/>
      <c r="F36" s="1124"/>
      <c r="G36" s="1124"/>
      <c r="H36" s="1124"/>
      <c r="I36" s="148"/>
      <c r="J36" s="940" t="s">
        <v>88</v>
      </c>
      <c r="K36" s="941"/>
      <c r="L36" s="941"/>
      <c r="M36" s="941"/>
      <c r="N36" s="941"/>
      <c r="O36" s="941"/>
      <c r="P36" s="941"/>
      <c r="Q36" s="941"/>
      <c r="R36" s="941"/>
      <c r="S36" s="941"/>
      <c r="T36" s="941"/>
      <c r="U36" s="942"/>
      <c r="V36" s="1124"/>
      <c r="W36" s="1124"/>
      <c r="X36" s="148"/>
      <c r="Y36" s="148"/>
      <c r="Z36" s="1125" t="s">
        <v>279</v>
      </c>
      <c r="AA36" s="1126"/>
      <c r="AB36" s="1126"/>
      <c r="AC36" s="1126"/>
      <c r="AD36" s="1127"/>
      <c r="AE36" s="1125" t="s">
        <v>280</v>
      </c>
      <c r="AF36" s="1126"/>
      <c r="AG36" s="1126"/>
      <c r="AH36" s="1126"/>
      <c r="AI36" s="1127"/>
    </row>
    <row r="37" spans="2:35" ht="51" x14ac:dyDescent="0.3">
      <c r="B37" s="204" t="s">
        <v>281</v>
      </c>
      <c r="C37" s="205" t="s">
        <v>615</v>
      </c>
      <c r="D37" s="205" t="s">
        <v>307</v>
      </c>
      <c r="E37" s="205" t="s">
        <v>308</v>
      </c>
      <c r="F37" s="171" t="s">
        <v>283</v>
      </c>
      <c r="G37" s="171" t="s">
        <v>10</v>
      </c>
      <c r="H37" s="171" t="s">
        <v>284</v>
      </c>
      <c r="I37" s="205" t="s">
        <v>305</v>
      </c>
      <c r="J37" s="912" t="s">
        <v>255</v>
      </c>
      <c r="K37" s="913" t="s">
        <v>35</v>
      </c>
      <c r="L37" s="913" t="s">
        <v>584</v>
      </c>
      <c r="M37" s="913" t="s">
        <v>147</v>
      </c>
      <c r="N37" s="914" t="s">
        <v>621</v>
      </c>
      <c r="O37" s="914" t="s">
        <v>645</v>
      </c>
      <c r="P37" s="914" t="s">
        <v>644</v>
      </c>
      <c r="Q37" s="928" t="s">
        <v>182</v>
      </c>
      <c r="R37" s="928" t="s">
        <v>527</v>
      </c>
      <c r="S37" s="929" t="s">
        <v>528</v>
      </c>
      <c r="T37" s="928" t="s">
        <v>529</v>
      </c>
      <c r="U37" s="915" t="s">
        <v>306</v>
      </c>
      <c r="V37" s="205" t="s">
        <v>309</v>
      </c>
      <c r="W37" s="171" t="s">
        <v>287</v>
      </c>
      <c r="X37" s="171" t="s">
        <v>288</v>
      </c>
      <c r="Y37" s="171" t="s">
        <v>289</v>
      </c>
      <c r="Z37" s="195" t="s">
        <v>290</v>
      </c>
      <c r="AA37" s="171" t="s">
        <v>291</v>
      </c>
      <c r="AB37" s="171" t="s">
        <v>292</v>
      </c>
      <c r="AC37" s="171" t="s">
        <v>293</v>
      </c>
      <c r="AD37" s="198" t="s">
        <v>294</v>
      </c>
      <c r="AE37" s="195" t="s">
        <v>295</v>
      </c>
      <c r="AF37" s="171" t="s">
        <v>296</v>
      </c>
      <c r="AG37" s="171" t="s">
        <v>297</v>
      </c>
      <c r="AH37" s="171" t="s">
        <v>298</v>
      </c>
      <c r="AI37" s="198" t="s">
        <v>299</v>
      </c>
    </row>
    <row r="38" spans="2:35" x14ac:dyDescent="0.3">
      <c r="B38" s="173"/>
      <c r="C38" s="226" t="s">
        <v>616</v>
      </c>
      <c r="D38" s="226" t="s">
        <v>356</v>
      </c>
      <c r="E38" s="226" t="s">
        <v>476</v>
      </c>
      <c r="F38" s="226" t="s">
        <v>477</v>
      </c>
      <c r="G38" s="226" t="s">
        <v>477</v>
      </c>
      <c r="H38" s="226" t="s">
        <v>477</v>
      </c>
      <c r="I38" s="226" t="s">
        <v>477</v>
      </c>
      <c r="J38" s="930" t="s">
        <v>460</v>
      </c>
      <c r="K38" s="931" t="s">
        <v>460</v>
      </c>
      <c r="L38" s="931" t="s">
        <v>460</v>
      </c>
      <c r="M38" s="931" t="s">
        <v>460</v>
      </c>
      <c r="N38" s="931" t="s">
        <v>460</v>
      </c>
      <c r="O38" s="931" t="s">
        <v>460</v>
      </c>
      <c r="P38" s="931" t="s">
        <v>460</v>
      </c>
      <c r="Q38" s="932" t="s">
        <v>460</v>
      </c>
      <c r="R38" s="932" t="s">
        <v>460</v>
      </c>
      <c r="S38" s="932" t="s">
        <v>460</v>
      </c>
      <c r="T38" s="932" t="s">
        <v>462</v>
      </c>
      <c r="U38" s="933" t="s">
        <v>477</v>
      </c>
      <c r="V38" s="226" t="s">
        <v>477</v>
      </c>
      <c r="W38" s="226" t="s">
        <v>477</v>
      </c>
      <c r="X38" s="226" t="s">
        <v>477</v>
      </c>
      <c r="Y38" s="717" t="s">
        <v>477</v>
      </c>
      <c r="Z38" s="226" t="s">
        <v>477</v>
      </c>
      <c r="AA38" s="226" t="s">
        <v>477</v>
      </c>
      <c r="AB38" s="226" t="s">
        <v>477</v>
      </c>
      <c r="AC38" s="226" t="s">
        <v>477</v>
      </c>
      <c r="AD38" s="717" t="s">
        <v>477</v>
      </c>
      <c r="AE38" s="226" t="s">
        <v>477</v>
      </c>
      <c r="AF38" s="226" t="s">
        <v>477</v>
      </c>
      <c r="AG38" s="226" t="s">
        <v>477</v>
      </c>
      <c r="AH38" s="226" t="s">
        <v>477</v>
      </c>
      <c r="AI38" s="717" t="s">
        <v>477</v>
      </c>
    </row>
    <row r="39" spans="2:35" x14ac:dyDescent="0.3">
      <c r="B39" s="880">
        <v>1</v>
      </c>
      <c r="C39" s="901">
        <f>'Energy Inputs'!E30</f>
        <v>4.784688995215311E-2</v>
      </c>
      <c r="D39" s="897">
        <f>C39*'Energy Inputs'!$E$24</f>
        <v>0.6</v>
      </c>
      <c r="E39" s="197">
        <f>'Energy margins'!$L$12</f>
        <v>55</v>
      </c>
      <c r="F39" s="197">
        <f>D39*E39</f>
        <v>33</v>
      </c>
      <c r="G39" s="907">
        <f>'Energy Inputs'!$D$10</f>
        <v>220</v>
      </c>
      <c r="H39" s="197">
        <f>F39+G39</f>
        <v>253</v>
      </c>
      <c r="I39" s="197">
        <f>'Margins summary'!R20</f>
        <v>1993.8119999999999</v>
      </c>
      <c r="J39" s="920">
        <f>IF(ISERROR(IF(MOD(IF(AND(B39&gt;='Energy margins'!$M$44,B39&lt;='Energy margins'!$N$44),B39-'Energy margins'!$M$44,""),'Energy margins'!$O$44)=0,'Energy margins'!$L$44,0)),0,IF(MOD(IF(AND(B39&gt;='Energy margins'!$M$44,B39&lt;='Energy margins'!$N$44),B39-'Energy margins'!$M$44,""),'Energy margins'!$O$44)=0,'Energy margins'!$L$44,0))</f>
        <v>0</v>
      </c>
      <c r="K39" s="907">
        <f>IF(ISERROR(IF(MOD(IF(AND(B39&gt;='Energy margins'!$M$45,B39&lt;='Energy margins'!$N$45),B39-'Energy margins'!$M$45,""),'Energy margins'!$O$45)=0,'Energy margins'!$L$45,0)),0,IF(MOD(IF(AND(B39&gt;='Energy margins'!$M$45,B39&lt;='Energy margins'!$N$45),B39-'Energy margins'!$M$45,""),'Energy margins'!$O$45)=0,'Energy margins'!$L$45,0))</f>
        <v>0</v>
      </c>
      <c r="L39" s="907">
        <f>IF(ISERROR(IF(MOD(IF(AND(B39&gt;='Energy margins'!$M$46,B39&lt;='Energy margins'!$N$46),B39-'Energy margins'!$M$46,""),'Energy margins'!$O$46)=0,'Energy margins'!$L$46,0)),0,IF(MOD(IF(AND(B39&gt;='Energy margins'!$M$46,B39&lt;='Energy margins'!$N$46),B39-'Energy margins'!$M$46,""),'Energy margins'!$O$46)=0,'Energy margins'!$L$46,0))</f>
        <v>0</v>
      </c>
      <c r="M39" s="907">
        <f>IF(ISERROR(IF(MOD(IF(AND(B39&gt;='Energy margins'!$M$47,B39&lt;='Energy margins'!$N$47),B39-'Energy margins'!$M$47,""),'Energy margins'!$O$47)=0,'Energy margins'!$L$47,0)),0,IF(MOD(IF(AND(B39&gt;='Energy margins'!$M$47,B39&lt;='Energy margins'!$N$47),B39-'Energy margins'!$M$47,""),'Energy margins'!$O$47)=0,'Energy margins'!$L$47,0))</f>
        <v>0</v>
      </c>
      <c r="N39" s="907">
        <f>IF(ISERROR(IF(MOD(IF(AND(B39&gt;='Energy margins'!$M$50,B39&lt;='Energy margins'!$N$50),B39-'Energy margins'!$M$50,""),'Energy margins'!$O$50)=0,'Energy margins'!$L$50,0)),0,IF(MOD(IF(AND(B39&gt;='Energy margins'!$M$50,B39&lt;='Energy margins'!$N$50),B39-'Energy margins'!$M$50,""),'Energy margins'!$O$50)=0,'Energy margins'!$L$50,0))</f>
        <v>0</v>
      </c>
      <c r="O39" s="907">
        <f>IF(ISERROR(IF(MOD(IF(AND(B39&gt;='Energy margins'!$M$53,B39&lt;='Energy margins'!$N$53),B39-'Energy margins'!$M$53,""),'Energy margins'!$O$53)=0,'Energy margins'!$L$53,0)),0,IF(MOD(IF(AND(B39&gt;='Energy margins'!$M$53,B39&lt;='Energy margins'!$N$53),B39-'Energy margins'!$M$53,""),'Energy margins'!$O$53)=0,'Energy margins'!$L$53,0))</f>
        <v>0</v>
      </c>
      <c r="P39" s="907">
        <f>IF(ISERROR(IF(MOD(IF(AND(B39&gt;='Energy margins'!$M$56,B39&lt;='Energy margins'!$N$56),B39-'Energy margins'!$M$56,""),'Energy margins'!$O$56)=0,'Energy margins'!$L$56,0)),0,IF(MOD(IF(AND(B39&gt;='Energy margins'!$M$56,B39&lt;='Energy margins'!$N$56),B39-'Energy margins'!$M$56,""),'Energy margins'!$O$56)=0,'Energy margins'!$L$56,0))</f>
        <v>0</v>
      </c>
      <c r="Q39" s="907">
        <f>IF(ISERROR(IF(MOD(IF(AND(B39&gt;='Energy margins'!$M$59,B39&lt;='Energy margins'!$N$59),B39-'Energy margins'!$M$59,""),'Energy margins'!$O$59)=0,'Energy margins'!$L$59,0)),0,IF(MOD(IF(AND(B39&gt;='Energy margins'!$M$59,B39&lt;='Energy margins'!$N$59),B39-'Energy margins'!$M$59,""),'Energy margins'!$O$59)=0,'Energy margins'!$L$59,0))</f>
        <v>0</v>
      </c>
      <c r="R39" s="907">
        <f>IF(ISERROR(IF(MOD(IF(AND(B39&gt;='Energy margins'!$M$60,B39&lt;='Energy margins'!$N$60),B39-'Energy margins'!$M$60,""),'Energy margins'!$O$60)=0,'Energy margins'!$L$60,0)),0,IF(MOD(IF(AND(B39&gt;='Energy margins'!$M$60,B39&lt;='Energy margins'!$N$60),B39-'Energy margins'!$M$60,""),'Energy margins'!$O$60)=0,'Energy margins'!$L$60,0))</f>
        <v>0</v>
      </c>
      <c r="S39" s="907">
        <f>IF(ISERROR(IF(MOD(IF(AND(B39&gt;='Energy margins'!$M$61,B39&lt;='Energy margins'!$N$61),B39-'Energy margins'!$M$61,""),'Energy margins'!$O$61)=0,'Energy margins'!$L$61,0)),0,IF(MOD(IF(AND(B39&gt;='Energy margins'!$M$61,B39&lt;='Energy margins'!$N$61),B39-'Energy margins'!$M$61,""),'Energy margins'!$O$61)=0,'Energy margins'!$L$61,0))</f>
        <v>0</v>
      </c>
      <c r="T39" s="907">
        <f>IF(ISERROR(IF(MOD(IF(AND(B39&gt;='Energy margins'!$M$62,B39&lt;='Energy margins'!$N$62),B39-'Energy margins'!$M$62,""),'Energy margins'!$O$62)=0,'Energy margins'!$L$62,0)),0,IF(MOD(IF(AND(B39&gt;='Energy margins'!$M$62,B39&lt;='Energy margins'!$N$62),B39-'Energy margins'!$M$62,""),'Energy margins'!$O$62)=0,'Energy margins'!$L$62,0))</f>
        <v>0</v>
      </c>
      <c r="U39" s="921">
        <f>SUM(J39:T39)</f>
        <v>0</v>
      </c>
      <c r="V39" s="197"/>
      <c r="W39" s="197">
        <f>I39+U39+V39</f>
        <v>1993.8119999999999</v>
      </c>
      <c r="X39" s="197">
        <f t="shared" ref="X39:X54" si="13">F39-W39</f>
        <v>-1960.8119999999999</v>
      </c>
      <c r="Y39" s="197">
        <f t="shared" ref="Y39:Y54" si="14">H39-W39</f>
        <v>-1740.8119999999999</v>
      </c>
      <c r="Z39" s="952">
        <f>F39/((1+$C$6)^($B39-1))</f>
        <v>33</v>
      </c>
      <c r="AA39" s="953">
        <f>G39/((1+$C$6)^($B39-1))</f>
        <v>220</v>
      </c>
      <c r="AB39" s="953">
        <f>W39/((1+$C$6)^($B39-1))</f>
        <v>1993.8119999999999</v>
      </c>
      <c r="AC39" s="1019">
        <f>Z39-AB39</f>
        <v>-1960.8119999999999</v>
      </c>
      <c r="AD39" s="1020">
        <f>AC39+AA39</f>
        <v>-1740.8119999999999</v>
      </c>
      <c r="AE39" s="952">
        <f>Z39</f>
        <v>33</v>
      </c>
      <c r="AF39" s="953">
        <f>AA39</f>
        <v>220</v>
      </c>
      <c r="AG39" s="953">
        <f>AB39</f>
        <v>1993.8119999999999</v>
      </c>
      <c r="AH39" s="1019">
        <f>AC39</f>
        <v>-1960.8119999999999</v>
      </c>
      <c r="AI39" s="1020">
        <f>AD39</f>
        <v>-1740.8119999999999</v>
      </c>
    </row>
    <row r="40" spans="2:35" x14ac:dyDescent="0.3">
      <c r="B40" s="881">
        <v>2</v>
      </c>
      <c r="C40" s="901">
        <f>'Energy Inputs'!E31</f>
        <v>0.31299840510366833</v>
      </c>
      <c r="D40" s="897">
        <f>C40*'Energy Inputs'!$E$24</f>
        <v>3.9250000000000007</v>
      </c>
      <c r="E40" s="197">
        <f>'Energy margins'!$L$12</f>
        <v>55</v>
      </c>
      <c r="F40" s="197">
        <f t="shared" ref="F40:F54" si="15">D40*E40</f>
        <v>215.87500000000003</v>
      </c>
      <c r="G40" s="897">
        <f>'Energy Inputs'!$D$10</f>
        <v>220</v>
      </c>
      <c r="H40" s="197">
        <f t="shared" ref="H40:H54" si="16">F40+G40</f>
        <v>435.875</v>
      </c>
      <c r="I40" s="197"/>
      <c r="J40" s="922">
        <f>IF(ISERROR(IF(MOD(IF(AND(B40&gt;='Energy margins'!$M$44,B40&lt;='Energy margins'!$N$44),B40-'Energy margins'!$M$44,""),'Energy margins'!$O$44)=0,'Energy margins'!$L$44,0)),0,IF(MOD(IF(AND(B40&gt;='Energy margins'!$M$44,B40&lt;='Energy margins'!$N$44),B40-'Energy margins'!$M$44,""),'Energy margins'!$O$44)=0,'Energy margins'!$L$44,0))</f>
        <v>0</v>
      </c>
      <c r="K40" s="897">
        <f>IF(ISERROR(IF(MOD(IF(AND(B40&gt;='Energy margins'!$M$45,B40&lt;='Energy margins'!$N$45),B40-'Energy margins'!$M$45,""),'Energy margins'!$O$45)=0,'Energy margins'!$L$45,0)),0,IF(MOD(IF(AND(B40&gt;='Energy margins'!$M$45,B40&lt;='Energy margins'!$N$45),B40-'Energy margins'!$M$45,""),'Energy margins'!$O$45)=0,'Energy margins'!$L$45,0))</f>
        <v>40.299999999999997</v>
      </c>
      <c r="L40" s="897">
        <f>IF(ISERROR(IF(MOD(IF(AND(B40&gt;='Energy margins'!$M$46,B40&lt;='Energy margins'!$N$46),B40-'Energy margins'!$M$46,""),'Energy margins'!$O$46)=0,'Energy margins'!$L$46,0)),0,IF(MOD(IF(AND(B40&gt;='Energy margins'!$M$46,B40&lt;='Energy margins'!$N$46),B40-'Energy margins'!$M$46,""),'Energy margins'!$O$46)=0,'Energy margins'!$L$46,0))</f>
        <v>60</v>
      </c>
      <c r="M40" s="897">
        <f>IF(ISERROR(IF(MOD(IF(AND(B40&gt;='Energy margins'!$M$47,B40&lt;='Energy margins'!$N$47),B40-'Energy margins'!$M$47,""),'Energy margins'!$O$47)=0,'Energy margins'!$L$47,0)),0,IF(MOD(IF(AND(B40&gt;='Energy margins'!$M$47,B40&lt;='Energy margins'!$N$47),B40-'Energy margins'!$M$47,""),'Energy margins'!$O$47)=0,'Energy margins'!$L$47,0))</f>
        <v>16.07</v>
      </c>
      <c r="N40" s="897">
        <f>IF(ISERROR(IF(MOD(IF(AND(B40&gt;='Energy margins'!$M$50,B40&lt;='Energy margins'!$N$50),B40-'Energy margins'!$M$50,""),'Energy margins'!$O$50)=0,'Energy margins'!$L$50,0)),0,IF(MOD(IF(AND(B40&gt;='Energy margins'!$M$50,B40&lt;='Energy margins'!$N$50),B40-'Energy margins'!$M$50,""),'Energy margins'!$O$50)=0,'Energy margins'!$L$50,0))</f>
        <v>54.768000000000001</v>
      </c>
      <c r="O40" s="897">
        <f>IF(ISERROR(IF(MOD(IF(AND(B40&gt;='Energy margins'!$M$53,B40&lt;='Energy margins'!$N$53),B40-'Energy margins'!$M$53,""),'Energy margins'!$O$53)=0,'Energy margins'!$L$53,0)),0,IF(MOD(IF(AND(B40&gt;='Energy margins'!$M$53,B40&lt;='Energy margins'!$N$53),B40-'Energy margins'!$M$53,""),'Energy margins'!$O$53)=0,'Energy margins'!$L$53,0))</f>
        <v>8.9740000000000002</v>
      </c>
      <c r="P40" s="897">
        <f>IF(ISERROR(IF(MOD(IF(AND(B40&gt;='Energy margins'!$M$56,B40&lt;='Energy margins'!$N$56),B40-'Energy margins'!$M$56,""),'Energy margins'!$O$56)=0,'Energy margins'!$L$56,0)),0,IF(MOD(IF(AND(B40&gt;='Energy margins'!$M$56,B40&lt;='Energy margins'!$N$56),B40-'Energy margins'!$M$56,""),'Energy margins'!$O$56)=0,'Energy margins'!$L$56,0))</f>
        <v>54</v>
      </c>
      <c r="Q40" s="897">
        <f>IF(ISERROR(IF(MOD(IF(AND(B40&gt;='Energy margins'!$M$59,B40&lt;='Energy margins'!$N$59),B40-'Energy margins'!$M$59,""),'Energy margins'!$O$59)=0,'Energy margins'!$L$59,0)),0,IF(MOD(IF(AND(B40&gt;='Energy margins'!$M$59,B40&lt;='Energy margins'!$N$59),B40-'Energy margins'!$M$59,""),'Energy margins'!$O$59)=0,'Energy margins'!$L$59,0))</f>
        <v>0</v>
      </c>
      <c r="R40" s="897">
        <f>IF(ISERROR(IF(MOD(IF(AND(B40&gt;='Energy margins'!$M$60,B40&lt;='Energy margins'!$N$60),B40-'Energy margins'!$M$60,""),'Energy margins'!$O$60)=0,'Energy margins'!$L$60,0)),0,IF(MOD(IF(AND(B40&gt;='Energy margins'!$M$60,B40&lt;='Energy margins'!$N$60),B40-'Energy margins'!$M$60,""),'Energy margins'!$O$60)=0,'Energy margins'!$L$60,0))</f>
        <v>100</v>
      </c>
      <c r="S40" s="897">
        <f>IF(ISERROR(IF(MOD(IF(AND(B40&gt;='Energy margins'!$M$61,B40&lt;='Energy margins'!$N$61),B40-'Energy margins'!$M$61,""),'Energy margins'!$O$61)=0,'Energy margins'!$L$61,0)),0,IF(MOD(IF(AND(B40&gt;='Energy margins'!$M$61,B40&lt;='Energy margins'!$N$61),B40-'Energy margins'!$M$61,""),'Energy margins'!$O$61)=0,'Energy margins'!$L$61,0))</f>
        <v>0</v>
      </c>
      <c r="T40" s="897">
        <f>IF(ISERROR(IF(MOD(IF(AND(B40&gt;='Energy margins'!$M$62,B40&lt;='Energy margins'!$N$62),B40-'Energy margins'!$M$62,""),'Energy margins'!$O$62)=0,'Energy margins'!$L$62,0)),0,IF(MOD(IF(AND(B40&gt;='Energy margins'!$M$62,B40&lt;='Energy margins'!$N$62),B40-'Energy margins'!$M$62,""),'Energy margins'!$O$62)=0,'Energy margins'!$L$62,0))</f>
        <v>0</v>
      </c>
      <c r="U40" s="923">
        <f t="shared" ref="U40:U54" si="17">SUM(J40:T40)</f>
        <v>334.11199999999997</v>
      </c>
      <c r="V40" s="197"/>
      <c r="W40" s="197">
        <f t="shared" ref="W40:W54" si="18">I40+U40+V40</f>
        <v>334.11199999999997</v>
      </c>
      <c r="X40" s="197">
        <f t="shared" si="13"/>
        <v>-118.23699999999994</v>
      </c>
      <c r="Y40" s="197">
        <f t="shared" si="14"/>
        <v>101.76300000000003</v>
      </c>
      <c r="Z40" s="952">
        <f t="shared" ref="Z40:Z54" si="19">F40/((1+$C$6)^($B40-1))</f>
        <v>207.57211538461542</v>
      </c>
      <c r="AA40" s="953">
        <f t="shared" ref="AA40:AA54" si="20">G40/((1+$C$6)^($B40-1))</f>
        <v>211.53846153846152</v>
      </c>
      <c r="AB40" s="953">
        <f t="shared" ref="AB40:AB54" si="21">W40/((1+$C$6)^($B40-1))</f>
        <v>321.26153846153841</v>
      </c>
      <c r="AC40" s="1019">
        <f t="shared" ref="AC40:AC54" si="22">Z40-AB40</f>
        <v>-113.68942307692299</v>
      </c>
      <c r="AD40" s="1020">
        <f t="shared" ref="AD40:AD54" si="23">AC40+AA40</f>
        <v>97.849038461538527</v>
      </c>
      <c r="AE40" s="952">
        <f>AE39+Z40</f>
        <v>240.57211538461542</v>
      </c>
      <c r="AF40" s="953">
        <f t="shared" ref="AF40:AF54" si="24">AF39+AA40</f>
        <v>431.53846153846155</v>
      </c>
      <c r="AG40" s="953">
        <f t="shared" ref="AG40:AG54" si="25">AG39+AB40</f>
        <v>2315.0735384615382</v>
      </c>
      <c r="AH40" s="1019">
        <f t="shared" ref="AH40:AH54" si="26">AH39+AC40</f>
        <v>-2074.5014230769229</v>
      </c>
      <c r="AI40" s="1020">
        <f t="shared" ref="AI40:AI54" si="27">AI39+AD40</f>
        <v>-1642.9629615384613</v>
      </c>
    </row>
    <row r="41" spans="2:35" x14ac:dyDescent="0.3">
      <c r="B41" s="881">
        <v>3</v>
      </c>
      <c r="C41" s="901">
        <f>'Energy Inputs'!E32</f>
        <v>0.88516746411483238</v>
      </c>
      <c r="D41" s="897">
        <f>C41*'Energy Inputs'!$E$24</f>
        <v>11.099999999999998</v>
      </c>
      <c r="E41" s="197">
        <f>'Energy margins'!$L$12</f>
        <v>55</v>
      </c>
      <c r="F41" s="197">
        <f t="shared" si="15"/>
        <v>610.49999999999989</v>
      </c>
      <c r="G41" s="897">
        <f>'Energy Inputs'!$D$10</f>
        <v>220</v>
      </c>
      <c r="H41" s="197">
        <f t="shared" si="16"/>
        <v>830.49999999999989</v>
      </c>
      <c r="I41" s="197"/>
      <c r="J41" s="922">
        <f>IF(ISERROR(IF(MOD(IF(AND(B41&gt;='Energy margins'!$M$44,B41&lt;='Energy margins'!$N$44),B41-'Energy margins'!$M$44,""),'Energy margins'!$O$44)=0,'Energy margins'!$L$44,0)),0,IF(MOD(IF(AND(B41&gt;='Energy margins'!$M$44,B41&lt;='Energy margins'!$N$44),B41-'Energy margins'!$M$44,""),'Energy margins'!$O$44)=0,'Energy margins'!$L$44,0))</f>
        <v>0</v>
      </c>
      <c r="K41" s="897">
        <f>IF(ISERROR(IF(MOD(IF(AND(B41&gt;='Energy margins'!$M$45,B41&lt;='Energy margins'!$N$45),B41-'Energy margins'!$M$45,""),'Energy margins'!$O$45)=0,'Energy margins'!$L$45,0)),0,IF(MOD(IF(AND(B41&gt;='Energy margins'!$M$45,B41&lt;='Energy margins'!$N$45),B41-'Energy margins'!$M$45,""),'Energy margins'!$O$45)=0,'Energy margins'!$L$45,0))</f>
        <v>40.299999999999997</v>
      </c>
      <c r="L41" s="897">
        <f>IF(ISERROR(IF(MOD(IF(AND(B41&gt;='Energy margins'!$M$46,B41&lt;='Energy margins'!$N$46),B41-'Energy margins'!$M$46,""),'Energy margins'!$O$46)=0,'Energy margins'!$L$46,0)),0,IF(MOD(IF(AND(B41&gt;='Energy margins'!$M$46,B41&lt;='Energy margins'!$N$46),B41-'Energy margins'!$M$46,""),'Energy margins'!$O$46)=0,'Energy margins'!$L$46,0))</f>
        <v>60</v>
      </c>
      <c r="M41" s="897">
        <f>IF(ISERROR(IF(MOD(IF(AND(B41&gt;='Energy margins'!$M$47,B41&lt;='Energy margins'!$N$47),B41-'Energy margins'!$M$47,""),'Energy margins'!$O$47)=0,'Energy margins'!$L$47,0)),0,IF(MOD(IF(AND(B41&gt;='Energy margins'!$M$47,B41&lt;='Energy margins'!$N$47),B41-'Energy margins'!$M$47,""),'Energy margins'!$O$47)=0,'Energy margins'!$L$47,0))</f>
        <v>16.07</v>
      </c>
      <c r="N41" s="897">
        <f>IF(ISERROR(IF(MOD(IF(AND(B41&gt;='Energy margins'!$M$50,B41&lt;='Energy margins'!$N$50),B41-'Energy margins'!$M$50,""),'Energy margins'!$O$50)=0,'Energy margins'!$L$50,0)),0,IF(MOD(IF(AND(B41&gt;='Energy margins'!$M$50,B41&lt;='Energy margins'!$N$50),B41-'Energy margins'!$M$50,""),'Energy margins'!$O$50)=0,'Energy margins'!$L$50,0))</f>
        <v>54.768000000000001</v>
      </c>
      <c r="O41" s="897">
        <f>IF(ISERROR(IF(MOD(IF(AND(B41&gt;='Energy margins'!$M$53,B41&lt;='Energy margins'!$N$53),B41-'Energy margins'!$M$53,""),'Energy margins'!$O$53)=0,'Energy margins'!$L$53,0)),0,IF(MOD(IF(AND(B41&gt;='Energy margins'!$M$53,B41&lt;='Energy margins'!$N$53),B41-'Energy margins'!$M$53,""),'Energy margins'!$O$53)=0,'Energy margins'!$L$53,0))</f>
        <v>8.9740000000000002</v>
      </c>
      <c r="P41" s="897">
        <f>IF(ISERROR(IF(MOD(IF(AND(B41&gt;='Energy margins'!$M$56,B41&lt;='Energy margins'!$N$56),B41-'Energy margins'!$M$56,""),'Energy margins'!$O$56)=0,'Energy margins'!$L$56,0)),0,IF(MOD(IF(AND(B41&gt;='Energy margins'!$M$56,B41&lt;='Energy margins'!$N$56),B41-'Energy margins'!$M$56,""),'Energy margins'!$O$56)=0,'Energy margins'!$L$56,0))</f>
        <v>54</v>
      </c>
      <c r="Q41" s="897">
        <f>IF(ISERROR(IF(MOD(IF(AND(B41&gt;='Energy margins'!$M$59,B41&lt;='Energy margins'!$N$59),B41-'Energy margins'!$M$59,""),'Energy margins'!$O$59)=0,'Energy margins'!$L$59,0)),0,IF(MOD(IF(AND(B41&gt;='Energy margins'!$M$59,B41&lt;='Energy margins'!$N$59),B41-'Energy margins'!$M$59,""),'Energy margins'!$O$59)=0,'Energy margins'!$L$59,0))</f>
        <v>0</v>
      </c>
      <c r="R41" s="897">
        <f>IF(ISERROR(IF(MOD(IF(AND(B41&gt;='Energy margins'!$M$60,B41&lt;='Energy margins'!$N$60),B41-'Energy margins'!$M$60,""),'Energy margins'!$O$60)=0,'Energy margins'!$L$60,0)),0,IF(MOD(IF(AND(B41&gt;='Energy margins'!$M$60,B41&lt;='Energy margins'!$N$60),B41-'Energy margins'!$M$60,""),'Energy margins'!$O$60)=0,'Energy margins'!$L$60,0))</f>
        <v>100</v>
      </c>
      <c r="S41" s="897">
        <f>IF(ISERROR(IF(MOD(IF(AND(B41&gt;='Energy margins'!$M$61,B41&lt;='Energy margins'!$N$61),B41-'Energy margins'!$M$61,""),'Energy margins'!$O$61)=0,'Energy margins'!$L$61,0)),0,IF(MOD(IF(AND(B41&gt;='Energy margins'!$M$61,B41&lt;='Energy margins'!$N$61),B41-'Energy margins'!$M$61,""),'Energy margins'!$O$61)=0,'Energy margins'!$L$61,0))</f>
        <v>0</v>
      </c>
      <c r="T41" s="897">
        <f>IF(ISERROR(IF(MOD(IF(AND(B41&gt;='Energy margins'!$M$62,B41&lt;='Energy margins'!$N$62),B41-'Energy margins'!$M$62,""),'Energy margins'!$O$62)=0,'Energy margins'!$L$62,0)),0,IF(MOD(IF(AND(B41&gt;='Energy margins'!$M$62,B41&lt;='Energy margins'!$N$62),B41-'Energy margins'!$M$62,""),'Energy margins'!$O$62)=0,'Energy margins'!$L$62,0))</f>
        <v>0</v>
      </c>
      <c r="U41" s="923">
        <f t="shared" si="17"/>
        <v>334.11199999999997</v>
      </c>
      <c r="V41" s="197"/>
      <c r="W41" s="197">
        <f t="shared" si="18"/>
        <v>334.11199999999997</v>
      </c>
      <c r="X41" s="197">
        <f t="shared" si="13"/>
        <v>276.38799999999992</v>
      </c>
      <c r="Y41" s="197">
        <f t="shared" si="14"/>
        <v>496.38799999999992</v>
      </c>
      <c r="Z41" s="952">
        <f t="shared" si="19"/>
        <v>564.44156804733711</v>
      </c>
      <c r="AA41" s="953">
        <f t="shared" si="20"/>
        <v>203.40236686390531</v>
      </c>
      <c r="AB41" s="953">
        <f t="shared" si="21"/>
        <v>308.90532544378692</v>
      </c>
      <c r="AC41" s="1019">
        <f t="shared" si="22"/>
        <v>255.53624260355019</v>
      </c>
      <c r="AD41" s="1020">
        <f t="shared" si="23"/>
        <v>458.93860946745554</v>
      </c>
      <c r="AE41" s="952">
        <f t="shared" ref="AE41:AE54" si="28">AE40+Z41</f>
        <v>805.01368343195259</v>
      </c>
      <c r="AF41" s="953">
        <f t="shared" si="24"/>
        <v>634.94082840236683</v>
      </c>
      <c r="AG41" s="953">
        <f t="shared" si="25"/>
        <v>2623.9788639053249</v>
      </c>
      <c r="AH41" s="1019">
        <f t="shared" si="26"/>
        <v>-1818.9651804733728</v>
      </c>
      <c r="AI41" s="1020">
        <f t="shared" si="27"/>
        <v>-1184.0243520710058</v>
      </c>
    </row>
    <row r="42" spans="2:35" x14ac:dyDescent="0.3">
      <c r="B42" s="881">
        <v>4</v>
      </c>
      <c r="C42" s="901">
        <f>'Energy Inputs'!E33</f>
        <v>1</v>
      </c>
      <c r="D42" s="897">
        <f>C42*'Energy Inputs'!$E$24</f>
        <v>12.54</v>
      </c>
      <c r="E42" s="197">
        <f>'Energy margins'!$L$12</f>
        <v>55</v>
      </c>
      <c r="F42" s="197">
        <f t="shared" si="15"/>
        <v>689.69999999999993</v>
      </c>
      <c r="G42" s="897">
        <f>'Energy Inputs'!$D$10</f>
        <v>220</v>
      </c>
      <c r="H42" s="197">
        <f t="shared" si="16"/>
        <v>909.69999999999993</v>
      </c>
      <c r="I42" s="197"/>
      <c r="J42" s="922">
        <f>IF(ISERROR(IF(MOD(IF(AND(B42&gt;='Energy margins'!$M$44,B42&lt;='Energy margins'!$N$44),B42-'Energy margins'!$M$44,""),'Energy margins'!$O$44)=0,'Energy margins'!$L$44,0)),0,IF(MOD(IF(AND(B42&gt;='Energy margins'!$M$44,B42&lt;='Energy margins'!$N$44),B42-'Energy margins'!$M$44,""),'Energy margins'!$O$44)=0,'Energy margins'!$L$44,0))</f>
        <v>0</v>
      </c>
      <c r="K42" s="897">
        <f>IF(ISERROR(IF(MOD(IF(AND(B42&gt;='Energy margins'!$M$45,B42&lt;='Energy margins'!$N$45),B42-'Energy margins'!$M$45,""),'Energy margins'!$O$45)=0,'Energy margins'!$L$45,0)),0,IF(MOD(IF(AND(B42&gt;='Energy margins'!$M$45,B42&lt;='Energy margins'!$N$45),B42-'Energy margins'!$M$45,""),'Energy margins'!$O$45)=0,'Energy margins'!$L$45,0))</f>
        <v>0</v>
      </c>
      <c r="L42" s="897">
        <f>IF(ISERROR(IF(MOD(IF(AND(B42&gt;='Energy margins'!$M$46,B42&lt;='Energy margins'!$N$46),B42-'Energy margins'!$M$46,""),'Energy margins'!$O$46)=0,'Energy margins'!$L$46,0)),0,IF(MOD(IF(AND(B42&gt;='Energy margins'!$M$46,B42&lt;='Energy margins'!$N$46),B42-'Energy margins'!$M$46,""),'Energy margins'!$O$46)=0,'Energy margins'!$L$46,0))</f>
        <v>0</v>
      </c>
      <c r="M42" s="897">
        <f>IF(ISERROR(IF(MOD(IF(AND(B42&gt;='Energy margins'!$M$47,B42&lt;='Energy margins'!$N$47),B42-'Energy margins'!$M$47,""),'Energy margins'!$O$47)=0,'Energy margins'!$L$47,0)),0,IF(MOD(IF(AND(B42&gt;='Energy margins'!$M$47,B42&lt;='Energy margins'!$N$47),B42-'Energy margins'!$M$47,""),'Energy margins'!$O$47)=0,'Energy margins'!$L$47,0))</f>
        <v>16.07</v>
      </c>
      <c r="N42" s="897">
        <f>IF(ISERROR(IF(MOD(IF(AND(B42&gt;='Energy margins'!$M$50,B42&lt;='Energy margins'!$N$50),B42-'Energy margins'!$M$50,""),'Energy margins'!$O$50)=0,'Energy margins'!$L$50,0)),0,IF(MOD(IF(AND(B42&gt;='Energy margins'!$M$50,B42&lt;='Energy margins'!$N$50),B42-'Energy margins'!$M$50,""),'Energy margins'!$O$50)=0,'Energy margins'!$L$50,0))</f>
        <v>54.768000000000001</v>
      </c>
      <c r="O42" s="897">
        <f>IF(ISERROR(IF(MOD(IF(AND(B42&gt;='Energy margins'!$M$53,B42&lt;='Energy margins'!$N$53),B42-'Energy margins'!$M$53,""),'Energy margins'!$O$53)=0,'Energy margins'!$L$53,0)),0,IF(MOD(IF(AND(B42&gt;='Energy margins'!$M$53,B42&lt;='Energy margins'!$N$53),B42-'Energy margins'!$M$53,""),'Energy margins'!$O$53)=0,'Energy margins'!$L$53,0))</f>
        <v>8.9740000000000002</v>
      </c>
      <c r="P42" s="897">
        <f>IF(ISERROR(IF(MOD(IF(AND(B42&gt;='Energy margins'!$M$56,B42&lt;='Energy margins'!$N$56),B42-'Energy margins'!$M$56,""),'Energy margins'!$O$56)=0,'Energy margins'!$L$56,0)),0,IF(MOD(IF(AND(B42&gt;='Energy margins'!$M$56,B42&lt;='Energy margins'!$N$56),B42-'Energy margins'!$M$56,""),'Energy margins'!$O$56)=0,'Energy margins'!$L$56,0))</f>
        <v>54</v>
      </c>
      <c r="Q42" s="897">
        <f>IF(ISERROR(IF(MOD(IF(AND(B42&gt;='Energy margins'!$M$59,B42&lt;='Energy margins'!$N$59),B42-'Energy margins'!$M$59,""),'Energy margins'!$O$59)=0,'Energy margins'!$L$59,0)),0,IF(MOD(IF(AND(B42&gt;='Energy margins'!$M$59,B42&lt;='Energy margins'!$N$59),B42-'Energy margins'!$M$59,""),'Energy margins'!$O$59)=0,'Energy margins'!$L$59,0))</f>
        <v>0</v>
      </c>
      <c r="R42" s="897">
        <f>IF(ISERROR(IF(MOD(IF(AND(B42&gt;='Energy margins'!$M$60,B42&lt;='Energy margins'!$N$60),B42-'Energy margins'!$M$60,""),'Energy margins'!$O$60)=0,'Energy margins'!$L$60,0)),0,IF(MOD(IF(AND(B42&gt;='Energy margins'!$M$60,B42&lt;='Energy margins'!$N$60),B42-'Energy margins'!$M$60,""),'Energy margins'!$O$60)=0,'Energy margins'!$L$60,0))</f>
        <v>100</v>
      </c>
      <c r="S42" s="897">
        <f>IF(ISERROR(IF(MOD(IF(AND(B42&gt;='Energy margins'!$M$61,B42&lt;='Energy margins'!$N$61),B42-'Energy margins'!$M$61,""),'Energy margins'!$O$61)=0,'Energy margins'!$L$61,0)),0,IF(MOD(IF(AND(B42&gt;='Energy margins'!$M$61,B42&lt;='Energy margins'!$N$61),B42-'Energy margins'!$M$61,""),'Energy margins'!$O$61)=0,'Energy margins'!$L$61,0))</f>
        <v>0</v>
      </c>
      <c r="T42" s="897">
        <f>IF(ISERROR(IF(MOD(IF(AND(B42&gt;='Energy margins'!$M$62,B42&lt;='Energy margins'!$N$62),B42-'Energy margins'!$M$62,""),'Energy margins'!$O$62)=0,'Energy margins'!$L$62,0)),0,IF(MOD(IF(AND(B42&gt;='Energy margins'!$M$62,B42&lt;='Energy margins'!$N$62),B42-'Energy margins'!$M$62,""),'Energy margins'!$O$62)=0,'Energy margins'!$L$62,0))</f>
        <v>0</v>
      </c>
      <c r="U42" s="923">
        <f t="shared" si="17"/>
        <v>233.81200000000001</v>
      </c>
      <c r="V42" s="197"/>
      <c r="W42" s="197">
        <f t="shared" si="18"/>
        <v>233.81200000000001</v>
      </c>
      <c r="X42" s="197">
        <f t="shared" si="13"/>
        <v>455.88799999999992</v>
      </c>
      <c r="Y42" s="197">
        <f t="shared" si="14"/>
        <v>675.88799999999992</v>
      </c>
      <c r="Z42" s="952">
        <f t="shared" si="19"/>
        <v>613.14078857532991</v>
      </c>
      <c r="AA42" s="953">
        <f t="shared" si="20"/>
        <v>195.57919890760127</v>
      </c>
      <c r="AB42" s="953">
        <f t="shared" si="21"/>
        <v>207.85801661356393</v>
      </c>
      <c r="AC42" s="1019">
        <f t="shared" si="22"/>
        <v>405.282771961766</v>
      </c>
      <c r="AD42" s="1020">
        <f t="shared" si="23"/>
        <v>600.86197086936727</v>
      </c>
      <c r="AE42" s="952">
        <f t="shared" si="28"/>
        <v>1418.1544720072825</v>
      </c>
      <c r="AF42" s="953">
        <f t="shared" si="24"/>
        <v>830.5200273099681</v>
      </c>
      <c r="AG42" s="953">
        <f t="shared" si="25"/>
        <v>2831.8368805188888</v>
      </c>
      <c r="AH42" s="1019">
        <f t="shared" si="26"/>
        <v>-1413.6824085116068</v>
      </c>
      <c r="AI42" s="1020">
        <f t="shared" si="27"/>
        <v>-583.16238120163848</v>
      </c>
    </row>
    <row r="43" spans="2:35" x14ac:dyDescent="0.3">
      <c r="B43" s="881">
        <v>5</v>
      </c>
      <c r="C43" s="901">
        <f>'Energy Inputs'!E34</f>
        <v>1</v>
      </c>
      <c r="D43" s="897">
        <f>C43*'Energy Inputs'!$E$24</f>
        <v>12.54</v>
      </c>
      <c r="E43" s="197">
        <f>'Energy margins'!$L$12</f>
        <v>55</v>
      </c>
      <c r="F43" s="197">
        <f t="shared" si="15"/>
        <v>689.69999999999993</v>
      </c>
      <c r="G43" s="897">
        <f>'Energy Inputs'!$D$10</f>
        <v>220</v>
      </c>
      <c r="H43" s="197">
        <f t="shared" si="16"/>
        <v>909.69999999999993</v>
      </c>
      <c r="I43" s="197"/>
      <c r="J43" s="922">
        <f>IF(ISERROR(IF(MOD(IF(AND(B43&gt;='Energy margins'!$M$44,B43&lt;='Energy margins'!$N$44),B43-'Energy margins'!$M$44,""),'Energy margins'!$O$44)=0,'Energy margins'!$L$44,0)),0,IF(MOD(IF(AND(B43&gt;='Energy margins'!$M$44,B43&lt;='Energy margins'!$N$44),B43-'Energy margins'!$M$44,""),'Energy margins'!$O$44)=0,'Energy margins'!$L$44,0))</f>
        <v>0</v>
      </c>
      <c r="K43" s="897">
        <f>IF(ISERROR(IF(MOD(IF(AND(B43&gt;='Energy margins'!$M$45,B43&lt;='Energy margins'!$N$45),B43-'Energy margins'!$M$45,""),'Energy margins'!$O$45)=0,'Energy margins'!$L$45,0)),0,IF(MOD(IF(AND(B43&gt;='Energy margins'!$M$45,B43&lt;='Energy margins'!$N$45),B43-'Energy margins'!$M$45,""),'Energy margins'!$O$45)=0,'Energy margins'!$L$45,0))</f>
        <v>0</v>
      </c>
      <c r="L43" s="897">
        <f>IF(ISERROR(IF(MOD(IF(AND(B43&gt;='Energy margins'!$M$46,B43&lt;='Energy margins'!$N$46),B43-'Energy margins'!$M$46,""),'Energy margins'!$O$46)=0,'Energy margins'!$L$46,0)),0,IF(MOD(IF(AND(B43&gt;='Energy margins'!$M$46,B43&lt;='Energy margins'!$N$46),B43-'Energy margins'!$M$46,""),'Energy margins'!$O$46)=0,'Energy margins'!$L$46,0))</f>
        <v>0</v>
      </c>
      <c r="M43" s="897">
        <f>IF(ISERROR(IF(MOD(IF(AND(B43&gt;='Energy margins'!$M$47,B43&lt;='Energy margins'!$N$47),B43-'Energy margins'!$M$47,""),'Energy margins'!$O$47)=0,'Energy margins'!$L$47,0)),0,IF(MOD(IF(AND(B43&gt;='Energy margins'!$M$47,B43&lt;='Energy margins'!$N$47),B43-'Energy margins'!$M$47,""),'Energy margins'!$O$47)=0,'Energy margins'!$L$47,0))</f>
        <v>16.07</v>
      </c>
      <c r="N43" s="897">
        <f>IF(ISERROR(IF(MOD(IF(AND(B43&gt;='Energy margins'!$M$50,B43&lt;='Energy margins'!$N$50),B43-'Energy margins'!$M$50,""),'Energy margins'!$O$50)=0,'Energy margins'!$L$50,0)),0,IF(MOD(IF(AND(B43&gt;='Energy margins'!$M$50,B43&lt;='Energy margins'!$N$50),B43-'Energy margins'!$M$50,""),'Energy margins'!$O$50)=0,'Energy margins'!$L$50,0))</f>
        <v>54.768000000000001</v>
      </c>
      <c r="O43" s="897">
        <f>IF(ISERROR(IF(MOD(IF(AND(B43&gt;='Energy margins'!$M$53,B43&lt;='Energy margins'!$N$53),B43-'Energy margins'!$M$53,""),'Energy margins'!$O$53)=0,'Energy margins'!$L$53,0)),0,IF(MOD(IF(AND(B43&gt;='Energy margins'!$M$53,B43&lt;='Energy margins'!$N$53),B43-'Energy margins'!$M$53,""),'Energy margins'!$O$53)=0,'Energy margins'!$L$53,0))</f>
        <v>8.9740000000000002</v>
      </c>
      <c r="P43" s="897">
        <f>IF(ISERROR(IF(MOD(IF(AND(B43&gt;='Energy margins'!$M$56,B43&lt;='Energy margins'!$N$56),B43-'Energy margins'!$M$56,""),'Energy margins'!$O$56)=0,'Energy margins'!$L$56,0)),0,IF(MOD(IF(AND(B43&gt;='Energy margins'!$M$56,B43&lt;='Energy margins'!$N$56),B43-'Energy margins'!$M$56,""),'Energy margins'!$O$56)=0,'Energy margins'!$L$56,0))</f>
        <v>54</v>
      </c>
      <c r="Q43" s="897">
        <f>IF(ISERROR(IF(MOD(IF(AND(B43&gt;='Energy margins'!$M$59,B43&lt;='Energy margins'!$N$59),B43-'Energy margins'!$M$59,""),'Energy margins'!$O$59)=0,'Energy margins'!$L$59,0)),0,IF(MOD(IF(AND(B43&gt;='Energy margins'!$M$59,B43&lt;='Energy margins'!$N$59),B43-'Energy margins'!$M$59,""),'Energy margins'!$O$59)=0,'Energy margins'!$L$59,0))</f>
        <v>0</v>
      </c>
      <c r="R43" s="897">
        <f>IF(ISERROR(IF(MOD(IF(AND(B43&gt;='Energy margins'!$M$60,B43&lt;='Energy margins'!$N$60),B43-'Energy margins'!$M$60,""),'Energy margins'!$O$60)=0,'Energy margins'!$L$60,0)),0,IF(MOD(IF(AND(B43&gt;='Energy margins'!$M$60,B43&lt;='Energy margins'!$N$60),B43-'Energy margins'!$M$60,""),'Energy margins'!$O$60)=0,'Energy margins'!$L$60,0))</f>
        <v>100</v>
      </c>
      <c r="S43" s="897">
        <f>IF(ISERROR(IF(MOD(IF(AND(B43&gt;='Energy margins'!$M$61,B43&lt;='Energy margins'!$N$61),B43-'Energy margins'!$M$61,""),'Energy margins'!$O$61)=0,'Energy margins'!$L$61,0)),0,IF(MOD(IF(AND(B43&gt;='Energy margins'!$M$61,B43&lt;='Energy margins'!$N$61),B43-'Energy margins'!$M$61,""),'Energy margins'!$O$61)=0,'Energy margins'!$L$61,0))</f>
        <v>0</v>
      </c>
      <c r="T43" s="897">
        <f>IF(ISERROR(IF(MOD(IF(AND(B43&gt;='Energy margins'!$M$62,B43&lt;='Energy margins'!$N$62),B43-'Energy margins'!$M$62,""),'Energy margins'!$O$62)=0,'Energy margins'!$L$62,0)),0,IF(MOD(IF(AND(B43&gt;='Energy margins'!$M$62,B43&lt;='Energy margins'!$N$62),B43-'Energy margins'!$M$62,""),'Energy margins'!$O$62)=0,'Energy margins'!$L$62,0))</f>
        <v>0</v>
      </c>
      <c r="U43" s="923">
        <f t="shared" si="17"/>
        <v>233.81200000000001</v>
      </c>
      <c r="V43" s="197"/>
      <c r="W43" s="197">
        <f t="shared" si="18"/>
        <v>233.81200000000001</v>
      </c>
      <c r="X43" s="197">
        <f t="shared" si="13"/>
        <v>455.88799999999992</v>
      </c>
      <c r="Y43" s="197">
        <f t="shared" si="14"/>
        <v>675.88799999999992</v>
      </c>
      <c r="Z43" s="952">
        <f t="shared" si="19"/>
        <v>589.55845055320174</v>
      </c>
      <c r="AA43" s="953">
        <f t="shared" si="20"/>
        <v>188.05692202653967</v>
      </c>
      <c r="AB43" s="953">
        <f t="shared" si="21"/>
        <v>199.86347751304223</v>
      </c>
      <c r="AC43" s="1019">
        <f t="shared" si="22"/>
        <v>389.69497304015954</v>
      </c>
      <c r="AD43" s="1020">
        <f t="shared" si="23"/>
        <v>577.75189506669926</v>
      </c>
      <c r="AE43" s="952">
        <f t="shared" si="28"/>
        <v>2007.7129225604842</v>
      </c>
      <c r="AF43" s="953">
        <f t="shared" si="24"/>
        <v>1018.5769493365078</v>
      </c>
      <c r="AG43" s="953">
        <f t="shared" si="25"/>
        <v>3031.700358031931</v>
      </c>
      <c r="AH43" s="1019">
        <f t="shared" si="26"/>
        <v>-1023.9874354714473</v>
      </c>
      <c r="AI43" s="1020">
        <f t="shared" si="27"/>
        <v>-5.4104861349392195</v>
      </c>
    </row>
    <row r="44" spans="2:35" x14ac:dyDescent="0.3">
      <c r="B44" s="881">
        <v>6</v>
      </c>
      <c r="C44" s="901">
        <f>'Energy Inputs'!E35</f>
        <v>1</v>
      </c>
      <c r="D44" s="897">
        <f>C44*'Energy Inputs'!$E$24</f>
        <v>12.54</v>
      </c>
      <c r="E44" s="197">
        <f>'Energy margins'!$L$12</f>
        <v>55</v>
      </c>
      <c r="F44" s="197">
        <f t="shared" si="15"/>
        <v>689.69999999999993</v>
      </c>
      <c r="G44" s="897">
        <f>'Energy Inputs'!$D$10</f>
        <v>220</v>
      </c>
      <c r="H44" s="197">
        <f t="shared" si="16"/>
        <v>909.69999999999993</v>
      </c>
      <c r="I44" s="197"/>
      <c r="J44" s="922">
        <f>IF(ISERROR(IF(MOD(IF(AND(B44&gt;='Energy margins'!$M$44,B44&lt;='Energy margins'!$N$44),B44-'Energy margins'!$M$44,""),'Energy margins'!$O$44)=0,'Energy margins'!$L$44,0)),0,IF(MOD(IF(AND(B44&gt;='Energy margins'!$M$44,B44&lt;='Energy margins'!$N$44),B44-'Energy margins'!$M$44,""),'Energy margins'!$O$44)=0,'Energy margins'!$L$44,0))</f>
        <v>0</v>
      </c>
      <c r="K44" s="897">
        <f>IF(ISERROR(IF(MOD(IF(AND(B44&gt;='Energy margins'!$M$45,B44&lt;='Energy margins'!$N$45),B44-'Energy margins'!$M$45,""),'Energy margins'!$O$45)=0,'Energy margins'!$L$45,0)),0,IF(MOD(IF(AND(B44&gt;='Energy margins'!$M$45,B44&lt;='Energy margins'!$N$45),B44-'Energy margins'!$M$45,""),'Energy margins'!$O$45)=0,'Energy margins'!$L$45,0))</f>
        <v>0</v>
      </c>
      <c r="L44" s="897">
        <f>IF(ISERROR(IF(MOD(IF(AND(B44&gt;='Energy margins'!$M$46,B44&lt;='Energy margins'!$N$46),B44-'Energy margins'!$M$46,""),'Energy margins'!$O$46)=0,'Energy margins'!$L$46,0)),0,IF(MOD(IF(AND(B44&gt;='Energy margins'!$M$46,B44&lt;='Energy margins'!$N$46),B44-'Energy margins'!$M$46,""),'Energy margins'!$O$46)=0,'Energy margins'!$L$46,0))</f>
        <v>0</v>
      </c>
      <c r="M44" s="897">
        <f>IF(ISERROR(IF(MOD(IF(AND(B44&gt;='Energy margins'!$M$47,B44&lt;='Energy margins'!$N$47),B44-'Energy margins'!$M$47,""),'Energy margins'!$O$47)=0,'Energy margins'!$L$47,0)),0,IF(MOD(IF(AND(B44&gt;='Energy margins'!$M$47,B44&lt;='Energy margins'!$N$47),B44-'Energy margins'!$M$47,""),'Energy margins'!$O$47)=0,'Energy margins'!$L$47,0))</f>
        <v>16.07</v>
      </c>
      <c r="N44" s="897">
        <f>IF(ISERROR(IF(MOD(IF(AND(B44&gt;='Energy margins'!$M$50,B44&lt;='Energy margins'!$N$50),B44-'Energy margins'!$M$50,""),'Energy margins'!$O$50)=0,'Energy margins'!$L$50,0)),0,IF(MOD(IF(AND(B44&gt;='Energy margins'!$M$50,B44&lt;='Energy margins'!$N$50),B44-'Energy margins'!$M$50,""),'Energy margins'!$O$50)=0,'Energy margins'!$L$50,0))</f>
        <v>54.768000000000001</v>
      </c>
      <c r="O44" s="897">
        <f>IF(ISERROR(IF(MOD(IF(AND(B44&gt;='Energy margins'!$M$53,B44&lt;='Energy margins'!$N$53),B44-'Energy margins'!$M$53,""),'Energy margins'!$O$53)=0,'Energy margins'!$L$53,0)),0,IF(MOD(IF(AND(B44&gt;='Energy margins'!$M$53,B44&lt;='Energy margins'!$N$53),B44-'Energy margins'!$M$53,""),'Energy margins'!$O$53)=0,'Energy margins'!$L$53,0))</f>
        <v>8.9740000000000002</v>
      </c>
      <c r="P44" s="897">
        <f>IF(ISERROR(IF(MOD(IF(AND(B44&gt;='Energy margins'!$M$56,B44&lt;='Energy margins'!$N$56),B44-'Energy margins'!$M$56,""),'Energy margins'!$O$56)=0,'Energy margins'!$L$56,0)),0,IF(MOD(IF(AND(B44&gt;='Energy margins'!$M$56,B44&lt;='Energy margins'!$N$56),B44-'Energy margins'!$M$56,""),'Energy margins'!$O$56)=0,'Energy margins'!$L$56,0))</f>
        <v>54</v>
      </c>
      <c r="Q44" s="897">
        <f>IF(ISERROR(IF(MOD(IF(AND(B44&gt;='Energy margins'!$M$59,B44&lt;='Energy margins'!$N$59),B44-'Energy margins'!$M$59,""),'Energy margins'!$O$59)=0,'Energy margins'!$L$59,0)),0,IF(MOD(IF(AND(B44&gt;='Energy margins'!$M$59,B44&lt;='Energy margins'!$N$59),B44-'Energy margins'!$M$59,""),'Energy margins'!$O$59)=0,'Energy margins'!$L$59,0))</f>
        <v>0</v>
      </c>
      <c r="R44" s="897">
        <f>IF(ISERROR(IF(MOD(IF(AND(B44&gt;='Energy margins'!$M$60,B44&lt;='Energy margins'!$N$60),B44-'Energy margins'!$M$60,""),'Energy margins'!$O$60)=0,'Energy margins'!$L$60,0)),0,IF(MOD(IF(AND(B44&gt;='Energy margins'!$M$60,B44&lt;='Energy margins'!$N$60),B44-'Energy margins'!$M$60,""),'Energy margins'!$O$60)=0,'Energy margins'!$L$60,0))</f>
        <v>100</v>
      </c>
      <c r="S44" s="897">
        <f>IF(ISERROR(IF(MOD(IF(AND(B44&gt;='Energy margins'!$M$61,B44&lt;='Energy margins'!$N$61),B44-'Energy margins'!$M$61,""),'Energy margins'!$O$61)=0,'Energy margins'!$L$61,0)),0,IF(MOD(IF(AND(B44&gt;='Energy margins'!$M$61,B44&lt;='Energy margins'!$N$61),B44-'Energy margins'!$M$61,""),'Energy margins'!$O$61)=0,'Energy margins'!$L$61,0))</f>
        <v>0</v>
      </c>
      <c r="T44" s="897">
        <f>IF(ISERROR(IF(MOD(IF(AND(B44&gt;='Energy margins'!$M$62,B44&lt;='Energy margins'!$N$62),B44-'Energy margins'!$M$62,""),'Energy margins'!$O$62)=0,'Energy margins'!$L$62,0)),0,IF(MOD(IF(AND(B44&gt;='Energy margins'!$M$62,B44&lt;='Energy margins'!$N$62),B44-'Energy margins'!$M$62,""),'Energy margins'!$O$62)=0,'Energy margins'!$L$62,0))</f>
        <v>0</v>
      </c>
      <c r="U44" s="923">
        <f t="shared" si="17"/>
        <v>233.81200000000001</v>
      </c>
      <c r="V44" s="197"/>
      <c r="W44" s="197">
        <f t="shared" si="18"/>
        <v>233.81200000000001</v>
      </c>
      <c r="X44" s="197">
        <f t="shared" si="13"/>
        <v>455.88799999999992</v>
      </c>
      <c r="Y44" s="197">
        <f t="shared" si="14"/>
        <v>675.88799999999992</v>
      </c>
      <c r="Z44" s="952">
        <f t="shared" si="19"/>
        <v>566.88312553192475</v>
      </c>
      <c r="AA44" s="953">
        <f t="shared" si="20"/>
        <v>180.82396348705734</v>
      </c>
      <c r="AB44" s="953">
        <f t="shared" si="21"/>
        <v>192.1764206856175</v>
      </c>
      <c r="AC44" s="1019">
        <f t="shared" si="22"/>
        <v>374.70670484630728</v>
      </c>
      <c r="AD44" s="1020">
        <f t="shared" si="23"/>
        <v>555.53066833336459</v>
      </c>
      <c r="AE44" s="952">
        <f t="shared" si="28"/>
        <v>2574.5960480924091</v>
      </c>
      <c r="AF44" s="953">
        <f t="shared" si="24"/>
        <v>1199.4009128235652</v>
      </c>
      <c r="AG44" s="953">
        <f t="shared" si="25"/>
        <v>3223.8767787175484</v>
      </c>
      <c r="AH44" s="1019">
        <f t="shared" si="26"/>
        <v>-649.28073062514</v>
      </c>
      <c r="AI44" s="1020">
        <f t="shared" si="27"/>
        <v>550.12018219842537</v>
      </c>
    </row>
    <row r="45" spans="2:35" x14ac:dyDescent="0.3">
      <c r="B45" s="881">
        <v>7</v>
      </c>
      <c r="C45" s="901">
        <f>'Energy Inputs'!E36</f>
        <v>1</v>
      </c>
      <c r="D45" s="897">
        <f>C45*'Energy Inputs'!$E$24</f>
        <v>12.54</v>
      </c>
      <c r="E45" s="197">
        <f>'Energy margins'!$L$12</f>
        <v>55</v>
      </c>
      <c r="F45" s="197">
        <f t="shared" si="15"/>
        <v>689.69999999999993</v>
      </c>
      <c r="G45" s="897">
        <f>'Energy Inputs'!$D$10</f>
        <v>220</v>
      </c>
      <c r="H45" s="197">
        <f t="shared" si="16"/>
        <v>909.69999999999993</v>
      </c>
      <c r="I45" s="197"/>
      <c r="J45" s="922">
        <f>IF(ISERROR(IF(MOD(IF(AND(B45&gt;='Energy margins'!$M$44,B45&lt;='Energy margins'!$N$44),B45-'Energy margins'!$M$44,""),'Energy margins'!$O$44)=0,'Energy margins'!$L$44,0)),0,IF(MOD(IF(AND(B45&gt;='Energy margins'!$M$44,B45&lt;='Energy margins'!$N$44),B45-'Energy margins'!$M$44,""),'Energy margins'!$O$44)=0,'Energy margins'!$L$44,0))</f>
        <v>0</v>
      </c>
      <c r="K45" s="897">
        <f>IF(ISERROR(IF(MOD(IF(AND(B45&gt;='Energy margins'!$M$45,B45&lt;='Energy margins'!$N$45),B45-'Energy margins'!$M$45,""),'Energy margins'!$O$45)=0,'Energy margins'!$L$45,0)),0,IF(MOD(IF(AND(B45&gt;='Energy margins'!$M$45,B45&lt;='Energy margins'!$N$45),B45-'Energy margins'!$M$45,""),'Energy margins'!$O$45)=0,'Energy margins'!$L$45,0))</f>
        <v>0</v>
      </c>
      <c r="L45" s="897">
        <f>IF(ISERROR(IF(MOD(IF(AND(B45&gt;='Energy margins'!$M$46,B45&lt;='Energy margins'!$N$46),B45-'Energy margins'!$M$46,""),'Energy margins'!$O$46)=0,'Energy margins'!$L$46,0)),0,IF(MOD(IF(AND(B45&gt;='Energy margins'!$M$46,B45&lt;='Energy margins'!$N$46),B45-'Energy margins'!$M$46,""),'Energy margins'!$O$46)=0,'Energy margins'!$L$46,0))</f>
        <v>0</v>
      </c>
      <c r="M45" s="897">
        <f>IF(ISERROR(IF(MOD(IF(AND(B45&gt;='Energy margins'!$M$47,B45&lt;='Energy margins'!$N$47),B45-'Energy margins'!$M$47,""),'Energy margins'!$O$47)=0,'Energy margins'!$L$47,0)),0,IF(MOD(IF(AND(B45&gt;='Energy margins'!$M$47,B45&lt;='Energy margins'!$N$47),B45-'Energy margins'!$M$47,""),'Energy margins'!$O$47)=0,'Energy margins'!$L$47,0))</f>
        <v>16.07</v>
      </c>
      <c r="N45" s="897">
        <f>IF(ISERROR(IF(MOD(IF(AND(B45&gt;='Energy margins'!$M$50,B45&lt;='Energy margins'!$N$50),B45-'Energy margins'!$M$50,""),'Energy margins'!$O$50)=0,'Energy margins'!$L$50,0)),0,IF(MOD(IF(AND(B45&gt;='Energy margins'!$M$50,B45&lt;='Energy margins'!$N$50),B45-'Energy margins'!$M$50,""),'Energy margins'!$O$50)=0,'Energy margins'!$L$50,0))</f>
        <v>54.768000000000001</v>
      </c>
      <c r="O45" s="897">
        <f>IF(ISERROR(IF(MOD(IF(AND(B45&gt;='Energy margins'!$M$53,B45&lt;='Energy margins'!$N$53),B45-'Energy margins'!$M$53,""),'Energy margins'!$O$53)=0,'Energy margins'!$L$53,0)),0,IF(MOD(IF(AND(B45&gt;='Energy margins'!$M$53,B45&lt;='Energy margins'!$N$53),B45-'Energy margins'!$M$53,""),'Energy margins'!$O$53)=0,'Energy margins'!$L$53,0))</f>
        <v>8.9740000000000002</v>
      </c>
      <c r="P45" s="897">
        <f>IF(ISERROR(IF(MOD(IF(AND(B45&gt;='Energy margins'!$M$56,B45&lt;='Energy margins'!$N$56),B45-'Energy margins'!$M$56,""),'Energy margins'!$O$56)=0,'Energy margins'!$L$56,0)),0,IF(MOD(IF(AND(B45&gt;='Energy margins'!$M$56,B45&lt;='Energy margins'!$N$56),B45-'Energy margins'!$M$56,""),'Energy margins'!$O$56)=0,'Energy margins'!$L$56,0))</f>
        <v>54</v>
      </c>
      <c r="Q45" s="897">
        <f>IF(ISERROR(IF(MOD(IF(AND(B45&gt;='Energy margins'!$M$59,B45&lt;='Energy margins'!$N$59),B45-'Energy margins'!$M$59,""),'Energy margins'!$O$59)=0,'Energy margins'!$L$59,0)),0,IF(MOD(IF(AND(B45&gt;='Energy margins'!$M$59,B45&lt;='Energy margins'!$N$59),B45-'Energy margins'!$M$59,""),'Energy margins'!$O$59)=0,'Energy margins'!$L$59,0))</f>
        <v>0</v>
      </c>
      <c r="R45" s="897">
        <f>IF(ISERROR(IF(MOD(IF(AND(B45&gt;='Energy margins'!$M$60,B45&lt;='Energy margins'!$N$60),B45-'Energy margins'!$M$60,""),'Energy margins'!$O$60)=0,'Energy margins'!$L$60,0)),0,IF(MOD(IF(AND(B45&gt;='Energy margins'!$M$60,B45&lt;='Energy margins'!$N$60),B45-'Energy margins'!$M$60,""),'Energy margins'!$O$60)=0,'Energy margins'!$L$60,0))</f>
        <v>100</v>
      </c>
      <c r="S45" s="897">
        <f>IF(ISERROR(IF(MOD(IF(AND(B45&gt;='Energy margins'!$M$61,B45&lt;='Energy margins'!$N$61),B45-'Energy margins'!$M$61,""),'Energy margins'!$O$61)=0,'Energy margins'!$L$61,0)),0,IF(MOD(IF(AND(B45&gt;='Energy margins'!$M$61,B45&lt;='Energy margins'!$N$61),B45-'Energy margins'!$M$61,""),'Energy margins'!$O$61)=0,'Energy margins'!$L$61,0))</f>
        <v>0</v>
      </c>
      <c r="T45" s="897">
        <f>IF(ISERROR(IF(MOD(IF(AND(B45&gt;='Energy margins'!$M$62,B45&lt;='Energy margins'!$N$62),B45-'Energy margins'!$M$62,""),'Energy margins'!$O$62)=0,'Energy margins'!$L$62,0)),0,IF(MOD(IF(AND(B45&gt;='Energy margins'!$M$62,B45&lt;='Energy margins'!$N$62),B45-'Energy margins'!$M$62,""),'Energy margins'!$O$62)=0,'Energy margins'!$L$62,0))</f>
        <v>0</v>
      </c>
      <c r="U45" s="923">
        <f t="shared" si="17"/>
        <v>233.81200000000001</v>
      </c>
      <c r="V45" s="197"/>
      <c r="W45" s="197">
        <f t="shared" si="18"/>
        <v>233.81200000000001</v>
      </c>
      <c r="X45" s="197">
        <f t="shared" si="13"/>
        <v>455.88799999999992</v>
      </c>
      <c r="Y45" s="197">
        <f t="shared" si="14"/>
        <v>675.88799999999992</v>
      </c>
      <c r="Z45" s="952">
        <f t="shared" si="19"/>
        <v>545.07992839608141</v>
      </c>
      <c r="AA45" s="953">
        <f t="shared" si="20"/>
        <v>173.86919566063204</v>
      </c>
      <c r="AB45" s="953">
        <f t="shared" si="21"/>
        <v>184.78501989001683</v>
      </c>
      <c r="AC45" s="1019">
        <f t="shared" si="22"/>
        <v>360.29490850606459</v>
      </c>
      <c r="AD45" s="1020">
        <f t="shared" si="23"/>
        <v>534.16410416669669</v>
      </c>
      <c r="AE45" s="952">
        <f t="shared" si="28"/>
        <v>3119.6759764884905</v>
      </c>
      <c r="AF45" s="953">
        <f t="shared" si="24"/>
        <v>1373.2701084841974</v>
      </c>
      <c r="AG45" s="953">
        <f t="shared" si="25"/>
        <v>3408.6617986075653</v>
      </c>
      <c r="AH45" s="1019">
        <f t="shared" si="26"/>
        <v>-288.98582211907541</v>
      </c>
      <c r="AI45" s="1020">
        <f t="shared" si="27"/>
        <v>1084.2842863651222</v>
      </c>
    </row>
    <row r="46" spans="2:35" x14ac:dyDescent="0.3">
      <c r="B46" s="881">
        <v>8</v>
      </c>
      <c r="C46" s="901">
        <f>'Energy Inputs'!E37</f>
        <v>1</v>
      </c>
      <c r="D46" s="897">
        <f>C46*'Energy Inputs'!$E$24</f>
        <v>12.54</v>
      </c>
      <c r="E46" s="197">
        <f>'Energy margins'!$L$12</f>
        <v>55</v>
      </c>
      <c r="F46" s="197">
        <f t="shared" si="15"/>
        <v>689.69999999999993</v>
      </c>
      <c r="G46" s="897">
        <f>'Energy Inputs'!$D$10</f>
        <v>220</v>
      </c>
      <c r="H46" s="197">
        <f t="shared" si="16"/>
        <v>909.69999999999993</v>
      </c>
      <c r="I46" s="197"/>
      <c r="J46" s="922">
        <f>IF(ISERROR(IF(MOD(IF(AND(B46&gt;='Energy margins'!$M$44,B46&lt;='Energy margins'!$N$44),B46-'Energy margins'!$M$44,""),'Energy margins'!$O$44)=0,'Energy margins'!$L$44,0)),0,IF(MOD(IF(AND(B46&gt;='Energy margins'!$M$44,B46&lt;='Energy margins'!$N$44),B46-'Energy margins'!$M$44,""),'Energy margins'!$O$44)=0,'Energy margins'!$L$44,0))</f>
        <v>0</v>
      </c>
      <c r="K46" s="897">
        <f>IF(ISERROR(IF(MOD(IF(AND(B46&gt;='Energy margins'!$M$45,B46&lt;='Energy margins'!$N$45),B46-'Energy margins'!$M$45,""),'Energy margins'!$O$45)=0,'Energy margins'!$L$45,0)),0,IF(MOD(IF(AND(B46&gt;='Energy margins'!$M$45,B46&lt;='Energy margins'!$N$45),B46-'Energy margins'!$M$45,""),'Energy margins'!$O$45)=0,'Energy margins'!$L$45,0))</f>
        <v>0</v>
      </c>
      <c r="L46" s="897">
        <f>IF(ISERROR(IF(MOD(IF(AND(B46&gt;='Energy margins'!$M$46,B46&lt;='Energy margins'!$N$46),B46-'Energy margins'!$M$46,""),'Energy margins'!$O$46)=0,'Energy margins'!$L$46,0)),0,IF(MOD(IF(AND(B46&gt;='Energy margins'!$M$46,B46&lt;='Energy margins'!$N$46),B46-'Energy margins'!$M$46,""),'Energy margins'!$O$46)=0,'Energy margins'!$L$46,0))</f>
        <v>0</v>
      </c>
      <c r="M46" s="897">
        <f>IF(ISERROR(IF(MOD(IF(AND(B46&gt;='Energy margins'!$M$47,B46&lt;='Energy margins'!$N$47),B46-'Energy margins'!$M$47,""),'Energy margins'!$O$47)=0,'Energy margins'!$L$47,0)),0,IF(MOD(IF(AND(B46&gt;='Energy margins'!$M$47,B46&lt;='Energy margins'!$N$47),B46-'Energy margins'!$M$47,""),'Energy margins'!$O$47)=0,'Energy margins'!$L$47,0))</f>
        <v>16.07</v>
      </c>
      <c r="N46" s="897">
        <f>IF(ISERROR(IF(MOD(IF(AND(B46&gt;='Energy margins'!$M$50,B46&lt;='Energy margins'!$N$50),B46-'Energy margins'!$M$50,""),'Energy margins'!$O$50)=0,'Energy margins'!$L$50,0)),0,IF(MOD(IF(AND(B46&gt;='Energy margins'!$M$50,B46&lt;='Energy margins'!$N$50),B46-'Energy margins'!$M$50,""),'Energy margins'!$O$50)=0,'Energy margins'!$L$50,0))</f>
        <v>54.768000000000001</v>
      </c>
      <c r="O46" s="897">
        <f>IF(ISERROR(IF(MOD(IF(AND(B46&gt;='Energy margins'!$M$53,B46&lt;='Energy margins'!$N$53),B46-'Energy margins'!$M$53,""),'Energy margins'!$O$53)=0,'Energy margins'!$L$53,0)),0,IF(MOD(IF(AND(B46&gt;='Energy margins'!$M$53,B46&lt;='Energy margins'!$N$53),B46-'Energy margins'!$M$53,""),'Energy margins'!$O$53)=0,'Energy margins'!$L$53,0))</f>
        <v>8.9740000000000002</v>
      </c>
      <c r="P46" s="897">
        <f>IF(ISERROR(IF(MOD(IF(AND(B46&gt;='Energy margins'!$M$56,B46&lt;='Energy margins'!$N$56),B46-'Energy margins'!$M$56,""),'Energy margins'!$O$56)=0,'Energy margins'!$L$56,0)),0,IF(MOD(IF(AND(B46&gt;='Energy margins'!$M$56,B46&lt;='Energy margins'!$N$56),B46-'Energy margins'!$M$56,""),'Energy margins'!$O$56)=0,'Energy margins'!$L$56,0))</f>
        <v>54</v>
      </c>
      <c r="Q46" s="897">
        <f>IF(ISERROR(IF(MOD(IF(AND(B46&gt;='Energy margins'!$M$59,B46&lt;='Energy margins'!$N$59),B46-'Energy margins'!$M$59,""),'Energy margins'!$O$59)=0,'Energy margins'!$L$59,0)),0,IF(MOD(IF(AND(B46&gt;='Energy margins'!$M$59,B46&lt;='Energy margins'!$N$59),B46-'Energy margins'!$M$59,""),'Energy margins'!$O$59)=0,'Energy margins'!$L$59,0))</f>
        <v>0</v>
      </c>
      <c r="R46" s="897">
        <f>IF(ISERROR(IF(MOD(IF(AND(B46&gt;='Energy margins'!$M$60,B46&lt;='Energy margins'!$N$60),B46-'Energy margins'!$M$60,""),'Energy margins'!$O$60)=0,'Energy margins'!$L$60,0)),0,IF(MOD(IF(AND(B46&gt;='Energy margins'!$M$60,B46&lt;='Energy margins'!$N$60),B46-'Energy margins'!$M$60,""),'Energy margins'!$O$60)=0,'Energy margins'!$L$60,0))</f>
        <v>100</v>
      </c>
      <c r="S46" s="897">
        <f>IF(ISERROR(IF(MOD(IF(AND(B46&gt;='Energy margins'!$M$61,B46&lt;='Energy margins'!$N$61),B46-'Energy margins'!$M$61,""),'Energy margins'!$O$61)=0,'Energy margins'!$L$61,0)),0,IF(MOD(IF(AND(B46&gt;='Energy margins'!$M$61,B46&lt;='Energy margins'!$N$61),B46-'Energy margins'!$M$61,""),'Energy margins'!$O$61)=0,'Energy margins'!$L$61,0))</f>
        <v>0</v>
      </c>
      <c r="T46" s="897">
        <f>IF(ISERROR(IF(MOD(IF(AND(B46&gt;='Energy margins'!$M$62,B46&lt;='Energy margins'!$N$62),B46-'Energy margins'!$M$62,""),'Energy margins'!$O$62)=0,'Energy margins'!$L$62,0)),0,IF(MOD(IF(AND(B46&gt;='Energy margins'!$M$62,B46&lt;='Energy margins'!$N$62),B46-'Energy margins'!$M$62,""),'Energy margins'!$O$62)=0,'Energy margins'!$L$62,0))</f>
        <v>0</v>
      </c>
      <c r="U46" s="923">
        <f t="shared" si="17"/>
        <v>233.81200000000001</v>
      </c>
      <c r="V46" s="197"/>
      <c r="W46" s="197">
        <f t="shared" si="18"/>
        <v>233.81200000000001</v>
      </c>
      <c r="X46" s="197">
        <f t="shared" si="13"/>
        <v>455.88799999999992</v>
      </c>
      <c r="Y46" s="197">
        <f t="shared" si="14"/>
        <v>675.88799999999992</v>
      </c>
      <c r="Z46" s="952">
        <f t="shared" si="19"/>
        <v>524.11531576546292</v>
      </c>
      <c r="AA46" s="953">
        <f t="shared" si="20"/>
        <v>167.18191890445391</v>
      </c>
      <c r="AB46" s="953">
        <f t="shared" si="21"/>
        <v>177.67790374040084</v>
      </c>
      <c r="AC46" s="1019">
        <f t="shared" si="22"/>
        <v>346.43741202506209</v>
      </c>
      <c r="AD46" s="1020">
        <f t="shared" si="23"/>
        <v>513.61933092951597</v>
      </c>
      <c r="AE46" s="952">
        <f t="shared" si="28"/>
        <v>3643.7912922539535</v>
      </c>
      <c r="AF46" s="953">
        <f t="shared" si="24"/>
        <v>1540.4520273886512</v>
      </c>
      <c r="AG46" s="953">
        <f t="shared" si="25"/>
        <v>3586.3397023479661</v>
      </c>
      <c r="AH46" s="1019">
        <f t="shared" si="26"/>
        <v>57.45158990598668</v>
      </c>
      <c r="AI46" s="1020">
        <f t="shared" si="27"/>
        <v>1597.903617294638</v>
      </c>
    </row>
    <row r="47" spans="2:35" x14ac:dyDescent="0.3">
      <c r="B47" s="881">
        <v>9</v>
      </c>
      <c r="C47" s="901">
        <f>'Energy Inputs'!E38</f>
        <v>1</v>
      </c>
      <c r="D47" s="897">
        <f>C47*'Energy Inputs'!$E$24</f>
        <v>12.54</v>
      </c>
      <c r="E47" s="197">
        <f>'Energy margins'!$L$12</f>
        <v>55</v>
      </c>
      <c r="F47" s="197">
        <f t="shared" si="15"/>
        <v>689.69999999999993</v>
      </c>
      <c r="G47" s="897">
        <f>'Energy Inputs'!$D$10</f>
        <v>220</v>
      </c>
      <c r="H47" s="197">
        <f t="shared" si="16"/>
        <v>909.69999999999993</v>
      </c>
      <c r="I47" s="197"/>
      <c r="J47" s="922">
        <f>IF(ISERROR(IF(MOD(IF(AND(B47&gt;='Energy margins'!$M$44,B47&lt;='Energy margins'!$N$44),B47-'Energy margins'!$M$44,""),'Energy margins'!$O$44)=0,'Energy margins'!$L$44,0)),0,IF(MOD(IF(AND(B47&gt;='Energy margins'!$M$44,B47&lt;='Energy margins'!$N$44),B47-'Energy margins'!$M$44,""),'Energy margins'!$O$44)=0,'Energy margins'!$L$44,0))</f>
        <v>0</v>
      </c>
      <c r="K47" s="897">
        <f>IF(ISERROR(IF(MOD(IF(AND(B47&gt;='Energy margins'!$M$45,B47&lt;='Energy margins'!$N$45),B47-'Energy margins'!$M$45,""),'Energy margins'!$O$45)=0,'Energy margins'!$L$45,0)),0,IF(MOD(IF(AND(B47&gt;='Energy margins'!$M$45,B47&lt;='Energy margins'!$N$45),B47-'Energy margins'!$M$45,""),'Energy margins'!$O$45)=0,'Energy margins'!$L$45,0))</f>
        <v>0</v>
      </c>
      <c r="L47" s="897">
        <f>IF(ISERROR(IF(MOD(IF(AND(B47&gt;='Energy margins'!$M$46,B47&lt;='Energy margins'!$N$46),B47-'Energy margins'!$M$46,""),'Energy margins'!$O$46)=0,'Energy margins'!$L$46,0)),0,IF(MOD(IF(AND(B47&gt;='Energy margins'!$M$46,B47&lt;='Energy margins'!$N$46),B47-'Energy margins'!$M$46,""),'Energy margins'!$O$46)=0,'Energy margins'!$L$46,0))</f>
        <v>0</v>
      </c>
      <c r="M47" s="897">
        <f>IF(ISERROR(IF(MOD(IF(AND(B47&gt;='Energy margins'!$M$47,B47&lt;='Energy margins'!$N$47),B47-'Energy margins'!$M$47,""),'Energy margins'!$O$47)=0,'Energy margins'!$L$47,0)),0,IF(MOD(IF(AND(B47&gt;='Energy margins'!$M$47,B47&lt;='Energy margins'!$N$47),B47-'Energy margins'!$M$47,""),'Energy margins'!$O$47)=0,'Energy margins'!$L$47,0))</f>
        <v>16.07</v>
      </c>
      <c r="N47" s="897">
        <f>IF(ISERROR(IF(MOD(IF(AND(B47&gt;='Energy margins'!$M$50,B47&lt;='Energy margins'!$N$50),B47-'Energy margins'!$M$50,""),'Energy margins'!$O$50)=0,'Energy margins'!$L$50,0)),0,IF(MOD(IF(AND(B47&gt;='Energy margins'!$M$50,B47&lt;='Energy margins'!$N$50),B47-'Energy margins'!$M$50,""),'Energy margins'!$O$50)=0,'Energy margins'!$L$50,0))</f>
        <v>54.768000000000001</v>
      </c>
      <c r="O47" s="897">
        <f>IF(ISERROR(IF(MOD(IF(AND(B47&gt;='Energy margins'!$M$53,B47&lt;='Energy margins'!$N$53),B47-'Energy margins'!$M$53,""),'Energy margins'!$O$53)=0,'Energy margins'!$L$53,0)),0,IF(MOD(IF(AND(B47&gt;='Energy margins'!$M$53,B47&lt;='Energy margins'!$N$53),B47-'Energy margins'!$M$53,""),'Energy margins'!$O$53)=0,'Energy margins'!$L$53,0))</f>
        <v>8.9740000000000002</v>
      </c>
      <c r="P47" s="897">
        <f>IF(ISERROR(IF(MOD(IF(AND(B47&gt;='Energy margins'!$M$56,B47&lt;='Energy margins'!$N$56),B47-'Energy margins'!$M$56,""),'Energy margins'!$O$56)=0,'Energy margins'!$L$56,0)),0,IF(MOD(IF(AND(B47&gt;='Energy margins'!$M$56,B47&lt;='Energy margins'!$N$56),B47-'Energy margins'!$M$56,""),'Energy margins'!$O$56)=0,'Energy margins'!$L$56,0))</f>
        <v>54</v>
      </c>
      <c r="Q47" s="897">
        <f>IF(ISERROR(IF(MOD(IF(AND(B47&gt;='Energy margins'!$M$59,B47&lt;='Energy margins'!$N$59),B47-'Energy margins'!$M$59,""),'Energy margins'!$O$59)=0,'Energy margins'!$L$59,0)),0,IF(MOD(IF(AND(B47&gt;='Energy margins'!$M$59,B47&lt;='Energy margins'!$N$59),B47-'Energy margins'!$M$59,""),'Energy margins'!$O$59)=0,'Energy margins'!$L$59,0))</f>
        <v>0</v>
      </c>
      <c r="R47" s="897">
        <f>IF(ISERROR(IF(MOD(IF(AND(B47&gt;='Energy margins'!$M$60,B47&lt;='Energy margins'!$N$60),B47-'Energy margins'!$M$60,""),'Energy margins'!$O$60)=0,'Energy margins'!$L$60,0)),0,IF(MOD(IF(AND(B47&gt;='Energy margins'!$M$60,B47&lt;='Energy margins'!$N$60),B47-'Energy margins'!$M$60,""),'Energy margins'!$O$60)=0,'Energy margins'!$L$60,0))</f>
        <v>100</v>
      </c>
      <c r="S47" s="897">
        <f>IF(ISERROR(IF(MOD(IF(AND(B47&gt;='Energy margins'!$M$61,B47&lt;='Energy margins'!$N$61),B47-'Energy margins'!$M$61,""),'Energy margins'!$O$61)=0,'Energy margins'!$L$61,0)),0,IF(MOD(IF(AND(B47&gt;='Energy margins'!$M$61,B47&lt;='Energy margins'!$N$61),B47-'Energy margins'!$M$61,""),'Energy margins'!$O$61)=0,'Energy margins'!$L$61,0))</f>
        <v>0</v>
      </c>
      <c r="T47" s="897">
        <f>IF(ISERROR(IF(MOD(IF(AND(B47&gt;='Energy margins'!$M$62,B47&lt;='Energy margins'!$N$62),B47-'Energy margins'!$M$62,""),'Energy margins'!$O$62)=0,'Energy margins'!$L$62,0)),0,IF(MOD(IF(AND(B47&gt;='Energy margins'!$M$62,B47&lt;='Energy margins'!$N$62),B47-'Energy margins'!$M$62,""),'Energy margins'!$O$62)=0,'Energy margins'!$L$62,0))</f>
        <v>0</v>
      </c>
      <c r="U47" s="923">
        <f t="shared" si="17"/>
        <v>233.81200000000001</v>
      </c>
      <c r="V47" s="197"/>
      <c r="W47" s="197">
        <f t="shared" si="18"/>
        <v>233.81200000000001</v>
      </c>
      <c r="X47" s="197">
        <f t="shared" si="13"/>
        <v>455.88799999999992</v>
      </c>
      <c r="Y47" s="197">
        <f t="shared" si="14"/>
        <v>675.88799999999992</v>
      </c>
      <c r="Z47" s="952">
        <f t="shared" si="19"/>
        <v>503.95703438986817</v>
      </c>
      <c r="AA47" s="953">
        <f t="shared" si="20"/>
        <v>160.75184510043644</v>
      </c>
      <c r="AB47" s="953">
        <f t="shared" si="21"/>
        <v>170.84413821192385</v>
      </c>
      <c r="AC47" s="1019">
        <f t="shared" si="22"/>
        <v>333.11289617794432</v>
      </c>
      <c r="AD47" s="1020">
        <f t="shared" si="23"/>
        <v>493.86474127838073</v>
      </c>
      <c r="AE47" s="952">
        <f t="shared" si="28"/>
        <v>4147.7483266438221</v>
      </c>
      <c r="AF47" s="953">
        <f t="shared" si="24"/>
        <v>1701.2038724890876</v>
      </c>
      <c r="AG47" s="953">
        <f t="shared" si="25"/>
        <v>3757.1838405598901</v>
      </c>
      <c r="AH47" s="1019">
        <f t="shared" si="26"/>
        <v>390.564486083931</v>
      </c>
      <c r="AI47" s="1020">
        <f t="shared" si="27"/>
        <v>2091.7683585730188</v>
      </c>
    </row>
    <row r="48" spans="2:35" x14ac:dyDescent="0.3">
      <c r="B48" s="881">
        <v>10</v>
      </c>
      <c r="C48" s="901">
        <f>'Energy Inputs'!E39</f>
        <v>1</v>
      </c>
      <c r="D48" s="897">
        <f>C48*'Energy Inputs'!$E$24</f>
        <v>12.54</v>
      </c>
      <c r="E48" s="197">
        <f>'Energy margins'!$L$12</f>
        <v>55</v>
      </c>
      <c r="F48" s="197">
        <f t="shared" si="15"/>
        <v>689.69999999999993</v>
      </c>
      <c r="G48" s="897">
        <f>'Energy Inputs'!$D$10</f>
        <v>220</v>
      </c>
      <c r="H48" s="197">
        <f t="shared" si="16"/>
        <v>909.69999999999993</v>
      </c>
      <c r="I48" s="197"/>
      <c r="J48" s="922">
        <f>IF(ISERROR(IF(MOD(IF(AND(B48&gt;='Energy margins'!$M$44,B48&lt;='Energy margins'!$N$44),B48-'Energy margins'!$M$44,""),'Energy margins'!$O$44)=0,'Energy margins'!$L$44,0)),0,IF(MOD(IF(AND(B48&gt;='Energy margins'!$M$44,B48&lt;='Energy margins'!$N$44),B48-'Energy margins'!$M$44,""),'Energy margins'!$O$44)=0,'Energy margins'!$L$44,0))</f>
        <v>0</v>
      </c>
      <c r="K48" s="897">
        <f>IF(ISERROR(IF(MOD(IF(AND(B48&gt;='Energy margins'!$M$45,B48&lt;='Energy margins'!$N$45),B48-'Energy margins'!$M$45,""),'Energy margins'!$O$45)=0,'Energy margins'!$L$45,0)),0,IF(MOD(IF(AND(B48&gt;='Energy margins'!$M$45,B48&lt;='Energy margins'!$N$45),B48-'Energy margins'!$M$45,""),'Energy margins'!$O$45)=0,'Energy margins'!$L$45,0))</f>
        <v>0</v>
      </c>
      <c r="L48" s="897">
        <f>IF(ISERROR(IF(MOD(IF(AND(B48&gt;='Energy margins'!$M$46,B48&lt;='Energy margins'!$N$46),B48-'Energy margins'!$M$46,""),'Energy margins'!$O$46)=0,'Energy margins'!$L$46,0)),0,IF(MOD(IF(AND(B48&gt;='Energy margins'!$M$46,B48&lt;='Energy margins'!$N$46),B48-'Energy margins'!$M$46,""),'Energy margins'!$O$46)=0,'Energy margins'!$L$46,0))</f>
        <v>0</v>
      </c>
      <c r="M48" s="897">
        <f>IF(ISERROR(IF(MOD(IF(AND(B48&gt;='Energy margins'!$M$47,B48&lt;='Energy margins'!$N$47),B48-'Energy margins'!$M$47,""),'Energy margins'!$O$47)=0,'Energy margins'!$L$47,0)),0,IF(MOD(IF(AND(B48&gt;='Energy margins'!$M$47,B48&lt;='Energy margins'!$N$47),B48-'Energy margins'!$M$47,""),'Energy margins'!$O$47)=0,'Energy margins'!$L$47,0))</f>
        <v>16.07</v>
      </c>
      <c r="N48" s="897">
        <f>IF(ISERROR(IF(MOD(IF(AND(B48&gt;='Energy margins'!$M$50,B48&lt;='Energy margins'!$N$50),B48-'Energy margins'!$M$50,""),'Energy margins'!$O$50)=0,'Energy margins'!$L$50,0)),0,IF(MOD(IF(AND(B48&gt;='Energy margins'!$M$50,B48&lt;='Energy margins'!$N$50),B48-'Energy margins'!$M$50,""),'Energy margins'!$O$50)=0,'Energy margins'!$L$50,0))</f>
        <v>54.768000000000001</v>
      </c>
      <c r="O48" s="897">
        <f>IF(ISERROR(IF(MOD(IF(AND(B48&gt;='Energy margins'!$M$53,B48&lt;='Energy margins'!$N$53),B48-'Energy margins'!$M$53,""),'Energy margins'!$O$53)=0,'Energy margins'!$L$53,0)),0,IF(MOD(IF(AND(B48&gt;='Energy margins'!$M$53,B48&lt;='Energy margins'!$N$53),B48-'Energy margins'!$M$53,""),'Energy margins'!$O$53)=0,'Energy margins'!$L$53,0))</f>
        <v>8.9740000000000002</v>
      </c>
      <c r="P48" s="897">
        <f>IF(ISERROR(IF(MOD(IF(AND(B48&gt;='Energy margins'!$M$56,B48&lt;='Energy margins'!$N$56),B48-'Energy margins'!$M$56,""),'Energy margins'!$O$56)=0,'Energy margins'!$L$56,0)),0,IF(MOD(IF(AND(B48&gt;='Energy margins'!$M$56,B48&lt;='Energy margins'!$N$56),B48-'Energy margins'!$M$56,""),'Energy margins'!$O$56)=0,'Energy margins'!$L$56,0))</f>
        <v>54</v>
      </c>
      <c r="Q48" s="897">
        <f>IF(ISERROR(IF(MOD(IF(AND(B48&gt;='Energy margins'!$M$59,B48&lt;='Energy margins'!$N$59),B48-'Energy margins'!$M$59,""),'Energy margins'!$O$59)=0,'Energy margins'!$L$59,0)),0,IF(MOD(IF(AND(B48&gt;='Energy margins'!$M$59,B48&lt;='Energy margins'!$N$59),B48-'Energy margins'!$M$59,""),'Energy margins'!$O$59)=0,'Energy margins'!$L$59,0))</f>
        <v>0</v>
      </c>
      <c r="R48" s="897">
        <f>IF(ISERROR(IF(MOD(IF(AND(B48&gt;='Energy margins'!$M$60,B48&lt;='Energy margins'!$N$60),B48-'Energy margins'!$M$60,""),'Energy margins'!$O$60)=0,'Energy margins'!$L$60,0)),0,IF(MOD(IF(AND(B48&gt;='Energy margins'!$M$60,B48&lt;='Energy margins'!$N$60),B48-'Energy margins'!$M$60,""),'Energy margins'!$O$60)=0,'Energy margins'!$L$60,0))</f>
        <v>100</v>
      </c>
      <c r="S48" s="897">
        <f>IF(ISERROR(IF(MOD(IF(AND(B48&gt;='Energy margins'!$M$61,B48&lt;='Energy margins'!$N$61),B48-'Energy margins'!$M$61,""),'Energy margins'!$O$61)=0,'Energy margins'!$L$61,0)),0,IF(MOD(IF(AND(B48&gt;='Energy margins'!$M$61,B48&lt;='Energy margins'!$N$61),B48-'Energy margins'!$M$61,""),'Energy margins'!$O$61)=0,'Energy margins'!$L$61,0))</f>
        <v>0</v>
      </c>
      <c r="T48" s="897">
        <f>IF(ISERROR(IF(MOD(IF(AND(B48&gt;='Energy margins'!$M$62,B48&lt;='Energy margins'!$N$62),B48-'Energy margins'!$M$62,""),'Energy margins'!$O$62)=0,'Energy margins'!$L$62,0)),0,IF(MOD(IF(AND(B48&gt;='Energy margins'!$M$62,B48&lt;='Energy margins'!$N$62),B48-'Energy margins'!$M$62,""),'Energy margins'!$O$62)=0,'Energy margins'!$L$62,0))</f>
        <v>0</v>
      </c>
      <c r="U48" s="923">
        <f t="shared" si="17"/>
        <v>233.81200000000001</v>
      </c>
      <c r="V48" s="197"/>
      <c r="W48" s="197">
        <f t="shared" si="18"/>
        <v>233.81200000000001</v>
      </c>
      <c r="X48" s="197">
        <f t="shared" si="13"/>
        <v>455.88799999999992</v>
      </c>
      <c r="Y48" s="197">
        <f t="shared" si="14"/>
        <v>675.88799999999992</v>
      </c>
      <c r="Z48" s="952">
        <f t="shared" si="19"/>
        <v>484.57407152871934</v>
      </c>
      <c r="AA48" s="953">
        <f t="shared" si="20"/>
        <v>154.5690818273427</v>
      </c>
      <c r="AB48" s="953">
        <f t="shared" si="21"/>
        <v>164.27320981915753</v>
      </c>
      <c r="AC48" s="1019">
        <f t="shared" si="22"/>
        <v>320.30086170956179</v>
      </c>
      <c r="AD48" s="1020">
        <f t="shared" si="23"/>
        <v>474.86994353690449</v>
      </c>
      <c r="AE48" s="952">
        <f t="shared" si="28"/>
        <v>4632.3223981725414</v>
      </c>
      <c r="AF48" s="953">
        <f t="shared" si="24"/>
        <v>1855.7729543164303</v>
      </c>
      <c r="AG48" s="953">
        <f t="shared" si="25"/>
        <v>3921.4570503790478</v>
      </c>
      <c r="AH48" s="1019">
        <f t="shared" si="26"/>
        <v>710.86534779349279</v>
      </c>
      <c r="AI48" s="1020">
        <f t="shared" si="27"/>
        <v>2566.6383021099232</v>
      </c>
    </row>
    <row r="49" spans="2:35" x14ac:dyDescent="0.3">
      <c r="B49" s="881">
        <v>11</v>
      </c>
      <c r="C49" s="901">
        <f>'Energy Inputs'!E40</f>
        <v>1</v>
      </c>
      <c r="D49" s="897">
        <f>C49*'Energy Inputs'!$E$24</f>
        <v>12.54</v>
      </c>
      <c r="E49" s="197">
        <f>'Energy margins'!$L$12</f>
        <v>55</v>
      </c>
      <c r="F49" s="197">
        <f t="shared" si="15"/>
        <v>689.69999999999993</v>
      </c>
      <c r="G49" s="897">
        <f>'Energy Inputs'!$D$10</f>
        <v>220</v>
      </c>
      <c r="H49" s="197">
        <f t="shared" si="16"/>
        <v>909.69999999999993</v>
      </c>
      <c r="I49" s="197"/>
      <c r="J49" s="922">
        <f>IF(ISERROR(IF(MOD(IF(AND(B49&gt;='Energy margins'!$M$44,B49&lt;='Energy margins'!$N$44),B49-'Energy margins'!$M$44,""),'Energy margins'!$O$44)=0,'Energy margins'!$L$44,0)),0,IF(MOD(IF(AND(B49&gt;='Energy margins'!$M$44,B49&lt;='Energy margins'!$N$44),B49-'Energy margins'!$M$44,""),'Energy margins'!$O$44)=0,'Energy margins'!$L$44,0))</f>
        <v>0</v>
      </c>
      <c r="K49" s="897">
        <f>IF(ISERROR(IF(MOD(IF(AND(B49&gt;='Energy margins'!$M$45,B49&lt;='Energy margins'!$N$45),B49-'Energy margins'!$M$45,""),'Energy margins'!$O$45)=0,'Energy margins'!$L$45,0)),0,IF(MOD(IF(AND(B49&gt;='Energy margins'!$M$45,B49&lt;='Energy margins'!$N$45),B49-'Energy margins'!$M$45,""),'Energy margins'!$O$45)=0,'Energy margins'!$L$45,0))</f>
        <v>0</v>
      </c>
      <c r="L49" s="897">
        <f>IF(ISERROR(IF(MOD(IF(AND(B49&gt;='Energy margins'!$M$46,B49&lt;='Energy margins'!$N$46),B49-'Energy margins'!$M$46,""),'Energy margins'!$O$46)=0,'Energy margins'!$L$46,0)),0,IF(MOD(IF(AND(B49&gt;='Energy margins'!$M$46,B49&lt;='Energy margins'!$N$46),B49-'Energy margins'!$M$46,""),'Energy margins'!$O$46)=0,'Energy margins'!$L$46,0))</f>
        <v>0</v>
      </c>
      <c r="M49" s="897">
        <f>IF(ISERROR(IF(MOD(IF(AND(B49&gt;='Energy margins'!$M$47,B49&lt;='Energy margins'!$N$47),B49-'Energy margins'!$M$47,""),'Energy margins'!$O$47)=0,'Energy margins'!$L$47,0)),0,IF(MOD(IF(AND(B49&gt;='Energy margins'!$M$47,B49&lt;='Energy margins'!$N$47),B49-'Energy margins'!$M$47,""),'Energy margins'!$O$47)=0,'Energy margins'!$L$47,0))</f>
        <v>16.07</v>
      </c>
      <c r="N49" s="897">
        <f>IF(ISERROR(IF(MOD(IF(AND(B49&gt;='Energy margins'!$M$50,B49&lt;='Energy margins'!$N$50),B49-'Energy margins'!$M$50,""),'Energy margins'!$O$50)=0,'Energy margins'!$L$50,0)),0,IF(MOD(IF(AND(B49&gt;='Energy margins'!$M$50,B49&lt;='Energy margins'!$N$50),B49-'Energy margins'!$M$50,""),'Energy margins'!$O$50)=0,'Energy margins'!$L$50,0))</f>
        <v>54.768000000000001</v>
      </c>
      <c r="O49" s="897">
        <f>IF(ISERROR(IF(MOD(IF(AND(B49&gt;='Energy margins'!$M$53,B49&lt;='Energy margins'!$N$53),B49-'Energy margins'!$M$53,""),'Energy margins'!$O$53)=0,'Energy margins'!$L$53,0)),0,IF(MOD(IF(AND(B49&gt;='Energy margins'!$M$53,B49&lt;='Energy margins'!$N$53),B49-'Energy margins'!$M$53,""),'Energy margins'!$O$53)=0,'Energy margins'!$L$53,0))</f>
        <v>8.9740000000000002</v>
      </c>
      <c r="P49" s="897">
        <f>IF(ISERROR(IF(MOD(IF(AND(B49&gt;='Energy margins'!$M$56,B49&lt;='Energy margins'!$N$56),B49-'Energy margins'!$M$56,""),'Energy margins'!$O$56)=0,'Energy margins'!$L$56,0)),0,IF(MOD(IF(AND(B49&gt;='Energy margins'!$M$56,B49&lt;='Energy margins'!$N$56),B49-'Energy margins'!$M$56,""),'Energy margins'!$O$56)=0,'Energy margins'!$L$56,0))</f>
        <v>54</v>
      </c>
      <c r="Q49" s="897">
        <f>IF(ISERROR(IF(MOD(IF(AND(B49&gt;='Energy margins'!$M$59,B49&lt;='Energy margins'!$N$59),B49-'Energy margins'!$M$59,""),'Energy margins'!$O$59)=0,'Energy margins'!$L$59,0)),0,IF(MOD(IF(AND(B49&gt;='Energy margins'!$M$59,B49&lt;='Energy margins'!$N$59),B49-'Energy margins'!$M$59,""),'Energy margins'!$O$59)=0,'Energy margins'!$L$59,0))</f>
        <v>0</v>
      </c>
      <c r="R49" s="897">
        <f>IF(ISERROR(IF(MOD(IF(AND(B49&gt;='Energy margins'!$M$60,B49&lt;='Energy margins'!$N$60),B49-'Energy margins'!$M$60,""),'Energy margins'!$O$60)=0,'Energy margins'!$L$60,0)),0,IF(MOD(IF(AND(B49&gt;='Energy margins'!$M$60,B49&lt;='Energy margins'!$N$60),B49-'Energy margins'!$M$60,""),'Energy margins'!$O$60)=0,'Energy margins'!$L$60,0))</f>
        <v>100</v>
      </c>
      <c r="S49" s="897">
        <f>IF(ISERROR(IF(MOD(IF(AND(B49&gt;='Energy margins'!$M$61,B49&lt;='Energy margins'!$N$61),B49-'Energy margins'!$M$61,""),'Energy margins'!$O$61)=0,'Energy margins'!$L$61,0)),0,IF(MOD(IF(AND(B49&gt;='Energy margins'!$M$61,B49&lt;='Energy margins'!$N$61),B49-'Energy margins'!$M$61,""),'Energy margins'!$O$61)=0,'Energy margins'!$L$61,0))</f>
        <v>0</v>
      </c>
      <c r="T49" s="897">
        <f>IF(ISERROR(IF(MOD(IF(AND(B49&gt;='Energy margins'!$M$62,B49&lt;='Energy margins'!$N$62),B49-'Energy margins'!$M$62,""),'Energy margins'!$O$62)=0,'Energy margins'!$L$62,0)),0,IF(MOD(IF(AND(B49&gt;='Energy margins'!$M$62,B49&lt;='Energy margins'!$N$62),B49-'Energy margins'!$M$62,""),'Energy margins'!$O$62)=0,'Energy margins'!$L$62,0))</f>
        <v>0</v>
      </c>
      <c r="U49" s="923">
        <f t="shared" si="17"/>
        <v>233.81200000000001</v>
      </c>
      <c r="V49" s="197"/>
      <c r="W49" s="197">
        <f t="shared" si="18"/>
        <v>233.81200000000001</v>
      </c>
      <c r="X49" s="197">
        <f t="shared" si="13"/>
        <v>455.88799999999992</v>
      </c>
      <c r="Y49" s="197">
        <f t="shared" si="14"/>
        <v>675.88799999999992</v>
      </c>
      <c r="Z49" s="952">
        <f t="shared" si="19"/>
        <v>465.9366072391532</v>
      </c>
      <c r="AA49" s="953">
        <f t="shared" si="20"/>
        <v>148.62411714167567</v>
      </c>
      <c r="AB49" s="953">
        <f t="shared" si="21"/>
        <v>157.95500944149762</v>
      </c>
      <c r="AC49" s="1019">
        <f t="shared" si="22"/>
        <v>307.98159779765558</v>
      </c>
      <c r="AD49" s="1020">
        <f t="shared" si="23"/>
        <v>456.60571493933128</v>
      </c>
      <c r="AE49" s="952">
        <f t="shared" si="28"/>
        <v>5098.2590054116945</v>
      </c>
      <c r="AF49" s="953">
        <f t="shared" si="24"/>
        <v>2004.397071458106</v>
      </c>
      <c r="AG49" s="953">
        <f t="shared" si="25"/>
        <v>4079.4120598205454</v>
      </c>
      <c r="AH49" s="1019">
        <f t="shared" si="26"/>
        <v>1018.8469455911484</v>
      </c>
      <c r="AI49" s="1020">
        <f t="shared" si="27"/>
        <v>3023.2440170492546</v>
      </c>
    </row>
    <row r="50" spans="2:35" x14ac:dyDescent="0.3">
      <c r="B50" s="881">
        <v>12</v>
      </c>
      <c r="C50" s="901">
        <f>'Energy Inputs'!E41</f>
        <v>1</v>
      </c>
      <c r="D50" s="897">
        <f>C50*'Energy Inputs'!$E$24</f>
        <v>12.54</v>
      </c>
      <c r="E50" s="197">
        <f>'Energy margins'!$L$12</f>
        <v>55</v>
      </c>
      <c r="F50" s="197">
        <f t="shared" si="15"/>
        <v>689.69999999999993</v>
      </c>
      <c r="G50" s="897">
        <f>'Energy Inputs'!$D$10</f>
        <v>220</v>
      </c>
      <c r="H50" s="197">
        <f t="shared" si="16"/>
        <v>909.69999999999993</v>
      </c>
      <c r="I50" s="197"/>
      <c r="J50" s="922">
        <f>IF(ISERROR(IF(MOD(IF(AND(B50&gt;='Energy margins'!$M$44,B50&lt;='Energy margins'!$N$44),B50-'Energy margins'!$M$44,""),'Energy margins'!$O$44)=0,'Energy margins'!$L$44,0)),0,IF(MOD(IF(AND(B50&gt;='Energy margins'!$M$44,B50&lt;='Energy margins'!$N$44),B50-'Energy margins'!$M$44,""),'Energy margins'!$O$44)=0,'Energy margins'!$L$44,0))</f>
        <v>0</v>
      </c>
      <c r="K50" s="897">
        <f>IF(ISERROR(IF(MOD(IF(AND(B50&gt;='Energy margins'!$M$45,B50&lt;='Energy margins'!$N$45),B50-'Energy margins'!$M$45,""),'Energy margins'!$O$45)=0,'Energy margins'!$L$45,0)),0,IF(MOD(IF(AND(B50&gt;='Energy margins'!$M$45,B50&lt;='Energy margins'!$N$45),B50-'Energy margins'!$M$45,""),'Energy margins'!$O$45)=0,'Energy margins'!$L$45,0))</f>
        <v>0</v>
      </c>
      <c r="L50" s="897">
        <f>IF(ISERROR(IF(MOD(IF(AND(B50&gt;='Energy margins'!$M$46,B50&lt;='Energy margins'!$N$46),B50-'Energy margins'!$M$46,""),'Energy margins'!$O$46)=0,'Energy margins'!$L$46,0)),0,IF(MOD(IF(AND(B50&gt;='Energy margins'!$M$46,B50&lt;='Energy margins'!$N$46),B50-'Energy margins'!$M$46,""),'Energy margins'!$O$46)=0,'Energy margins'!$L$46,0))</f>
        <v>0</v>
      </c>
      <c r="M50" s="897">
        <f>IF(ISERROR(IF(MOD(IF(AND(B50&gt;='Energy margins'!$M$47,B50&lt;='Energy margins'!$N$47),B50-'Energy margins'!$M$47,""),'Energy margins'!$O$47)=0,'Energy margins'!$L$47,0)),0,IF(MOD(IF(AND(B50&gt;='Energy margins'!$M$47,B50&lt;='Energy margins'!$N$47),B50-'Energy margins'!$M$47,""),'Energy margins'!$O$47)=0,'Energy margins'!$L$47,0))</f>
        <v>16.07</v>
      </c>
      <c r="N50" s="897">
        <f>IF(ISERROR(IF(MOD(IF(AND(B50&gt;='Energy margins'!$M$50,B50&lt;='Energy margins'!$N$50),B50-'Energy margins'!$M$50,""),'Energy margins'!$O$50)=0,'Energy margins'!$L$50,0)),0,IF(MOD(IF(AND(B50&gt;='Energy margins'!$M$50,B50&lt;='Energy margins'!$N$50),B50-'Energy margins'!$M$50,""),'Energy margins'!$O$50)=0,'Energy margins'!$L$50,0))</f>
        <v>54.768000000000001</v>
      </c>
      <c r="O50" s="897">
        <f>IF(ISERROR(IF(MOD(IF(AND(B50&gt;='Energy margins'!$M$53,B50&lt;='Energy margins'!$N$53),B50-'Energy margins'!$M$53,""),'Energy margins'!$O$53)=0,'Energy margins'!$L$53,0)),0,IF(MOD(IF(AND(B50&gt;='Energy margins'!$M$53,B50&lt;='Energy margins'!$N$53),B50-'Energy margins'!$M$53,""),'Energy margins'!$O$53)=0,'Energy margins'!$L$53,0))</f>
        <v>8.9740000000000002</v>
      </c>
      <c r="P50" s="897">
        <f>IF(ISERROR(IF(MOD(IF(AND(B50&gt;='Energy margins'!$M$56,B50&lt;='Energy margins'!$N$56),B50-'Energy margins'!$M$56,""),'Energy margins'!$O$56)=0,'Energy margins'!$L$56,0)),0,IF(MOD(IF(AND(B50&gt;='Energy margins'!$M$56,B50&lt;='Energy margins'!$N$56),B50-'Energy margins'!$M$56,""),'Energy margins'!$O$56)=0,'Energy margins'!$L$56,0))</f>
        <v>54</v>
      </c>
      <c r="Q50" s="897">
        <f>IF(ISERROR(IF(MOD(IF(AND(B50&gt;='Energy margins'!$M$59,B50&lt;='Energy margins'!$N$59),B50-'Energy margins'!$M$59,""),'Energy margins'!$O$59)=0,'Energy margins'!$L$59,0)),0,IF(MOD(IF(AND(B50&gt;='Energy margins'!$M$59,B50&lt;='Energy margins'!$N$59),B50-'Energy margins'!$M$59,""),'Energy margins'!$O$59)=0,'Energy margins'!$L$59,0))</f>
        <v>0</v>
      </c>
      <c r="R50" s="897">
        <f>IF(ISERROR(IF(MOD(IF(AND(B50&gt;='Energy margins'!$M$60,B50&lt;='Energy margins'!$N$60),B50-'Energy margins'!$M$60,""),'Energy margins'!$O$60)=0,'Energy margins'!$L$60,0)),0,IF(MOD(IF(AND(B50&gt;='Energy margins'!$M$60,B50&lt;='Energy margins'!$N$60),B50-'Energy margins'!$M$60,""),'Energy margins'!$O$60)=0,'Energy margins'!$L$60,0))</f>
        <v>100</v>
      </c>
      <c r="S50" s="897">
        <f>IF(ISERROR(IF(MOD(IF(AND(B50&gt;='Energy margins'!$M$61,B50&lt;='Energy margins'!$N$61),B50-'Energy margins'!$M$61,""),'Energy margins'!$O$61)=0,'Energy margins'!$L$61,0)),0,IF(MOD(IF(AND(B50&gt;='Energy margins'!$M$61,B50&lt;='Energy margins'!$N$61),B50-'Energy margins'!$M$61,""),'Energy margins'!$O$61)=0,'Energy margins'!$L$61,0))</f>
        <v>0</v>
      </c>
      <c r="T50" s="897">
        <f>IF(ISERROR(IF(MOD(IF(AND(B50&gt;='Energy margins'!$M$62,B50&lt;='Energy margins'!$N$62),B50-'Energy margins'!$M$62,""),'Energy margins'!$O$62)=0,'Energy margins'!$L$62,0)),0,IF(MOD(IF(AND(B50&gt;='Energy margins'!$M$62,B50&lt;='Energy margins'!$N$62),B50-'Energy margins'!$M$62,""),'Energy margins'!$O$62)=0,'Energy margins'!$L$62,0))</f>
        <v>0</v>
      </c>
      <c r="U50" s="923">
        <f t="shared" si="17"/>
        <v>233.81200000000001</v>
      </c>
      <c r="V50" s="197"/>
      <c r="W50" s="197">
        <f t="shared" si="18"/>
        <v>233.81200000000001</v>
      </c>
      <c r="X50" s="197">
        <f t="shared" si="13"/>
        <v>455.88799999999992</v>
      </c>
      <c r="Y50" s="197">
        <f t="shared" si="14"/>
        <v>675.88799999999992</v>
      </c>
      <c r="Z50" s="952">
        <f t="shared" si="19"/>
        <v>448.01596849918582</v>
      </c>
      <c r="AA50" s="953">
        <f t="shared" si="20"/>
        <v>142.90780494391893</v>
      </c>
      <c r="AB50" s="953">
        <f t="shared" si="21"/>
        <v>151.8798167706708</v>
      </c>
      <c r="AC50" s="1019">
        <f t="shared" si="22"/>
        <v>296.13615172851502</v>
      </c>
      <c r="AD50" s="1020">
        <f t="shared" si="23"/>
        <v>439.04395667243398</v>
      </c>
      <c r="AE50" s="952">
        <f t="shared" si="28"/>
        <v>5546.2749739108804</v>
      </c>
      <c r="AF50" s="953">
        <f t="shared" si="24"/>
        <v>2147.304876402025</v>
      </c>
      <c r="AG50" s="953">
        <f t="shared" si="25"/>
        <v>4231.2918765912164</v>
      </c>
      <c r="AH50" s="1019">
        <f t="shared" si="26"/>
        <v>1314.9830973196633</v>
      </c>
      <c r="AI50" s="1020">
        <f t="shared" si="27"/>
        <v>3462.2879737216886</v>
      </c>
    </row>
    <row r="51" spans="2:35" x14ac:dyDescent="0.3">
      <c r="B51" s="881">
        <v>13</v>
      </c>
      <c r="C51" s="901">
        <f>'Energy Inputs'!E42</f>
        <v>1</v>
      </c>
      <c r="D51" s="897">
        <f>C51*'Energy Inputs'!$E$24</f>
        <v>12.54</v>
      </c>
      <c r="E51" s="197">
        <f>'Energy margins'!$L$12</f>
        <v>55</v>
      </c>
      <c r="F51" s="197">
        <f t="shared" si="15"/>
        <v>689.69999999999993</v>
      </c>
      <c r="G51" s="897">
        <f>'Energy Inputs'!$D$10</f>
        <v>220</v>
      </c>
      <c r="H51" s="197">
        <f t="shared" si="16"/>
        <v>909.69999999999993</v>
      </c>
      <c r="I51" s="197"/>
      <c r="J51" s="922">
        <f>IF(ISERROR(IF(MOD(IF(AND(B51&gt;='Energy margins'!$M$44,B51&lt;='Energy margins'!$N$44),B51-'Energy margins'!$M$44,""),'Energy margins'!$O$44)=0,'Energy margins'!$L$44,0)),0,IF(MOD(IF(AND(B51&gt;='Energy margins'!$M$44,B51&lt;='Energy margins'!$N$44),B51-'Energy margins'!$M$44,""),'Energy margins'!$O$44)=0,'Energy margins'!$L$44,0))</f>
        <v>0</v>
      </c>
      <c r="K51" s="897">
        <f>IF(ISERROR(IF(MOD(IF(AND(B51&gt;='Energy margins'!$M$45,B51&lt;='Energy margins'!$N$45),B51-'Energy margins'!$M$45,""),'Energy margins'!$O$45)=0,'Energy margins'!$L$45,0)),0,IF(MOD(IF(AND(B51&gt;='Energy margins'!$M$45,B51&lt;='Energy margins'!$N$45),B51-'Energy margins'!$M$45,""),'Energy margins'!$O$45)=0,'Energy margins'!$L$45,0))</f>
        <v>0</v>
      </c>
      <c r="L51" s="897">
        <f>IF(ISERROR(IF(MOD(IF(AND(B51&gt;='Energy margins'!$M$46,B51&lt;='Energy margins'!$N$46),B51-'Energy margins'!$M$46,""),'Energy margins'!$O$46)=0,'Energy margins'!$L$46,0)),0,IF(MOD(IF(AND(B51&gt;='Energy margins'!$M$46,B51&lt;='Energy margins'!$N$46),B51-'Energy margins'!$M$46,""),'Energy margins'!$O$46)=0,'Energy margins'!$L$46,0))</f>
        <v>0</v>
      </c>
      <c r="M51" s="897">
        <f>IF(ISERROR(IF(MOD(IF(AND(B51&gt;='Energy margins'!$M$47,B51&lt;='Energy margins'!$N$47),B51-'Energy margins'!$M$47,""),'Energy margins'!$O$47)=0,'Energy margins'!$L$47,0)),0,IF(MOD(IF(AND(B51&gt;='Energy margins'!$M$47,B51&lt;='Energy margins'!$N$47),B51-'Energy margins'!$M$47,""),'Energy margins'!$O$47)=0,'Energy margins'!$L$47,0))</f>
        <v>16.07</v>
      </c>
      <c r="N51" s="897">
        <f>IF(ISERROR(IF(MOD(IF(AND(B51&gt;='Energy margins'!$M$50,B51&lt;='Energy margins'!$N$50),B51-'Energy margins'!$M$50,""),'Energy margins'!$O$50)=0,'Energy margins'!$L$50,0)),0,IF(MOD(IF(AND(B51&gt;='Energy margins'!$M$50,B51&lt;='Energy margins'!$N$50),B51-'Energy margins'!$M$50,""),'Energy margins'!$O$50)=0,'Energy margins'!$L$50,0))</f>
        <v>54.768000000000001</v>
      </c>
      <c r="O51" s="897">
        <f>IF(ISERROR(IF(MOD(IF(AND(B51&gt;='Energy margins'!$M$53,B51&lt;='Energy margins'!$N$53),B51-'Energy margins'!$M$53,""),'Energy margins'!$O$53)=0,'Energy margins'!$L$53,0)),0,IF(MOD(IF(AND(B51&gt;='Energy margins'!$M$53,B51&lt;='Energy margins'!$N$53),B51-'Energy margins'!$M$53,""),'Energy margins'!$O$53)=0,'Energy margins'!$L$53,0))</f>
        <v>8.9740000000000002</v>
      </c>
      <c r="P51" s="897">
        <f>IF(ISERROR(IF(MOD(IF(AND(B51&gt;='Energy margins'!$M$56,B51&lt;='Energy margins'!$N$56),B51-'Energy margins'!$M$56,""),'Energy margins'!$O$56)=0,'Energy margins'!$L$56,0)),0,IF(MOD(IF(AND(B51&gt;='Energy margins'!$M$56,B51&lt;='Energy margins'!$N$56),B51-'Energy margins'!$M$56,""),'Energy margins'!$O$56)=0,'Energy margins'!$L$56,0))</f>
        <v>54</v>
      </c>
      <c r="Q51" s="897">
        <f>IF(ISERROR(IF(MOD(IF(AND(B51&gt;='Energy margins'!$M$59,B51&lt;='Energy margins'!$N$59),B51-'Energy margins'!$M$59,""),'Energy margins'!$O$59)=0,'Energy margins'!$L$59,0)),0,IF(MOD(IF(AND(B51&gt;='Energy margins'!$M$59,B51&lt;='Energy margins'!$N$59),B51-'Energy margins'!$M$59,""),'Energy margins'!$O$59)=0,'Energy margins'!$L$59,0))</f>
        <v>0</v>
      </c>
      <c r="R51" s="897">
        <f>IF(ISERROR(IF(MOD(IF(AND(B51&gt;='Energy margins'!$M$60,B51&lt;='Energy margins'!$N$60),B51-'Energy margins'!$M$60,""),'Energy margins'!$O$60)=0,'Energy margins'!$L$60,0)),0,IF(MOD(IF(AND(B51&gt;='Energy margins'!$M$60,B51&lt;='Energy margins'!$N$60),B51-'Energy margins'!$M$60,""),'Energy margins'!$O$60)=0,'Energy margins'!$L$60,0))</f>
        <v>100</v>
      </c>
      <c r="S51" s="897">
        <f>IF(ISERROR(IF(MOD(IF(AND(B51&gt;='Energy margins'!$M$61,B51&lt;='Energy margins'!$N$61),B51-'Energy margins'!$M$61,""),'Energy margins'!$O$61)=0,'Energy margins'!$L$61,0)),0,IF(MOD(IF(AND(B51&gt;='Energy margins'!$M$61,B51&lt;='Energy margins'!$N$61),B51-'Energy margins'!$M$61,""),'Energy margins'!$O$61)=0,'Energy margins'!$L$61,0))</f>
        <v>0</v>
      </c>
      <c r="T51" s="897">
        <f>IF(ISERROR(IF(MOD(IF(AND(B51&gt;='Energy margins'!$M$62,B51&lt;='Energy margins'!$N$62),B51-'Energy margins'!$M$62,""),'Energy margins'!$O$62)=0,'Energy margins'!$L$62,0)),0,IF(MOD(IF(AND(B51&gt;='Energy margins'!$M$62,B51&lt;='Energy margins'!$N$62),B51-'Energy margins'!$M$62,""),'Energy margins'!$O$62)=0,'Energy margins'!$L$62,0))</f>
        <v>0</v>
      </c>
      <c r="U51" s="923">
        <f t="shared" si="17"/>
        <v>233.81200000000001</v>
      </c>
      <c r="V51" s="197"/>
      <c r="W51" s="197">
        <f t="shared" si="18"/>
        <v>233.81200000000001</v>
      </c>
      <c r="X51" s="197">
        <f t="shared" si="13"/>
        <v>455.88799999999992</v>
      </c>
      <c r="Y51" s="197">
        <f t="shared" si="14"/>
        <v>675.88799999999992</v>
      </c>
      <c r="Z51" s="952">
        <f t="shared" si="19"/>
        <v>430.78458509537086</v>
      </c>
      <c r="AA51" s="953">
        <f t="shared" si="20"/>
        <v>137.41135090761432</v>
      </c>
      <c r="AB51" s="953">
        <f t="shared" si="21"/>
        <v>146.03828535641421</v>
      </c>
      <c r="AC51" s="1019">
        <f t="shared" si="22"/>
        <v>284.74629973895662</v>
      </c>
      <c r="AD51" s="1020">
        <f t="shared" si="23"/>
        <v>422.15765064657091</v>
      </c>
      <c r="AE51" s="952">
        <f t="shared" si="28"/>
        <v>5977.0595590062512</v>
      </c>
      <c r="AF51" s="953">
        <f t="shared" si="24"/>
        <v>2284.7162273096392</v>
      </c>
      <c r="AG51" s="953">
        <f t="shared" si="25"/>
        <v>4377.3301619476306</v>
      </c>
      <c r="AH51" s="1019">
        <f t="shared" si="26"/>
        <v>1599.72939705862</v>
      </c>
      <c r="AI51" s="1020">
        <f t="shared" si="27"/>
        <v>3884.4456243682594</v>
      </c>
    </row>
    <row r="52" spans="2:35" x14ac:dyDescent="0.3">
      <c r="B52" s="881">
        <v>14</v>
      </c>
      <c r="C52" s="901">
        <f>'Energy Inputs'!E43</f>
        <v>1</v>
      </c>
      <c r="D52" s="897">
        <f>C52*'Energy Inputs'!$E$24</f>
        <v>12.54</v>
      </c>
      <c r="E52" s="197">
        <f>'Energy margins'!$L$12</f>
        <v>55</v>
      </c>
      <c r="F52" s="197">
        <f t="shared" si="15"/>
        <v>689.69999999999993</v>
      </c>
      <c r="G52" s="897">
        <f>'Energy Inputs'!$D$10</f>
        <v>220</v>
      </c>
      <c r="H52" s="197">
        <f t="shared" si="16"/>
        <v>909.69999999999993</v>
      </c>
      <c r="I52" s="197"/>
      <c r="J52" s="922">
        <f>IF(ISERROR(IF(MOD(IF(AND(B52&gt;='Energy margins'!$M$44,B52&lt;='Energy margins'!$N$44),B52-'Energy margins'!$M$44,""),'Energy margins'!$O$44)=0,'Energy margins'!$L$44,0)),0,IF(MOD(IF(AND(B52&gt;='Energy margins'!$M$44,B52&lt;='Energy margins'!$N$44),B52-'Energy margins'!$M$44,""),'Energy margins'!$O$44)=0,'Energy margins'!$L$44,0))</f>
        <v>0</v>
      </c>
      <c r="K52" s="897">
        <f>IF(ISERROR(IF(MOD(IF(AND(B52&gt;='Energy margins'!$M$45,B52&lt;='Energy margins'!$N$45),B52-'Energy margins'!$M$45,""),'Energy margins'!$O$45)=0,'Energy margins'!$L$45,0)),0,IF(MOD(IF(AND(B52&gt;='Energy margins'!$M$45,B52&lt;='Energy margins'!$N$45),B52-'Energy margins'!$M$45,""),'Energy margins'!$O$45)=0,'Energy margins'!$L$45,0))</f>
        <v>0</v>
      </c>
      <c r="L52" s="897">
        <f>IF(ISERROR(IF(MOD(IF(AND(B52&gt;='Energy margins'!$M$46,B52&lt;='Energy margins'!$N$46),B52-'Energy margins'!$M$46,""),'Energy margins'!$O$46)=0,'Energy margins'!$L$46,0)),0,IF(MOD(IF(AND(B52&gt;='Energy margins'!$M$46,B52&lt;='Energy margins'!$N$46),B52-'Energy margins'!$M$46,""),'Energy margins'!$O$46)=0,'Energy margins'!$L$46,0))</f>
        <v>0</v>
      </c>
      <c r="M52" s="897">
        <f>IF(ISERROR(IF(MOD(IF(AND(B52&gt;='Energy margins'!$M$47,B52&lt;='Energy margins'!$N$47),B52-'Energy margins'!$M$47,""),'Energy margins'!$O$47)=0,'Energy margins'!$L$47,0)),0,IF(MOD(IF(AND(B52&gt;='Energy margins'!$M$47,B52&lt;='Energy margins'!$N$47),B52-'Energy margins'!$M$47,""),'Energy margins'!$O$47)=0,'Energy margins'!$L$47,0))</f>
        <v>16.07</v>
      </c>
      <c r="N52" s="897">
        <f>IF(ISERROR(IF(MOD(IF(AND(B52&gt;='Energy margins'!$M$50,B52&lt;='Energy margins'!$N$50),B52-'Energy margins'!$M$50,""),'Energy margins'!$O$50)=0,'Energy margins'!$L$50,0)),0,IF(MOD(IF(AND(B52&gt;='Energy margins'!$M$50,B52&lt;='Energy margins'!$N$50),B52-'Energy margins'!$M$50,""),'Energy margins'!$O$50)=0,'Energy margins'!$L$50,0))</f>
        <v>54.768000000000001</v>
      </c>
      <c r="O52" s="897">
        <f>IF(ISERROR(IF(MOD(IF(AND(B52&gt;='Energy margins'!$M$53,B52&lt;='Energy margins'!$N$53),B52-'Energy margins'!$M$53,""),'Energy margins'!$O$53)=0,'Energy margins'!$L$53,0)),0,IF(MOD(IF(AND(B52&gt;='Energy margins'!$M$53,B52&lt;='Energy margins'!$N$53),B52-'Energy margins'!$M$53,""),'Energy margins'!$O$53)=0,'Energy margins'!$L$53,0))</f>
        <v>8.9740000000000002</v>
      </c>
      <c r="P52" s="897">
        <f>IF(ISERROR(IF(MOD(IF(AND(B52&gt;='Energy margins'!$M$56,B52&lt;='Energy margins'!$N$56),B52-'Energy margins'!$M$56,""),'Energy margins'!$O$56)=0,'Energy margins'!$L$56,0)),0,IF(MOD(IF(AND(B52&gt;='Energy margins'!$M$56,B52&lt;='Energy margins'!$N$56),B52-'Energy margins'!$M$56,""),'Energy margins'!$O$56)=0,'Energy margins'!$L$56,0))</f>
        <v>54</v>
      </c>
      <c r="Q52" s="897">
        <f>IF(ISERROR(IF(MOD(IF(AND(B52&gt;='Energy margins'!$M$59,B52&lt;='Energy margins'!$N$59),B52-'Energy margins'!$M$59,""),'Energy margins'!$O$59)=0,'Energy margins'!$L$59,0)),0,IF(MOD(IF(AND(B52&gt;='Energy margins'!$M$59,B52&lt;='Energy margins'!$N$59),B52-'Energy margins'!$M$59,""),'Energy margins'!$O$59)=0,'Energy margins'!$L$59,0))</f>
        <v>0</v>
      </c>
      <c r="R52" s="897">
        <f>IF(ISERROR(IF(MOD(IF(AND(B52&gt;='Energy margins'!$M$60,B52&lt;='Energy margins'!$N$60),B52-'Energy margins'!$M$60,""),'Energy margins'!$O$60)=0,'Energy margins'!$L$60,0)),0,IF(MOD(IF(AND(B52&gt;='Energy margins'!$M$60,B52&lt;='Energy margins'!$N$60),B52-'Energy margins'!$M$60,""),'Energy margins'!$O$60)=0,'Energy margins'!$L$60,0))</f>
        <v>100</v>
      </c>
      <c r="S52" s="897">
        <f>IF(ISERROR(IF(MOD(IF(AND(B52&gt;='Energy margins'!$M$61,B52&lt;='Energy margins'!$N$61),B52-'Energy margins'!$M$61,""),'Energy margins'!$O$61)=0,'Energy margins'!$L$61,0)),0,IF(MOD(IF(AND(B52&gt;='Energy margins'!$M$61,B52&lt;='Energy margins'!$N$61),B52-'Energy margins'!$M$61,""),'Energy margins'!$O$61)=0,'Energy margins'!$L$61,0))</f>
        <v>0</v>
      </c>
      <c r="T52" s="897">
        <f>IF(ISERROR(IF(MOD(IF(AND(B52&gt;='Energy margins'!$M$62,B52&lt;='Energy margins'!$N$62),B52-'Energy margins'!$M$62,""),'Energy margins'!$O$62)=0,'Energy margins'!$L$62,0)),0,IF(MOD(IF(AND(B52&gt;='Energy margins'!$M$62,B52&lt;='Energy margins'!$N$62),B52-'Energy margins'!$M$62,""),'Energy margins'!$O$62)=0,'Energy margins'!$L$62,0))</f>
        <v>0</v>
      </c>
      <c r="U52" s="923">
        <f t="shared" si="17"/>
        <v>233.81200000000001</v>
      </c>
      <c r="V52" s="197"/>
      <c r="W52" s="197">
        <f t="shared" si="18"/>
        <v>233.81200000000001</v>
      </c>
      <c r="X52" s="197">
        <f t="shared" si="13"/>
        <v>455.88799999999992</v>
      </c>
      <c r="Y52" s="197">
        <f t="shared" si="14"/>
        <v>675.88799999999992</v>
      </c>
      <c r="Z52" s="952">
        <f t="shared" si="19"/>
        <v>414.21594720708737</v>
      </c>
      <c r="AA52" s="953">
        <f t="shared" si="20"/>
        <v>132.12629894962916</v>
      </c>
      <c r="AB52" s="953">
        <f t="shared" si="21"/>
        <v>140.42142822732134</v>
      </c>
      <c r="AC52" s="1019">
        <f t="shared" si="22"/>
        <v>273.79451897976605</v>
      </c>
      <c r="AD52" s="1020">
        <f t="shared" si="23"/>
        <v>405.92081792939518</v>
      </c>
      <c r="AE52" s="952">
        <f t="shared" si="28"/>
        <v>6391.2755062133383</v>
      </c>
      <c r="AF52" s="953">
        <f t="shared" si="24"/>
        <v>2416.8425262592682</v>
      </c>
      <c r="AG52" s="953">
        <f t="shared" si="25"/>
        <v>4517.7515901749521</v>
      </c>
      <c r="AH52" s="1019">
        <f t="shared" si="26"/>
        <v>1873.523916038386</v>
      </c>
      <c r="AI52" s="1020">
        <f t="shared" si="27"/>
        <v>4290.3664422976544</v>
      </c>
    </row>
    <row r="53" spans="2:35" x14ac:dyDescent="0.3">
      <c r="B53" s="881">
        <v>15</v>
      </c>
      <c r="C53" s="901">
        <f>'Energy Inputs'!E44</f>
        <v>1</v>
      </c>
      <c r="D53" s="897">
        <f>C53*'Energy Inputs'!$E$24</f>
        <v>12.54</v>
      </c>
      <c r="E53" s="197">
        <f>'Energy margins'!$L$12</f>
        <v>55</v>
      </c>
      <c r="F53" s="197">
        <f t="shared" si="15"/>
        <v>689.69999999999993</v>
      </c>
      <c r="G53" s="897">
        <f>'Energy Inputs'!$D$10</f>
        <v>220</v>
      </c>
      <c r="H53" s="197">
        <f t="shared" si="16"/>
        <v>909.69999999999993</v>
      </c>
      <c r="I53" s="197"/>
      <c r="J53" s="922">
        <f>IF(ISERROR(IF(MOD(IF(AND(B53&gt;='Energy margins'!$M$44,B53&lt;='Energy margins'!$N$44),B53-'Energy margins'!$M$44,""),'Energy margins'!$O$44)=0,'Energy margins'!$L$44,0)),0,IF(MOD(IF(AND(B53&gt;='Energy margins'!$M$44,B53&lt;='Energy margins'!$N$44),B53-'Energy margins'!$M$44,""),'Energy margins'!$O$44)=0,'Energy margins'!$L$44,0))</f>
        <v>0</v>
      </c>
      <c r="K53" s="897">
        <f>IF(ISERROR(IF(MOD(IF(AND(B53&gt;='Energy margins'!$M$45,B53&lt;='Energy margins'!$N$45),B53-'Energy margins'!$M$45,""),'Energy margins'!$O$45)=0,'Energy margins'!$L$45,0)),0,IF(MOD(IF(AND(B53&gt;='Energy margins'!$M$45,B53&lt;='Energy margins'!$N$45),B53-'Energy margins'!$M$45,""),'Energy margins'!$O$45)=0,'Energy margins'!$L$45,0))</f>
        <v>0</v>
      </c>
      <c r="L53" s="897">
        <f>IF(ISERROR(IF(MOD(IF(AND(B53&gt;='Energy margins'!$M$46,B53&lt;='Energy margins'!$N$46),B53-'Energy margins'!$M$46,""),'Energy margins'!$O$46)=0,'Energy margins'!$L$46,0)),0,IF(MOD(IF(AND(B53&gt;='Energy margins'!$M$46,B53&lt;='Energy margins'!$N$46),B53-'Energy margins'!$M$46,""),'Energy margins'!$O$46)=0,'Energy margins'!$L$46,0))</f>
        <v>0</v>
      </c>
      <c r="M53" s="897">
        <f>IF(ISERROR(IF(MOD(IF(AND(B53&gt;='Energy margins'!$M$47,B53&lt;='Energy margins'!$N$47),B53-'Energy margins'!$M$47,""),'Energy margins'!$O$47)=0,'Energy margins'!$L$47,0)),0,IF(MOD(IF(AND(B53&gt;='Energy margins'!$M$47,B53&lt;='Energy margins'!$N$47),B53-'Energy margins'!$M$47,""),'Energy margins'!$O$47)=0,'Energy margins'!$L$47,0))</f>
        <v>16.07</v>
      </c>
      <c r="N53" s="897">
        <f>IF(ISERROR(IF(MOD(IF(AND(B53&gt;='Energy margins'!$M$50,B53&lt;='Energy margins'!$N$50),B53-'Energy margins'!$M$50,""),'Energy margins'!$O$50)=0,'Energy margins'!$L$50,0)),0,IF(MOD(IF(AND(B53&gt;='Energy margins'!$M$50,B53&lt;='Energy margins'!$N$50),B53-'Energy margins'!$M$50,""),'Energy margins'!$O$50)=0,'Energy margins'!$L$50,0))</f>
        <v>54.768000000000001</v>
      </c>
      <c r="O53" s="897">
        <f>IF(ISERROR(IF(MOD(IF(AND(B53&gt;='Energy margins'!$M$53,B53&lt;='Energy margins'!$N$53),B53-'Energy margins'!$M$53,""),'Energy margins'!$O$53)=0,'Energy margins'!$L$53,0)),0,IF(MOD(IF(AND(B53&gt;='Energy margins'!$M$53,B53&lt;='Energy margins'!$N$53),B53-'Energy margins'!$M$53,""),'Energy margins'!$O$53)=0,'Energy margins'!$L$53,0))</f>
        <v>8.9740000000000002</v>
      </c>
      <c r="P53" s="897">
        <f>IF(ISERROR(IF(MOD(IF(AND(B53&gt;='Energy margins'!$M$56,B53&lt;='Energy margins'!$N$56),B53-'Energy margins'!$M$56,""),'Energy margins'!$O$56)=0,'Energy margins'!$L$56,0)),0,IF(MOD(IF(AND(B53&gt;='Energy margins'!$M$56,B53&lt;='Energy margins'!$N$56),B53-'Energy margins'!$M$56,""),'Energy margins'!$O$56)=0,'Energy margins'!$L$56,0))</f>
        <v>54</v>
      </c>
      <c r="Q53" s="897">
        <f>IF(ISERROR(IF(MOD(IF(AND(B53&gt;='Energy margins'!$M$59,B53&lt;='Energy margins'!$N$59),B53-'Energy margins'!$M$59,""),'Energy margins'!$O$59)=0,'Energy margins'!$L$59,0)),0,IF(MOD(IF(AND(B53&gt;='Energy margins'!$M$59,B53&lt;='Energy margins'!$N$59),B53-'Energy margins'!$M$59,""),'Energy margins'!$O$59)=0,'Energy margins'!$L$59,0))</f>
        <v>0</v>
      </c>
      <c r="R53" s="897">
        <f>IF(ISERROR(IF(MOD(IF(AND(B53&gt;='Energy margins'!$M$60,B53&lt;='Energy margins'!$N$60),B53-'Energy margins'!$M$60,""),'Energy margins'!$O$60)=0,'Energy margins'!$L$60,0)),0,IF(MOD(IF(AND(B53&gt;='Energy margins'!$M$60,B53&lt;='Energy margins'!$N$60),B53-'Energy margins'!$M$60,""),'Energy margins'!$O$60)=0,'Energy margins'!$L$60,0))</f>
        <v>100</v>
      </c>
      <c r="S53" s="897">
        <f>IF(ISERROR(IF(MOD(IF(AND(B53&gt;='Energy margins'!$M$61,B53&lt;='Energy margins'!$N$61),B53-'Energy margins'!$M$61,""),'Energy margins'!$O$61)=0,'Energy margins'!$L$61,0)),0,IF(MOD(IF(AND(B53&gt;='Energy margins'!$M$61,B53&lt;='Energy margins'!$N$61),B53-'Energy margins'!$M$61,""),'Energy margins'!$O$61)=0,'Energy margins'!$L$61,0))</f>
        <v>0</v>
      </c>
      <c r="T53" s="897">
        <f>IF(ISERROR(IF(MOD(IF(AND(B53&gt;='Energy margins'!$M$62,B53&lt;='Energy margins'!$N$62),B53-'Energy margins'!$M$62,""),'Energy margins'!$O$62)=0,'Energy margins'!$L$62,0)),0,IF(MOD(IF(AND(B53&gt;='Energy margins'!$M$62,B53&lt;='Energy margins'!$N$62),B53-'Energy margins'!$M$62,""),'Energy margins'!$O$62)=0,'Energy margins'!$L$62,0))</f>
        <v>0</v>
      </c>
      <c r="U53" s="923">
        <f t="shared" si="17"/>
        <v>233.81200000000001</v>
      </c>
      <c r="V53" s="197"/>
      <c r="W53" s="197">
        <f t="shared" si="18"/>
        <v>233.81200000000001</v>
      </c>
      <c r="X53" s="197">
        <f t="shared" si="13"/>
        <v>455.88799999999992</v>
      </c>
      <c r="Y53" s="197">
        <f t="shared" si="14"/>
        <v>675.88799999999992</v>
      </c>
      <c r="Z53" s="952">
        <f t="shared" si="19"/>
        <v>398.28456462219941</v>
      </c>
      <c r="AA53" s="953">
        <f t="shared" si="20"/>
        <v>127.04451822079727</v>
      </c>
      <c r="AB53" s="953">
        <f t="shared" si="21"/>
        <v>135.02060406473205</v>
      </c>
      <c r="AC53" s="1019">
        <f t="shared" si="22"/>
        <v>263.26396055746739</v>
      </c>
      <c r="AD53" s="1020">
        <f t="shared" si="23"/>
        <v>390.30847877826466</v>
      </c>
      <c r="AE53" s="952">
        <f t="shared" si="28"/>
        <v>6789.5600708355378</v>
      </c>
      <c r="AF53" s="953">
        <f t="shared" si="24"/>
        <v>2543.8870444800655</v>
      </c>
      <c r="AG53" s="953">
        <f t="shared" si="25"/>
        <v>4652.7721942396838</v>
      </c>
      <c r="AH53" s="1019">
        <f t="shared" si="26"/>
        <v>2136.7878765958535</v>
      </c>
      <c r="AI53" s="1020">
        <f t="shared" si="27"/>
        <v>4680.674921075919</v>
      </c>
    </row>
    <row r="54" spans="2:35" x14ac:dyDescent="0.3">
      <c r="B54" s="882">
        <v>16</v>
      </c>
      <c r="C54" s="898">
        <f>'Energy Inputs'!E45</f>
        <v>1</v>
      </c>
      <c r="D54" s="898">
        <f>C54*'Energy Inputs'!$E$24</f>
        <v>12.54</v>
      </c>
      <c r="E54" s="207">
        <f>'Energy margins'!$L$12</f>
        <v>55</v>
      </c>
      <c r="F54" s="207">
        <f t="shared" si="15"/>
        <v>689.69999999999993</v>
      </c>
      <c r="G54" s="898">
        <f>'Energy Inputs'!$D$10</f>
        <v>220</v>
      </c>
      <c r="H54" s="207">
        <f t="shared" si="16"/>
        <v>909.69999999999993</v>
      </c>
      <c r="I54" s="207"/>
      <c r="J54" s="924">
        <f>IF(ISERROR(IF(MOD(IF(AND(B54&gt;='Energy margins'!$M$44,B54&lt;='Energy margins'!$N$44),B54-'Energy margins'!$M$44,""),'Energy margins'!$O$44)=0,'Energy margins'!$L$44,0)),0,IF(MOD(IF(AND(B54&gt;='Energy margins'!$M$44,B54&lt;='Energy margins'!$N$44),B54-'Energy margins'!$M$44,""),'Energy margins'!$O$44)=0,'Energy margins'!$L$44,0))</f>
        <v>0</v>
      </c>
      <c r="K54" s="898">
        <f>IF(ISERROR(IF(MOD(IF(AND(B54&gt;='Energy margins'!$M$45,B54&lt;='Energy margins'!$N$45),B54-'Energy margins'!$M$45,""),'Energy margins'!$O$45)=0,'Energy margins'!$L$45,0)),0,IF(MOD(IF(AND(B54&gt;='Energy margins'!$M$45,B54&lt;='Energy margins'!$N$45),B54-'Energy margins'!$M$45,""),'Energy margins'!$O$45)=0,'Energy margins'!$L$45,0))</f>
        <v>0</v>
      </c>
      <c r="L54" s="898">
        <f>IF(ISERROR(IF(MOD(IF(AND(B54&gt;='Energy margins'!$M$46,B54&lt;='Energy margins'!$N$46),B54-'Energy margins'!$M$46,""),'Energy margins'!$O$46)=0,'Energy margins'!$L$46,0)),0,IF(MOD(IF(AND(B54&gt;='Energy margins'!$M$46,B54&lt;='Energy margins'!$N$46),B54-'Energy margins'!$M$46,""),'Energy margins'!$O$46)=0,'Energy margins'!$L$46,0))</f>
        <v>0</v>
      </c>
      <c r="M54" s="898">
        <f>IF(ISERROR(IF(MOD(IF(AND(B54&gt;='Energy margins'!$M$47,B54&lt;='Energy margins'!$N$47),B54-'Energy margins'!$M$47,""),'Energy margins'!$O$47)=0,'Energy margins'!$L$47,0)),0,IF(MOD(IF(AND(B54&gt;='Energy margins'!$M$47,B54&lt;='Energy margins'!$N$47),B54-'Energy margins'!$M$47,""),'Energy margins'!$O$47)=0,'Energy margins'!$L$47,0))</f>
        <v>16.07</v>
      </c>
      <c r="N54" s="898">
        <f>IF(ISERROR(IF(MOD(IF(AND(B54&gt;='Energy margins'!$M$50,B54&lt;='Energy margins'!$N$50),B54-'Energy margins'!$M$50,""),'Energy margins'!$O$50)=0,'Energy margins'!$L$50,0)),0,IF(MOD(IF(AND(B54&gt;='Energy margins'!$M$50,B54&lt;='Energy margins'!$N$50),B54-'Energy margins'!$M$50,""),'Energy margins'!$O$50)=0,'Energy margins'!$L$50,0))</f>
        <v>54.768000000000001</v>
      </c>
      <c r="O54" s="898">
        <f>IF(ISERROR(IF(MOD(IF(AND(B54&gt;='Energy margins'!$M$53,B54&lt;='Energy margins'!$N$53),B54-'Energy margins'!$M$53,""),'Energy margins'!$O$53)=0,'Energy margins'!$L$53,0)),0,IF(MOD(IF(AND(B54&gt;='Energy margins'!$M$53,B54&lt;='Energy margins'!$N$53),B54-'Energy margins'!$M$53,""),'Energy margins'!$O$53)=0,'Energy margins'!$L$53,0))</f>
        <v>8.9740000000000002</v>
      </c>
      <c r="P54" s="898">
        <f>IF(ISERROR(IF(MOD(IF(AND(B54&gt;='Energy margins'!$M$56,B54&lt;='Energy margins'!$N$56),B54-'Energy margins'!$M$56,""),'Energy margins'!$O$56)=0,'Energy margins'!$L$56,0)),0,IF(MOD(IF(AND(B54&gt;='Energy margins'!$M$56,B54&lt;='Energy margins'!$N$56),B54-'Energy margins'!$M$56,""),'Energy margins'!$O$56)=0,'Energy margins'!$L$56,0))</f>
        <v>54</v>
      </c>
      <c r="Q54" s="898">
        <f>IF(ISERROR(IF(MOD(IF(AND(B54&gt;='Energy margins'!$M$59,B54&lt;='Energy margins'!$N$59),B54-'Energy margins'!$M$59,""),'Energy margins'!$O$59)=0,'Energy margins'!$L$59,0)),0,IF(MOD(IF(AND(B54&gt;='Energy margins'!$M$59,B54&lt;='Energy margins'!$N$59),B54-'Energy margins'!$M$59,""),'Energy margins'!$O$59)=0,'Energy margins'!$L$59,0))</f>
        <v>0</v>
      </c>
      <c r="R54" s="898">
        <f>IF(ISERROR(IF(MOD(IF(AND(B54&gt;='Energy margins'!$M$60,B54&lt;='Energy margins'!$N$60),B54-'Energy margins'!$M$60,""),'Energy margins'!$O$60)=0,'Energy margins'!$L$60,0)),0,IF(MOD(IF(AND(B54&gt;='Energy margins'!$M$60,B54&lt;='Energy margins'!$N$60),B54-'Energy margins'!$M$60,""),'Energy margins'!$O$60)=0,'Energy margins'!$L$60,0))</f>
        <v>100</v>
      </c>
      <c r="S54" s="898">
        <f>IF(ISERROR(IF(MOD(IF(AND(B54&gt;='Energy margins'!$M$61,B54&lt;='Energy margins'!$N$61),B54-'Energy margins'!$M$61,""),'Energy margins'!$O$61)=0,'Energy margins'!$L$61,0)),0,IF(MOD(IF(AND(B54&gt;='Energy margins'!$M$61,B54&lt;='Energy margins'!$N$61),B54-'Energy margins'!$M$61,""),'Energy margins'!$O$61)=0,'Energy margins'!$L$61,0))</f>
        <v>0</v>
      </c>
      <c r="T54" s="898">
        <f>IF(ISERROR(IF(MOD(IF(AND(B54&gt;='Energy margins'!$M$62,B54&lt;='Energy margins'!$N$62),B54-'Energy margins'!$M$62,""),'Energy margins'!$O$62)=0,'Energy margins'!$L$62,0)),0,IF(MOD(IF(AND(B54&gt;='Energy margins'!$M$62,B54&lt;='Energy margins'!$N$62),B54-'Energy margins'!$M$62,""),'Energy margins'!$O$62)=0,'Energy margins'!$L$62,0))</f>
        <v>0</v>
      </c>
      <c r="U54" s="925">
        <f t="shared" si="17"/>
        <v>233.81200000000001</v>
      </c>
      <c r="V54" s="207">
        <f>'Energy margins'!Q67</f>
        <v>170</v>
      </c>
      <c r="W54" s="207">
        <f t="shared" si="18"/>
        <v>403.81200000000001</v>
      </c>
      <c r="X54" s="207">
        <f t="shared" si="13"/>
        <v>285.88799999999992</v>
      </c>
      <c r="Y54" s="207">
        <f t="shared" si="14"/>
        <v>505.88799999999992</v>
      </c>
      <c r="Z54" s="955">
        <f t="shared" si="19"/>
        <v>382.96592752134558</v>
      </c>
      <c r="AA54" s="956">
        <f t="shared" si="20"/>
        <v>122.15819059692046</v>
      </c>
      <c r="AB54" s="956">
        <f t="shared" si="21"/>
        <v>224.22246936965294</v>
      </c>
      <c r="AC54" s="1021">
        <f t="shared" si="22"/>
        <v>158.74345815169264</v>
      </c>
      <c r="AD54" s="1022">
        <f t="shared" si="23"/>
        <v>280.90164874861307</v>
      </c>
      <c r="AE54" s="955">
        <f t="shared" si="28"/>
        <v>7172.5259983568831</v>
      </c>
      <c r="AF54" s="956">
        <f t="shared" si="24"/>
        <v>2666.045235076986</v>
      </c>
      <c r="AG54" s="956">
        <f t="shared" si="25"/>
        <v>4876.9946636093364</v>
      </c>
      <c r="AH54" s="1021">
        <f t="shared" si="26"/>
        <v>2295.5313347475462</v>
      </c>
      <c r="AI54" s="1022">
        <f t="shared" si="27"/>
        <v>4961.5765698245323</v>
      </c>
    </row>
    <row r="57" spans="2:35" x14ac:dyDescent="0.3">
      <c r="J57" t="s">
        <v>622</v>
      </c>
      <c r="K57" t="s">
        <v>626</v>
      </c>
    </row>
    <row r="58" spans="2:35" x14ac:dyDescent="0.3">
      <c r="J58" t="s">
        <v>623</v>
      </c>
      <c r="K58" t="s">
        <v>627</v>
      </c>
    </row>
    <row r="59" spans="2:35" x14ac:dyDescent="0.3">
      <c r="J59" t="s">
        <v>624</v>
      </c>
      <c r="K59" t="s">
        <v>628</v>
      </c>
    </row>
    <row r="60" spans="2:35" x14ac:dyDescent="0.3">
      <c r="J60" t="s">
        <v>625</v>
      </c>
      <c r="K60" t="s">
        <v>629</v>
      </c>
    </row>
    <row r="61" spans="2:35" x14ac:dyDescent="0.3">
      <c r="B61" s="227" t="s">
        <v>96</v>
      </c>
      <c r="C61" s="231"/>
      <c r="D61" s="231"/>
      <c r="E61" s="231"/>
      <c r="F61" s="194"/>
      <c r="G61" s="193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</row>
    <row r="62" spans="2:35" x14ac:dyDescent="0.3">
      <c r="B62" s="203"/>
      <c r="C62" s="148"/>
      <c r="D62" s="148"/>
      <c r="E62" s="148"/>
      <c r="F62" s="1124"/>
      <c r="G62" s="1124"/>
      <c r="H62" s="1124"/>
      <c r="I62" s="148"/>
      <c r="J62" s="909" t="s">
        <v>88</v>
      </c>
      <c r="K62" s="910"/>
      <c r="L62" s="910"/>
      <c r="M62" s="910"/>
      <c r="N62" s="910"/>
      <c r="O62" s="910"/>
      <c r="P62" s="910"/>
      <c r="Q62" s="910"/>
      <c r="R62" s="910"/>
      <c r="S62" s="910"/>
      <c r="T62" s="910"/>
      <c r="U62" s="911"/>
      <c r="V62" s="1124"/>
      <c r="W62" s="1124"/>
      <c r="X62" s="148"/>
      <c r="Y62" s="148"/>
      <c r="Z62" s="1125" t="s">
        <v>279</v>
      </c>
      <c r="AA62" s="1126"/>
      <c r="AB62" s="1126"/>
      <c r="AC62" s="1126"/>
      <c r="AD62" s="1127"/>
      <c r="AE62" s="1125" t="s">
        <v>280</v>
      </c>
      <c r="AF62" s="1126"/>
      <c r="AG62" s="1126"/>
      <c r="AH62" s="1126"/>
      <c r="AI62" s="1127"/>
    </row>
    <row r="63" spans="2:35" ht="51" x14ac:dyDescent="0.3">
      <c r="B63" s="204" t="s">
        <v>281</v>
      </c>
      <c r="C63" s="205" t="s">
        <v>615</v>
      </c>
      <c r="D63" s="205" t="s">
        <v>307</v>
      </c>
      <c r="E63" s="205" t="s">
        <v>308</v>
      </c>
      <c r="F63" s="171" t="s">
        <v>283</v>
      </c>
      <c r="G63" s="171" t="s">
        <v>10</v>
      </c>
      <c r="H63" s="171" t="s">
        <v>284</v>
      </c>
      <c r="I63" s="205" t="s">
        <v>305</v>
      </c>
      <c r="J63" s="934" t="s">
        <v>255</v>
      </c>
      <c r="K63" s="935" t="s">
        <v>35</v>
      </c>
      <c r="L63" s="935" t="s">
        <v>584</v>
      </c>
      <c r="M63" s="935" t="s">
        <v>147</v>
      </c>
      <c r="N63" s="936" t="s">
        <v>621</v>
      </c>
      <c r="O63" s="936" t="s">
        <v>645</v>
      </c>
      <c r="P63" s="936" t="s">
        <v>644</v>
      </c>
      <c r="Q63" s="937" t="s">
        <v>182</v>
      </c>
      <c r="R63" s="937" t="s">
        <v>527</v>
      </c>
      <c r="S63" s="938" t="s">
        <v>528</v>
      </c>
      <c r="T63" s="937" t="s">
        <v>529</v>
      </c>
      <c r="U63" s="939" t="s">
        <v>306</v>
      </c>
      <c r="V63" s="205" t="s">
        <v>309</v>
      </c>
      <c r="W63" s="171" t="s">
        <v>287</v>
      </c>
      <c r="X63" s="171" t="s">
        <v>288</v>
      </c>
      <c r="Y63" s="171" t="s">
        <v>289</v>
      </c>
      <c r="Z63" s="195" t="s">
        <v>290</v>
      </c>
      <c r="AA63" s="171" t="s">
        <v>291</v>
      </c>
      <c r="AB63" s="171" t="s">
        <v>292</v>
      </c>
      <c r="AC63" s="171" t="s">
        <v>293</v>
      </c>
      <c r="AD63" s="198" t="s">
        <v>294</v>
      </c>
      <c r="AE63" s="195" t="s">
        <v>295</v>
      </c>
      <c r="AF63" s="171" t="s">
        <v>296</v>
      </c>
      <c r="AG63" s="171" t="s">
        <v>297</v>
      </c>
      <c r="AH63" s="171" t="s">
        <v>298</v>
      </c>
      <c r="AI63" s="198" t="s">
        <v>299</v>
      </c>
    </row>
    <row r="64" spans="2:35" x14ac:dyDescent="0.3">
      <c r="B64" s="173"/>
      <c r="C64" s="226" t="s">
        <v>616</v>
      </c>
      <c r="D64" s="226" t="s">
        <v>356</v>
      </c>
      <c r="E64" s="226" t="s">
        <v>476</v>
      </c>
      <c r="F64" s="226" t="s">
        <v>477</v>
      </c>
      <c r="G64" s="226" t="s">
        <v>477</v>
      </c>
      <c r="H64" s="226" t="s">
        <v>477</v>
      </c>
      <c r="I64" s="226" t="s">
        <v>477</v>
      </c>
      <c r="J64" s="916" t="s">
        <v>460</v>
      </c>
      <c r="K64" s="917" t="s">
        <v>460</v>
      </c>
      <c r="L64" s="917" t="s">
        <v>460</v>
      </c>
      <c r="M64" s="917" t="s">
        <v>460</v>
      </c>
      <c r="N64" s="917" t="s">
        <v>460</v>
      </c>
      <c r="O64" s="917" t="s">
        <v>460</v>
      </c>
      <c r="P64" s="917" t="s">
        <v>460</v>
      </c>
      <c r="Q64" s="918" t="s">
        <v>460</v>
      </c>
      <c r="R64" s="918" t="s">
        <v>460</v>
      </c>
      <c r="S64" s="918" t="s">
        <v>460</v>
      </c>
      <c r="T64" s="918" t="s">
        <v>462</v>
      </c>
      <c r="U64" s="919" t="s">
        <v>477</v>
      </c>
      <c r="V64" s="226" t="s">
        <v>477</v>
      </c>
      <c r="W64" s="226" t="s">
        <v>477</v>
      </c>
      <c r="X64" s="226" t="s">
        <v>477</v>
      </c>
      <c r="Y64" s="717" t="s">
        <v>477</v>
      </c>
      <c r="Z64" s="226" t="s">
        <v>477</v>
      </c>
      <c r="AA64" s="226" t="s">
        <v>477</v>
      </c>
      <c r="AB64" s="226" t="s">
        <v>477</v>
      </c>
      <c r="AC64" s="226" t="s">
        <v>477</v>
      </c>
      <c r="AD64" s="717" t="s">
        <v>477</v>
      </c>
      <c r="AE64" s="226" t="s">
        <v>477</v>
      </c>
      <c r="AF64" s="226" t="s">
        <v>477</v>
      </c>
      <c r="AG64" s="226" t="s">
        <v>477</v>
      </c>
      <c r="AH64" s="226" t="s">
        <v>477</v>
      </c>
      <c r="AI64" s="717" t="s">
        <v>477</v>
      </c>
    </row>
    <row r="65" spans="2:35" x14ac:dyDescent="0.3">
      <c r="B65" s="880">
        <v>1</v>
      </c>
      <c r="C65" s="901">
        <f>'Energy Inputs'!F30</f>
        <v>0.1761785888496743</v>
      </c>
      <c r="D65" s="897">
        <f>C65*'Energy Inputs'!$F$24</f>
        <v>2.0466666666666664</v>
      </c>
      <c r="E65" s="197">
        <f>'Energy margins'!$S$12</f>
        <v>55</v>
      </c>
      <c r="F65" s="197">
        <f>D65*E65</f>
        <v>112.56666666666665</v>
      </c>
      <c r="G65" s="907">
        <f>'Energy Inputs'!$D$10</f>
        <v>220</v>
      </c>
      <c r="H65" s="197">
        <f>F65+G65</f>
        <v>332.56666666666666</v>
      </c>
      <c r="I65" s="197">
        <f>'Margins summary'!T20</f>
        <v>5106.0919999999996</v>
      </c>
      <c r="J65" s="943">
        <f>IF(ISERROR(IF(MOD(IF(AND(B65&gt;='Energy margins'!$T$44,B65&lt;='Energy margins'!$U$44),B65-'Energy margins'!$T$44,""),'Energy margins'!$V$44)=0,'Energy margins'!$S$44,0)),0,IF(MOD(IF(AND(B65&gt;='Energy margins'!$T$44,B65&lt;='Energy margins'!$U$44),B65-'Energy margins'!$T$44,""),'Energy margins'!$V$44)=0,'Energy margins'!$S$44,0))</f>
        <v>0</v>
      </c>
      <c r="K65" s="907">
        <f>IF(ISERROR(IF(MOD(IF(AND(B65&gt;='Energy margins'!$T$45,B65&lt;='Energy margins'!$U$45),B65-'Energy margins'!$T$45,""),'Energy margins'!$V$45)=0,'Energy margins'!$S$45,0)),0,IF(MOD(IF(AND(B65&gt;='Energy margins'!$T$45,B65&lt;='Energy margins'!$U$45),B65-'Energy margins'!$T$45,""),'Energy margins'!$V$45)=0,'Energy margins'!$S$45,0))</f>
        <v>0</v>
      </c>
      <c r="L65" s="907">
        <f>IF(ISERROR(IF(MOD(IF(AND(B65&gt;='Energy margins'!$T$46,B65&lt;='Energy margins'!$U$46),B65-'Energy margins'!$T$46,""),'Energy margins'!$V$46)=0,'Energy margins'!$S$46,0)),0,IF(MOD(IF(AND(B65&gt;='Energy margins'!$T$46,B65&lt;='Energy margins'!$U$46),B65-'Energy margins'!$T$46,""),'Energy margins'!$V$46)=0,'Energy margins'!$S$46,0))</f>
        <v>0</v>
      </c>
      <c r="M65" s="907">
        <f>IF(ISERROR(IF(MOD(IF(AND(B65&gt;='Energy margins'!$T$47,B65&lt;='Energy margins'!$U$47),B65-'Energy margins'!$T$47,""),'Energy margins'!$V$47)=0,'Energy margins'!$S$47,0)),0,IF(MOD(IF(AND(B65&gt;='Energy margins'!$T$47,B65&lt;='Energy margins'!$U$47),B65-'Energy margins'!$T$47,""),'Energy margins'!$V$47)=0,'Energy margins'!$S$47,0))</f>
        <v>0</v>
      </c>
      <c r="N65" s="907">
        <f>IF(ISERROR(IF(MOD(IF(AND(B65&gt;='Energy margins'!$T$50,B65&lt;='Energy margins'!$U$50),B65-'Energy margins'!$T$50,""),'Energy margins'!$V$50)=0,'Energy margins'!$S$50,0)),0,IF(MOD(IF(AND(B65&gt;='Energy margins'!$T$50,B65&lt;='Energy margins'!$U$50),B65-'Energy margins'!$T$50,""),'Energy margins'!$V$50)=0,'Energy margins'!$S$50,0))</f>
        <v>0</v>
      </c>
      <c r="O65" s="907">
        <f>IF(ISERROR(IF(MOD(IF(AND(B65&gt;='Energy margins'!$T$53,B65&lt;='Energy margins'!$U$53),B65-'Energy margins'!$T$53,""),'Energy margins'!$V$53)=0,'Energy margins'!$S$53,0)),0,IF(MOD(IF(AND(B65&gt;='Energy margins'!$T$53,B65&lt;='Energy margins'!$U$53),B65-'Energy margins'!$T$53,""),'Energy margins'!$V$53)=0,'Energy margins'!$S$53,0))</f>
        <v>0</v>
      </c>
      <c r="P65" s="907">
        <f>IF(ISERROR(IF(MOD(IF(AND(B65&gt;='Energy margins'!$T$56,B65&lt;='Energy margins'!$U$56),B65-'Energy margins'!$T$56,""),'Energy margins'!$V$56)=0,'Energy margins'!$S$56,0)),0,IF(MOD(IF(AND(B65&gt;='Energy margins'!$T$56,B65&lt;='Energy margins'!$U$56),B65-'Energy margins'!$T$56,""),'Energy margins'!$V$56)=0,'Energy margins'!$S$56,0))</f>
        <v>0</v>
      </c>
      <c r="Q65" s="907">
        <f>IF(ISERROR(IF(MOD(IF(AND(B65&gt;='Energy margins'!$T$59,B65&lt;='Energy margins'!$U$59),B65-'Energy margins'!$T$59,""),'Energy margins'!$V$59)=0,'Energy margins'!$S$59,0)),0,IF(MOD(IF(AND(B65&gt;='Energy margins'!$T$59,B65&lt;='Energy margins'!$U$59),B65-'Energy margins'!$T$59,""),'Energy margins'!$V$59)=0,'Energy margins'!$S$59,0))</f>
        <v>0</v>
      </c>
      <c r="R65" s="907">
        <f>IF(ISERROR(IF(MOD(IF(AND(B65&gt;='Energy margins'!$T$60,B65&lt;='Energy margins'!$U$60),B65-'Energy margins'!$T$60,""),'Energy margins'!$V$60)=0,'Energy margins'!$S$60,0)),0,IF(MOD(IF(AND(B65&gt;='Energy margins'!$T$60,B65&lt;='Energy margins'!$U$60),B65-'Energy margins'!$T$60,""),'Energy margins'!$V$60)=0,'Energy margins'!$S$60,0))</f>
        <v>0</v>
      </c>
      <c r="S65" s="907">
        <f>IF(ISERROR(IF(MOD(IF(AND(B65&gt;='Energy margins'!$T$61,B65&lt;='Energy margins'!$U$61),B65-'Energy margins'!$T$61,""),'Energy margins'!$V$61)=0,'Energy margins'!$S$61,0)),0,IF(MOD(IF(AND(B65&gt;='Energy margins'!$T$61,B65&lt;='Energy margins'!$U$61),B65-'Energy margins'!$T$61,""),'Energy margins'!$V$61)=0,'Energy margins'!$S$61,0))</f>
        <v>0</v>
      </c>
      <c r="T65" s="907">
        <f>IF(ISERROR(IF(MOD(IF(AND(B65&gt;='Energy margins'!$T$62,B65&lt;='Energy margins'!$U$62),B65-'Energy margins'!$T$62,""),'Energy margins'!$V$62)=0,'Energy margins'!$S$62,0)),0,IF(MOD(IF(AND(B65&gt;='Energy margins'!$T$62,B65&lt;='Energy margins'!$U$62),B65-'Energy margins'!$T$62,""),'Energy margins'!$V$62)=0,'Energy margins'!$S$62,0))</f>
        <v>0</v>
      </c>
      <c r="U65" s="921">
        <f>SUM(J65:T65)</f>
        <v>0</v>
      </c>
      <c r="V65" s="197"/>
      <c r="W65" s="197">
        <f>I65+U65+V65</f>
        <v>5106.0919999999996</v>
      </c>
      <c r="X65" s="197">
        <f t="shared" ref="X65:X80" si="29">F65-W65</f>
        <v>-4993.525333333333</v>
      </c>
      <c r="Y65" s="197">
        <f t="shared" ref="Y65:Y80" si="30">H65-W65</f>
        <v>-4773.525333333333</v>
      </c>
      <c r="Z65" s="952">
        <f>F65/((1+$C$6)^($B65-1))</f>
        <v>112.56666666666665</v>
      </c>
      <c r="AA65" s="953">
        <f>G65/((1+$C$6)^($B65-1))</f>
        <v>220</v>
      </c>
      <c r="AB65" s="953">
        <f>W65/((1+$C$6)^($B65-1))</f>
        <v>5106.0919999999996</v>
      </c>
      <c r="AC65" s="1019">
        <f t="shared" ref="AC65:AD65" si="31">X65/((1+$C$6)^($B65-1))</f>
        <v>-4993.525333333333</v>
      </c>
      <c r="AD65" s="1019">
        <f t="shared" si="31"/>
        <v>-4773.525333333333</v>
      </c>
      <c r="AE65" s="952">
        <f>Z65</f>
        <v>112.56666666666665</v>
      </c>
      <c r="AF65" s="953">
        <f>AA65</f>
        <v>220</v>
      </c>
      <c r="AG65" s="953">
        <f>AB65</f>
        <v>5106.0919999999996</v>
      </c>
      <c r="AH65" s="1019">
        <f>AC65</f>
        <v>-4993.525333333333</v>
      </c>
      <c r="AI65" s="1020">
        <f>AD65</f>
        <v>-4773.525333333333</v>
      </c>
    </row>
    <row r="66" spans="2:35" x14ac:dyDescent="0.3">
      <c r="B66" s="881">
        <v>2</v>
      </c>
      <c r="C66" s="901">
        <f>'Energy Inputs'!F31</f>
        <v>0.71188775071016608</v>
      </c>
      <c r="D66" s="897">
        <f>C66*'Energy Inputs'!$F$24</f>
        <v>8.27</v>
      </c>
      <c r="E66" s="197">
        <f>'Energy margins'!$S$12</f>
        <v>55</v>
      </c>
      <c r="F66" s="197">
        <f t="shared" ref="F66:F80" si="32">D66*E66</f>
        <v>454.84999999999997</v>
      </c>
      <c r="G66" s="897">
        <f>'Energy Inputs'!$D$10</f>
        <v>220</v>
      </c>
      <c r="H66" s="197">
        <f t="shared" ref="H66:H80" si="33">F66+G66</f>
        <v>674.84999999999991</v>
      </c>
      <c r="I66" s="197"/>
      <c r="J66" s="926">
        <f>IF(ISERROR(IF(MOD(IF(AND(B66&gt;='Energy margins'!$T$44,B66&lt;='Energy margins'!$U$44),B66-'Energy margins'!$T$44,""),'Energy margins'!$V$44)=0,'Energy margins'!$S$44,0)),0,IF(MOD(IF(AND(B66&gt;='Energy margins'!$T$44,B66&lt;='Energy margins'!$U$44),B66-'Energy margins'!$T$44,""),'Energy margins'!$V$44)=0,'Energy margins'!$S$44,0))</f>
        <v>161</v>
      </c>
      <c r="K66" s="897">
        <f>IF(ISERROR(IF(MOD(IF(AND(B66&gt;='Energy margins'!$T$45,B66&lt;='Energy margins'!$U$45),B66-'Energy margins'!$T$45,""),'Energy margins'!$V$45)=0,'Energy margins'!$S$45,0)),0,IF(MOD(IF(AND(B66&gt;='Energy margins'!$T$45,B66&lt;='Energy margins'!$U$45),B66-'Energy margins'!$T$45,""),'Energy margins'!$V$45)=0,'Energy margins'!$S$45,0))</f>
        <v>0</v>
      </c>
      <c r="L66" s="897">
        <f>IF(ISERROR(IF(MOD(IF(AND(B66&gt;='Energy margins'!$T$46,B66&lt;='Energy margins'!$U$46),B66-'Energy margins'!$T$46,""),'Energy margins'!$V$46)=0,'Energy margins'!$S$46,0)),0,IF(MOD(IF(AND(B66&gt;='Energy margins'!$T$46,B66&lt;='Energy margins'!$U$46),B66-'Energy margins'!$T$46,""),'Energy margins'!$V$46)=0,'Energy margins'!$S$46,0))</f>
        <v>0</v>
      </c>
      <c r="M66" s="897">
        <f>IF(ISERROR(IF(MOD(IF(AND(B66&gt;='Energy margins'!$T$47,B66&lt;='Energy margins'!$U$47),B66-'Energy margins'!$T$47,""),'Energy margins'!$V$47)=0,'Energy margins'!$S$47,0)),0,IF(MOD(IF(AND(B66&gt;='Energy margins'!$T$47,B66&lt;='Energy margins'!$U$47),B66-'Energy margins'!$T$47,""),'Energy margins'!$V$47)=0,'Energy margins'!$S$47,0))</f>
        <v>16.07</v>
      </c>
      <c r="N66" s="897">
        <f>IF(ISERROR(IF(MOD(IF(AND(B66&gt;='Energy margins'!$T$50,B66&lt;='Energy margins'!$U$50),B66-'Energy margins'!$T$50,""),'Energy margins'!$V$50)=0,'Energy margins'!$S$50,0)),0,IF(MOD(IF(AND(B66&gt;='Energy margins'!$T$50,B66&lt;='Energy margins'!$U$50),B66-'Energy margins'!$T$50,""),'Energy margins'!$V$50)=0,'Energy margins'!$S$50,0))</f>
        <v>65.2</v>
      </c>
      <c r="O66" s="897">
        <f>IF(ISERROR(IF(MOD(IF(AND(B66&gt;='Energy margins'!$T$53,B66&lt;='Energy margins'!$U$53),B66-'Energy margins'!$T$53,""),'Energy margins'!$V$53)=0,'Energy margins'!$S$53,0)),0,IF(MOD(IF(AND(B66&gt;='Energy margins'!$T$53,B66&lt;='Energy margins'!$U$53),B66-'Energy margins'!$T$53,""),'Energy margins'!$V$53)=0,'Energy margins'!$S$53,0))</f>
        <v>58.972000000000001</v>
      </c>
      <c r="P66" s="897">
        <f>IF(ISERROR(IF(MOD(IF(AND(B66&gt;='Energy margins'!$T$56,B66&lt;='Energy margins'!$U$56),B66-'Energy margins'!$T$56,""),'Energy margins'!$V$56)=0,'Energy margins'!$S$56,0)),0,IF(MOD(IF(AND(B66&gt;='Energy margins'!$T$56,B66&lt;='Energy margins'!$U$56),B66-'Energy margins'!$T$56,""),'Energy margins'!$V$56)=0,'Energy margins'!$S$56,0))</f>
        <v>37.800000000000004</v>
      </c>
      <c r="Q66" s="897">
        <f>IF(ISERROR(IF(MOD(IF(AND(B66&gt;='Energy margins'!$T$59,B66&lt;='Energy margins'!$U$59),B66-'Energy margins'!$T$59,""),'Energy margins'!$V$59)=0,'Energy margins'!$S$59,0)),0,IF(MOD(IF(AND(B66&gt;='Energy margins'!$T$59,B66&lt;='Energy margins'!$U$59),B66-'Energy margins'!$T$59,""),'Energy margins'!$V$59)=0,'Energy margins'!$S$59,0))</f>
        <v>100</v>
      </c>
      <c r="R66" s="897">
        <f>IF(ISERROR(IF(MOD(IF(AND(B66&gt;='Energy margins'!$T$60,B66&lt;='Energy margins'!$U$60),B66-'Energy margins'!$T$60,""),'Energy margins'!$V$60)=0,'Energy margins'!$S$60,0)),0,IF(MOD(IF(AND(B66&gt;='Energy margins'!$T$60,B66&lt;='Energy margins'!$U$60),B66-'Energy margins'!$T$60,""),'Energy margins'!$V$60)=0,'Energy margins'!$S$60,0))</f>
        <v>0</v>
      </c>
      <c r="S66" s="897">
        <f>IF(ISERROR(IF(MOD(IF(AND(B66&gt;='Energy margins'!$T$61,B66&lt;='Energy margins'!$U$61),B66-'Energy margins'!$T$61,""),'Energy margins'!$V$61)=0,'Energy margins'!$S$61,0)),0,IF(MOD(IF(AND(B66&gt;='Energy margins'!$T$61,B66&lt;='Energy margins'!$U$61),B66-'Energy margins'!$T$61,""),'Energy margins'!$V$61)=0,'Energy margins'!$S$61,0))</f>
        <v>0</v>
      </c>
      <c r="T66" s="897">
        <f>IF(ISERROR(IF(MOD(IF(AND(B66&gt;='Energy margins'!$T$62,B66&lt;='Energy margins'!$U$62),B66-'Energy margins'!$T$62,""),'Energy margins'!$V$62)=0,'Energy margins'!$S$62,0)),0,IF(MOD(IF(AND(B66&gt;='Energy margins'!$T$62,B66&lt;='Energy margins'!$U$62),B66-'Energy margins'!$T$62,""),'Energy margins'!$V$62)=0,'Energy margins'!$S$62,0))</f>
        <v>0</v>
      </c>
      <c r="U66" s="923">
        <f t="shared" ref="U66:U80" si="34">SUM(J66:T66)</f>
        <v>439.04199999999997</v>
      </c>
      <c r="V66" s="197"/>
      <c r="W66" s="197">
        <f t="shared" ref="W66:W80" si="35">I66+U66+V66</f>
        <v>439.04199999999997</v>
      </c>
      <c r="X66" s="197">
        <f t="shared" si="29"/>
        <v>15.807999999999993</v>
      </c>
      <c r="Y66" s="197">
        <f t="shared" si="30"/>
        <v>235.80799999999994</v>
      </c>
      <c r="Z66" s="952">
        <f t="shared" ref="Z66:Z80" si="36">F66/((1+$C$6)^($B66-1))</f>
        <v>437.35576923076917</v>
      </c>
      <c r="AA66" s="953">
        <f t="shared" ref="AA66:AA80" si="37">G66/((1+$C$6)^($B66-1))</f>
        <v>211.53846153846152</v>
      </c>
      <c r="AB66" s="953">
        <f t="shared" ref="AB66:AB80" si="38">W66/((1+$C$6)^($B66-1))</f>
        <v>422.15576923076918</v>
      </c>
      <c r="AC66" s="1019">
        <f t="shared" ref="AC66:AC80" si="39">X66/((1+$C$6)^($B66-1))</f>
        <v>15.199999999999992</v>
      </c>
      <c r="AD66" s="1019">
        <f t="shared" ref="AD66:AD80" si="40">Y66/((1+$C$6)^($B66-1))</f>
        <v>226.73846153846148</v>
      </c>
      <c r="AE66" s="952">
        <f>AE65+Z66</f>
        <v>549.92243589743578</v>
      </c>
      <c r="AF66" s="953">
        <f t="shared" ref="AF66:AF80" si="41">AF65+AA66</f>
        <v>431.53846153846155</v>
      </c>
      <c r="AG66" s="953">
        <f t="shared" ref="AG66:AG80" si="42">AG65+AB66</f>
        <v>5528.2477692307684</v>
      </c>
      <c r="AH66" s="1019">
        <f t="shared" ref="AH66:AH80" si="43">AH65+AC66</f>
        <v>-4978.3253333333332</v>
      </c>
      <c r="AI66" s="1020">
        <f t="shared" ref="AI66:AI80" si="44">AI65+AD66</f>
        <v>-4546.7868717948713</v>
      </c>
    </row>
    <row r="67" spans="2:35" x14ac:dyDescent="0.3">
      <c r="B67" s="881">
        <v>3</v>
      </c>
      <c r="C67" s="901">
        <f>'Energy Inputs'!F32</f>
        <v>0.94057559323979223</v>
      </c>
      <c r="D67" s="897">
        <f>C67*'Energy Inputs'!$F$24</f>
        <v>10.926666666666668</v>
      </c>
      <c r="E67" s="197">
        <f>'Energy margins'!$S$12</f>
        <v>55</v>
      </c>
      <c r="F67" s="197">
        <f t="shared" si="32"/>
        <v>600.9666666666667</v>
      </c>
      <c r="G67" s="897">
        <f>'Energy Inputs'!$D$10</f>
        <v>220</v>
      </c>
      <c r="H67" s="197">
        <f t="shared" si="33"/>
        <v>820.9666666666667</v>
      </c>
      <c r="I67" s="197"/>
      <c r="J67" s="926">
        <f>IF(ISERROR(IF(MOD(IF(AND(B67&gt;='Energy margins'!$T$44,B67&lt;='Energy margins'!$U$44),B67-'Energy margins'!$T$44,""),'Energy margins'!$V$44)=0,'Energy margins'!$S$44,0)),0,IF(MOD(IF(AND(B67&gt;='Energy margins'!$T$44,B67&lt;='Energy margins'!$U$44),B67-'Energy margins'!$T$44,""),'Energy margins'!$V$44)=0,'Energy margins'!$S$44,0))</f>
        <v>161</v>
      </c>
      <c r="K67" s="897">
        <f>IF(ISERROR(IF(MOD(IF(AND(B67&gt;='Energy margins'!$T$45,B67&lt;='Energy margins'!$U$45),B67-'Energy margins'!$T$45,""),'Energy margins'!$V$45)=0,'Energy margins'!$S$45,0)),0,IF(MOD(IF(AND(B67&gt;='Energy margins'!$T$45,B67&lt;='Energy margins'!$U$45),B67-'Energy margins'!$T$45,""),'Energy margins'!$V$45)=0,'Energy margins'!$S$45,0))</f>
        <v>0</v>
      </c>
      <c r="L67" s="897">
        <f>IF(ISERROR(IF(MOD(IF(AND(B67&gt;='Energy margins'!$T$46,B67&lt;='Energy margins'!$U$46),B67-'Energy margins'!$T$46,""),'Energy margins'!$V$46)=0,'Energy margins'!$S$46,0)),0,IF(MOD(IF(AND(B67&gt;='Energy margins'!$T$46,B67&lt;='Energy margins'!$U$46),B67-'Energy margins'!$T$46,""),'Energy margins'!$V$46)=0,'Energy margins'!$S$46,0))</f>
        <v>0</v>
      </c>
      <c r="M67" s="897">
        <f>IF(ISERROR(IF(MOD(IF(AND(B67&gt;='Energy margins'!$T$47,B67&lt;='Energy margins'!$U$47),B67-'Energy margins'!$T$47,""),'Energy margins'!$V$47)=0,'Energy margins'!$S$47,0)),0,IF(MOD(IF(AND(B67&gt;='Energy margins'!$T$47,B67&lt;='Energy margins'!$U$47),B67-'Energy margins'!$T$47,""),'Energy margins'!$V$47)=0,'Energy margins'!$S$47,0))</f>
        <v>16.07</v>
      </c>
      <c r="N67" s="897">
        <f>IF(ISERROR(IF(MOD(IF(AND(B67&gt;='Energy margins'!$T$50,B67&lt;='Energy margins'!$U$50),B67-'Energy margins'!$T$50,""),'Energy margins'!$V$50)=0,'Energy margins'!$S$50,0)),0,IF(MOD(IF(AND(B67&gt;='Energy margins'!$T$50,B67&lt;='Energy margins'!$U$50),B67-'Energy margins'!$T$50,""),'Energy margins'!$V$50)=0,'Energy margins'!$S$50,0))</f>
        <v>65.2</v>
      </c>
      <c r="O67" s="897">
        <f>IF(ISERROR(IF(MOD(IF(AND(B67&gt;='Energy margins'!$T$53,B67&lt;='Energy margins'!$U$53),B67-'Energy margins'!$T$53,""),'Energy margins'!$V$53)=0,'Energy margins'!$S$53,0)),0,IF(MOD(IF(AND(B67&gt;='Energy margins'!$T$53,B67&lt;='Energy margins'!$U$53),B67-'Energy margins'!$T$53,""),'Energy margins'!$V$53)=0,'Energy margins'!$S$53,0))</f>
        <v>58.972000000000001</v>
      </c>
      <c r="P67" s="897">
        <f>IF(ISERROR(IF(MOD(IF(AND(B67&gt;='Energy margins'!$T$56,B67&lt;='Energy margins'!$U$56),B67-'Energy margins'!$T$56,""),'Energy margins'!$V$56)=0,'Energy margins'!$S$56,0)),0,IF(MOD(IF(AND(B67&gt;='Energy margins'!$T$56,B67&lt;='Energy margins'!$U$56),B67-'Energy margins'!$T$56,""),'Energy margins'!$V$56)=0,'Energy margins'!$S$56,0))</f>
        <v>37.800000000000004</v>
      </c>
      <c r="Q67" s="897">
        <f>IF(ISERROR(IF(MOD(IF(AND(B67&gt;='Energy margins'!$T$59,B67&lt;='Energy margins'!$U$59),B67-'Energy margins'!$T$59,""),'Energy margins'!$V$59)=0,'Energy margins'!$S$59,0)),0,IF(MOD(IF(AND(B67&gt;='Energy margins'!$T$59,B67&lt;='Energy margins'!$U$59),B67-'Energy margins'!$T$59,""),'Energy margins'!$V$59)=0,'Energy margins'!$S$59,0))</f>
        <v>100</v>
      </c>
      <c r="R67" s="897">
        <f>IF(ISERROR(IF(MOD(IF(AND(B67&gt;='Energy margins'!$T$60,B67&lt;='Energy margins'!$U$60),B67-'Energy margins'!$T$60,""),'Energy margins'!$V$60)=0,'Energy margins'!$S$60,0)),0,IF(MOD(IF(AND(B67&gt;='Energy margins'!$T$60,B67&lt;='Energy margins'!$U$60),B67-'Energy margins'!$T$60,""),'Energy margins'!$V$60)=0,'Energy margins'!$S$60,0))</f>
        <v>0</v>
      </c>
      <c r="S67" s="897">
        <f>IF(ISERROR(IF(MOD(IF(AND(B67&gt;='Energy margins'!$T$61,B67&lt;='Energy margins'!$U$61),B67-'Energy margins'!$T$61,""),'Energy margins'!$V$61)=0,'Energy margins'!$S$61,0)),0,IF(MOD(IF(AND(B67&gt;='Energy margins'!$T$61,B67&lt;='Energy margins'!$U$61),B67-'Energy margins'!$T$61,""),'Energy margins'!$V$61)=0,'Energy margins'!$S$61,0))</f>
        <v>0</v>
      </c>
      <c r="T67" s="897">
        <f>IF(ISERROR(IF(MOD(IF(AND(B67&gt;='Energy margins'!$T$62,B67&lt;='Energy margins'!$U$62),B67-'Energy margins'!$T$62,""),'Energy margins'!$V$62)=0,'Energy margins'!$S$62,0)),0,IF(MOD(IF(AND(B67&gt;='Energy margins'!$T$62,B67&lt;='Energy margins'!$U$62),B67-'Energy margins'!$T$62,""),'Energy margins'!$V$62)=0,'Energy margins'!$S$62,0))</f>
        <v>0</v>
      </c>
      <c r="U67" s="923">
        <f t="shared" si="34"/>
        <v>439.04199999999997</v>
      </c>
      <c r="V67" s="197"/>
      <c r="W67" s="197">
        <f t="shared" si="35"/>
        <v>439.04199999999997</v>
      </c>
      <c r="X67" s="197">
        <f t="shared" si="29"/>
        <v>161.92466666666672</v>
      </c>
      <c r="Y67" s="197">
        <f t="shared" si="30"/>
        <v>381.92466666666672</v>
      </c>
      <c r="Z67" s="952">
        <f t="shared" si="36"/>
        <v>555.62746548323469</v>
      </c>
      <c r="AA67" s="953">
        <f t="shared" si="37"/>
        <v>203.40236686390531</v>
      </c>
      <c r="AB67" s="953">
        <f t="shared" si="38"/>
        <v>405.91900887573956</v>
      </c>
      <c r="AC67" s="1019">
        <f t="shared" si="39"/>
        <v>149.70845660749509</v>
      </c>
      <c r="AD67" s="1019">
        <f t="shared" si="40"/>
        <v>353.11082347140041</v>
      </c>
      <c r="AE67" s="952">
        <f t="shared" ref="AE67:AE80" si="45">AE66+Z67</f>
        <v>1105.5499013806705</v>
      </c>
      <c r="AF67" s="953">
        <f t="shared" si="41"/>
        <v>634.94082840236683</v>
      </c>
      <c r="AG67" s="953">
        <f t="shared" si="42"/>
        <v>5934.166778106508</v>
      </c>
      <c r="AH67" s="1019">
        <f t="shared" si="43"/>
        <v>-4828.6168767258378</v>
      </c>
      <c r="AI67" s="1020">
        <f t="shared" si="44"/>
        <v>-4193.6760483234712</v>
      </c>
    </row>
    <row r="68" spans="2:35" x14ac:dyDescent="0.3">
      <c r="B68" s="881">
        <v>4</v>
      </c>
      <c r="C68" s="901">
        <f>'Energy Inputs'!F33</f>
        <v>1</v>
      </c>
      <c r="D68" s="897">
        <f>C68*'Energy Inputs'!$F$24</f>
        <v>11.617000000000001</v>
      </c>
      <c r="E68" s="197">
        <f>'Energy margins'!$S$12</f>
        <v>55</v>
      </c>
      <c r="F68" s="197">
        <f t="shared" si="32"/>
        <v>638.93500000000006</v>
      </c>
      <c r="G68" s="897">
        <f>'Energy Inputs'!$D$10</f>
        <v>220</v>
      </c>
      <c r="H68" s="197">
        <f t="shared" si="33"/>
        <v>858.93500000000006</v>
      </c>
      <c r="I68" s="197"/>
      <c r="J68" s="926">
        <f>IF(ISERROR(IF(MOD(IF(AND(B68&gt;='Energy margins'!$T$44,B68&lt;='Energy margins'!$U$44),B68-'Energy margins'!$T$44,""),'Energy margins'!$V$44)=0,'Energy margins'!$S$44,0)),0,IF(MOD(IF(AND(B68&gt;='Energy margins'!$T$44,B68&lt;='Energy margins'!$U$44),B68-'Energy margins'!$T$44,""),'Energy margins'!$V$44)=0,'Energy margins'!$S$44,0))</f>
        <v>0</v>
      </c>
      <c r="K68" s="897">
        <f>IF(ISERROR(IF(MOD(IF(AND(B68&gt;='Energy margins'!$T$45,B68&lt;='Energy margins'!$U$45),B68-'Energy margins'!$T$45,""),'Energy margins'!$V$45)=0,'Energy margins'!$S$45,0)),0,IF(MOD(IF(AND(B68&gt;='Energy margins'!$T$45,B68&lt;='Energy margins'!$U$45),B68-'Energy margins'!$T$45,""),'Energy margins'!$V$45)=0,'Energy margins'!$S$45,0))</f>
        <v>0</v>
      </c>
      <c r="L68" s="897">
        <f>IF(ISERROR(IF(MOD(IF(AND(B68&gt;='Energy margins'!$T$46,B68&lt;='Energy margins'!$U$46),B68-'Energy margins'!$T$46,""),'Energy margins'!$V$46)=0,'Energy margins'!$S$46,0)),0,IF(MOD(IF(AND(B68&gt;='Energy margins'!$T$46,B68&lt;='Energy margins'!$U$46),B68-'Energy margins'!$T$46,""),'Energy margins'!$V$46)=0,'Energy margins'!$S$46,0))</f>
        <v>0</v>
      </c>
      <c r="M68" s="897">
        <f>IF(ISERROR(IF(MOD(IF(AND(B68&gt;='Energy margins'!$T$47,B68&lt;='Energy margins'!$U$47),B68-'Energy margins'!$T$47,""),'Energy margins'!$V$47)=0,'Energy margins'!$S$47,0)),0,IF(MOD(IF(AND(B68&gt;='Energy margins'!$T$47,B68&lt;='Energy margins'!$U$47),B68-'Energy margins'!$T$47,""),'Energy margins'!$V$47)=0,'Energy margins'!$S$47,0))</f>
        <v>16.07</v>
      </c>
      <c r="N68" s="897">
        <f>IF(ISERROR(IF(MOD(IF(AND(B68&gt;='Energy margins'!$T$50,B68&lt;='Energy margins'!$U$50),B68-'Energy margins'!$T$50,""),'Energy margins'!$V$50)=0,'Energy margins'!$S$50,0)),0,IF(MOD(IF(AND(B68&gt;='Energy margins'!$T$50,B68&lt;='Energy margins'!$U$50),B68-'Energy margins'!$T$50,""),'Energy margins'!$V$50)=0,'Energy margins'!$S$50,0))</f>
        <v>65.2</v>
      </c>
      <c r="O68" s="897">
        <f>IF(ISERROR(IF(MOD(IF(AND(B68&gt;='Energy margins'!$T$53,B68&lt;='Energy margins'!$U$53),B68-'Energy margins'!$T$53,""),'Energy margins'!$V$53)=0,'Energy margins'!$S$53,0)),0,IF(MOD(IF(AND(B68&gt;='Energy margins'!$T$53,B68&lt;='Energy margins'!$U$53),B68-'Energy margins'!$T$53,""),'Energy margins'!$V$53)=0,'Energy margins'!$S$53,0))</f>
        <v>58.972000000000001</v>
      </c>
      <c r="P68" s="897">
        <f>IF(ISERROR(IF(MOD(IF(AND(B68&gt;='Energy margins'!$T$56,B68&lt;='Energy margins'!$U$56),B68-'Energy margins'!$T$56,""),'Energy margins'!$V$56)=0,'Energy margins'!$S$56,0)),0,IF(MOD(IF(AND(B68&gt;='Energy margins'!$T$56,B68&lt;='Energy margins'!$U$56),B68-'Energy margins'!$T$56,""),'Energy margins'!$V$56)=0,'Energy margins'!$S$56,0))</f>
        <v>37.800000000000004</v>
      </c>
      <c r="Q68" s="897">
        <f>IF(ISERROR(IF(MOD(IF(AND(B68&gt;='Energy margins'!$T$59,B68&lt;='Energy margins'!$U$59),B68-'Energy margins'!$T$59,""),'Energy margins'!$V$59)=0,'Energy margins'!$S$59,0)),0,IF(MOD(IF(AND(B68&gt;='Energy margins'!$T$59,B68&lt;='Energy margins'!$U$59),B68-'Energy margins'!$T$59,""),'Energy margins'!$V$59)=0,'Energy margins'!$S$59,0))</f>
        <v>100</v>
      </c>
      <c r="R68" s="897">
        <f>IF(ISERROR(IF(MOD(IF(AND(B68&gt;='Energy margins'!$T$60,B68&lt;='Energy margins'!$U$60),B68-'Energy margins'!$T$60,""),'Energy margins'!$V$60)=0,'Energy margins'!$S$60,0)),0,IF(MOD(IF(AND(B68&gt;='Energy margins'!$T$60,B68&lt;='Energy margins'!$U$60),B68-'Energy margins'!$T$60,""),'Energy margins'!$V$60)=0,'Energy margins'!$S$60,0))</f>
        <v>0</v>
      </c>
      <c r="S68" s="897">
        <f>IF(ISERROR(IF(MOD(IF(AND(B68&gt;='Energy margins'!$T$61,B68&lt;='Energy margins'!$U$61),B68-'Energy margins'!$T$61,""),'Energy margins'!$V$61)=0,'Energy margins'!$S$61,0)),0,IF(MOD(IF(AND(B68&gt;='Energy margins'!$T$61,B68&lt;='Energy margins'!$U$61),B68-'Energy margins'!$T$61,""),'Energy margins'!$V$61)=0,'Energy margins'!$S$61,0))</f>
        <v>0</v>
      </c>
      <c r="T68" s="897">
        <f>IF(ISERROR(IF(MOD(IF(AND(B68&gt;='Energy margins'!$T$62,B68&lt;='Energy margins'!$U$62),B68-'Energy margins'!$T$62,""),'Energy margins'!$V$62)=0,'Energy margins'!$S$62,0)),0,IF(MOD(IF(AND(B68&gt;='Energy margins'!$T$62,B68&lt;='Energy margins'!$U$62),B68-'Energy margins'!$T$62,""),'Energy margins'!$V$62)=0,'Energy margins'!$S$62,0))</f>
        <v>0</v>
      </c>
      <c r="U68" s="923">
        <f t="shared" si="34"/>
        <v>278.04200000000003</v>
      </c>
      <c r="V68" s="197"/>
      <c r="W68" s="197">
        <f t="shared" si="35"/>
        <v>278.04200000000003</v>
      </c>
      <c r="X68" s="197">
        <f t="shared" si="29"/>
        <v>360.89300000000003</v>
      </c>
      <c r="Y68" s="197">
        <f t="shared" si="30"/>
        <v>580.89300000000003</v>
      </c>
      <c r="Z68" s="952">
        <f t="shared" si="36"/>
        <v>568.01088842740103</v>
      </c>
      <c r="AA68" s="953">
        <f t="shared" si="37"/>
        <v>195.57919890760127</v>
      </c>
      <c r="AB68" s="953">
        <f t="shared" si="38"/>
        <v>247.17832555757852</v>
      </c>
      <c r="AC68" s="1019">
        <f t="shared" si="39"/>
        <v>320.83256286982248</v>
      </c>
      <c r="AD68" s="1019">
        <f t="shared" si="40"/>
        <v>516.41176177742375</v>
      </c>
      <c r="AE68" s="952">
        <f t="shared" si="45"/>
        <v>1673.5607898080716</v>
      </c>
      <c r="AF68" s="953">
        <f t="shared" si="41"/>
        <v>830.5200273099681</v>
      </c>
      <c r="AG68" s="953">
        <f t="shared" si="42"/>
        <v>6181.3451036640863</v>
      </c>
      <c r="AH68" s="1019">
        <f t="shared" si="43"/>
        <v>-4507.7843138560156</v>
      </c>
      <c r="AI68" s="1020">
        <f t="shared" si="44"/>
        <v>-3677.2642865460475</v>
      </c>
    </row>
    <row r="69" spans="2:35" x14ac:dyDescent="0.3">
      <c r="B69" s="881">
        <v>5</v>
      </c>
      <c r="C69" s="901">
        <f>'Energy Inputs'!F34</f>
        <v>1</v>
      </c>
      <c r="D69" s="897">
        <f>C69*'Energy Inputs'!$F$24</f>
        <v>11.617000000000001</v>
      </c>
      <c r="E69" s="197">
        <f>'Energy margins'!$S$12</f>
        <v>55</v>
      </c>
      <c r="F69" s="197">
        <f t="shared" si="32"/>
        <v>638.93500000000006</v>
      </c>
      <c r="G69" s="897">
        <f>'Energy Inputs'!$D$10</f>
        <v>220</v>
      </c>
      <c r="H69" s="197">
        <f t="shared" si="33"/>
        <v>858.93500000000006</v>
      </c>
      <c r="I69" s="197"/>
      <c r="J69" s="926">
        <f>IF(ISERROR(IF(MOD(IF(AND(B69&gt;='Energy margins'!$T$44,B69&lt;='Energy margins'!$U$44),B69-'Energy margins'!$T$44,""),'Energy margins'!$V$44)=0,'Energy margins'!$S$44,0)),0,IF(MOD(IF(AND(B69&gt;='Energy margins'!$T$44,B69&lt;='Energy margins'!$U$44),B69-'Energy margins'!$T$44,""),'Energy margins'!$V$44)=0,'Energy margins'!$S$44,0))</f>
        <v>0</v>
      </c>
      <c r="K69" s="897">
        <f>IF(ISERROR(IF(MOD(IF(AND(B69&gt;='Energy margins'!$T$45,B69&lt;='Energy margins'!$U$45),B69-'Energy margins'!$T$45,""),'Energy margins'!$V$45)=0,'Energy margins'!$S$45,0)),0,IF(MOD(IF(AND(B69&gt;='Energy margins'!$T$45,B69&lt;='Energy margins'!$U$45),B69-'Energy margins'!$T$45,""),'Energy margins'!$V$45)=0,'Energy margins'!$S$45,0))</f>
        <v>0</v>
      </c>
      <c r="L69" s="897">
        <f>IF(ISERROR(IF(MOD(IF(AND(B69&gt;='Energy margins'!$T$46,B69&lt;='Energy margins'!$U$46),B69-'Energy margins'!$T$46,""),'Energy margins'!$V$46)=0,'Energy margins'!$S$46,0)),0,IF(MOD(IF(AND(B69&gt;='Energy margins'!$T$46,B69&lt;='Energy margins'!$U$46),B69-'Energy margins'!$T$46,""),'Energy margins'!$V$46)=0,'Energy margins'!$S$46,0))</f>
        <v>0</v>
      </c>
      <c r="M69" s="897">
        <f>IF(ISERROR(IF(MOD(IF(AND(B69&gt;='Energy margins'!$T$47,B69&lt;='Energy margins'!$U$47),B69-'Energy margins'!$T$47,""),'Energy margins'!$V$47)=0,'Energy margins'!$S$47,0)),0,IF(MOD(IF(AND(B69&gt;='Energy margins'!$T$47,B69&lt;='Energy margins'!$U$47),B69-'Energy margins'!$T$47,""),'Energy margins'!$V$47)=0,'Energy margins'!$S$47,0))</f>
        <v>16.07</v>
      </c>
      <c r="N69" s="897">
        <f>IF(ISERROR(IF(MOD(IF(AND(B69&gt;='Energy margins'!$T$50,B69&lt;='Energy margins'!$U$50),B69-'Energy margins'!$T$50,""),'Energy margins'!$V$50)=0,'Energy margins'!$S$50,0)),0,IF(MOD(IF(AND(B69&gt;='Energy margins'!$T$50,B69&lt;='Energy margins'!$U$50),B69-'Energy margins'!$T$50,""),'Energy margins'!$V$50)=0,'Energy margins'!$S$50,0))</f>
        <v>65.2</v>
      </c>
      <c r="O69" s="897">
        <f>IF(ISERROR(IF(MOD(IF(AND(B69&gt;='Energy margins'!$T$53,B69&lt;='Energy margins'!$U$53),B69-'Energy margins'!$T$53,""),'Energy margins'!$V$53)=0,'Energy margins'!$S$53,0)),0,IF(MOD(IF(AND(B69&gt;='Energy margins'!$T$53,B69&lt;='Energy margins'!$U$53),B69-'Energy margins'!$T$53,""),'Energy margins'!$V$53)=0,'Energy margins'!$S$53,0))</f>
        <v>58.972000000000001</v>
      </c>
      <c r="P69" s="897">
        <f>IF(ISERROR(IF(MOD(IF(AND(B69&gt;='Energy margins'!$T$56,B69&lt;='Energy margins'!$U$56),B69-'Energy margins'!$T$56,""),'Energy margins'!$V$56)=0,'Energy margins'!$S$56,0)),0,IF(MOD(IF(AND(B69&gt;='Energy margins'!$T$56,B69&lt;='Energy margins'!$U$56),B69-'Energy margins'!$T$56,""),'Energy margins'!$V$56)=0,'Energy margins'!$S$56,0))</f>
        <v>37.800000000000004</v>
      </c>
      <c r="Q69" s="897">
        <f>IF(ISERROR(IF(MOD(IF(AND(B69&gt;='Energy margins'!$T$59,B69&lt;='Energy margins'!$U$59),B69-'Energy margins'!$T$59,""),'Energy margins'!$V$59)=0,'Energy margins'!$S$59,0)),0,IF(MOD(IF(AND(B69&gt;='Energy margins'!$T$59,B69&lt;='Energy margins'!$U$59),B69-'Energy margins'!$T$59,""),'Energy margins'!$V$59)=0,'Energy margins'!$S$59,0))</f>
        <v>100</v>
      </c>
      <c r="R69" s="897">
        <f>IF(ISERROR(IF(MOD(IF(AND(B69&gt;='Energy margins'!$T$60,B69&lt;='Energy margins'!$U$60),B69-'Energy margins'!$T$60,""),'Energy margins'!$V$60)=0,'Energy margins'!$S$60,0)),0,IF(MOD(IF(AND(B69&gt;='Energy margins'!$T$60,B69&lt;='Energy margins'!$U$60),B69-'Energy margins'!$T$60,""),'Energy margins'!$V$60)=0,'Energy margins'!$S$60,0))</f>
        <v>0</v>
      </c>
      <c r="S69" s="897">
        <f>IF(ISERROR(IF(MOD(IF(AND(B69&gt;='Energy margins'!$T$61,B69&lt;='Energy margins'!$U$61),B69-'Energy margins'!$T$61,""),'Energy margins'!$V$61)=0,'Energy margins'!$S$61,0)),0,IF(MOD(IF(AND(B69&gt;='Energy margins'!$T$61,B69&lt;='Energy margins'!$U$61),B69-'Energy margins'!$T$61,""),'Energy margins'!$V$61)=0,'Energy margins'!$S$61,0))</f>
        <v>0</v>
      </c>
      <c r="T69" s="897">
        <f>IF(ISERROR(IF(MOD(IF(AND(B69&gt;='Energy margins'!$T$62,B69&lt;='Energy margins'!$U$62),B69-'Energy margins'!$T$62,""),'Energy margins'!$V$62)=0,'Energy margins'!$S$62,0)),0,IF(MOD(IF(AND(B69&gt;='Energy margins'!$T$62,B69&lt;='Energy margins'!$U$62),B69-'Energy margins'!$T$62,""),'Energy margins'!$V$62)=0,'Energy margins'!$S$62,0))</f>
        <v>0</v>
      </c>
      <c r="U69" s="923">
        <f t="shared" si="34"/>
        <v>278.04200000000003</v>
      </c>
      <c r="V69" s="197"/>
      <c r="W69" s="197">
        <f t="shared" si="35"/>
        <v>278.04200000000003</v>
      </c>
      <c r="X69" s="197">
        <f t="shared" si="29"/>
        <v>360.89300000000003</v>
      </c>
      <c r="Y69" s="197">
        <f t="shared" si="30"/>
        <v>580.89300000000003</v>
      </c>
      <c r="Z69" s="952">
        <f t="shared" si="36"/>
        <v>546.16431579557786</v>
      </c>
      <c r="AA69" s="953">
        <f t="shared" si="37"/>
        <v>188.05692202653967</v>
      </c>
      <c r="AB69" s="953">
        <f t="shared" si="38"/>
        <v>237.67146688228701</v>
      </c>
      <c r="AC69" s="1019">
        <f t="shared" si="39"/>
        <v>308.4928489132908</v>
      </c>
      <c r="AD69" s="1019">
        <f t="shared" si="40"/>
        <v>496.54977093983047</v>
      </c>
      <c r="AE69" s="952">
        <f t="shared" si="45"/>
        <v>2219.7251056036494</v>
      </c>
      <c r="AF69" s="953">
        <f t="shared" si="41"/>
        <v>1018.5769493365078</v>
      </c>
      <c r="AG69" s="953">
        <f t="shared" si="42"/>
        <v>6419.0165705463733</v>
      </c>
      <c r="AH69" s="1019">
        <f t="shared" si="43"/>
        <v>-4199.2914649427248</v>
      </c>
      <c r="AI69" s="1020">
        <f t="shared" si="44"/>
        <v>-3180.714515606217</v>
      </c>
    </row>
    <row r="70" spans="2:35" x14ac:dyDescent="0.3">
      <c r="B70" s="881">
        <v>6</v>
      </c>
      <c r="C70" s="901">
        <f>'Energy Inputs'!F35</f>
        <v>1</v>
      </c>
      <c r="D70" s="897">
        <f>C70*'Energy Inputs'!$F$24</f>
        <v>11.617000000000001</v>
      </c>
      <c r="E70" s="197">
        <f>'Energy margins'!$S$12</f>
        <v>55</v>
      </c>
      <c r="F70" s="197">
        <f t="shared" si="32"/>
        <v>638.93500000000006</v>
      </c>
      <c r="G70" s="897">
        <f>'Energy Inputs'!$D$10</f>
        <v>220</v>
      </c>
      <c r="H70" s="197">
        <f t="shared" si="33"/>
        <v>858.93500000000006</v>
      </c>
      <c r="I70" s="197"/>
      <c r="J70" s="926">
        <f>IF(ISERROR(IF(MOD(IF(AND(B70&gt;='Energy margins'!$T$44,B70&lt;='Energy margins'!$U$44),B70-'Energy margins'!$T$44,""),'Energy margins'!$V$44)=0,'Energy margins'!$S$44,0)),0,IF(MOD(IF(AND(B70&gt;='Energy margins'!$T$44,B70&lt;='Energy margins'!$U$44),B70-'Energy margins'!$T$44,""),'Energy margins'!$V$44)=0,'Energy margins'!$S$44,0))</f>
        <v>0</v>
      </c>
      <c r="K70" s="897">
        <f>IF(ISERROR(IF(MOD(IF(AND(B70&gt;='Energy margins'!$T$45,B70&lt;='Energy margins'!$U$45),B70-'Energy margins'!$T$45,""),'Energy margins'!$V$45)=0,'Energy margins'!$S$45,0)),0,IF(MOD(IF(AND(B70&gt;='Energy margins'!$T$45,B70&lt;='Energy margins'!$U$45),B70-'Energy margins'!$T$45,""),'Energy margins'!$V$45)=0,'Energy margins'!$S$45,0))</f>
        <v>0</v>
      </c>
      <c r="L70" s="897">
        <f>IF(ISERROR(IF(MOD(IF(AND(B70&gt;='Energy margins'!$T$46,B70&lt;='Energy margins'!$U$46),B70-'Energy margins'!$T$46,""),'Energy margins'!$V$46)=0,'Energy margins'!$S$46,0)),0,IF(MOD(IF(AND(B70&gt;='Energy margins'!$T$46,B70&lt;='Energy margins'!$U$46),B70-'Energy margins'!$T$46,""),'Energy margins'!$V$46)=0,'Energy margins'!$S$46,0))</f>
        <v>0</v>
      </c>
      <c r="M70" s="897">
        <f>IF(ISERROR(IF(MOD(IF(AND(B70&gt;='Energy margins'!$T$47,B70&lt;='Energy margins'!$U$47),B70-'Energy margins'!$T$47,""),'Energy margins'!$V$47)=0,'Energy margins'!$S$47,0)),0,IF(MOD(IF(AND(B70&gt;='Energy margins'!$T$47,B70&lt;='Energy margins'!$U$47),B70-'Energy margins'!$T$47,""),'Energy margins'!$V$47)=0,'Energy margins'!$S$47,0))</f>
        <v>16.07</v>
      </c>
      <c r="N70" s="897">
        <f>IF(ISERROR(IF(MOD(IF(AND(B70&gt;='Energy margins'!$T$50,B70&lt;='Energy margins'!$U$50),B70-'Energy margins'!$T$50,""),'Energy margins'!$V$50)=0,'Energy margins'!$S$50,0)),0,IF(MOD(IF(AND(B70&gt;='Energy margins'!$T$50,B70&lt;='Energy margins'!$U$50),B70-'Energy margins'!$T$50,""),'Energy margins'!$V$50)=0,'Energy margins'!$S$50,0))</f>
        <v>65.2</v>
      </c>
      <c r="O70" s="897">
        <f>IF(ISERROR(IF(MOD(IF(AND(B70&gt;='Energy margins'!$T$53,B70&lt;='Energy margins'!$U$53),B70-'Energy margins'!$T$53,""),'Energy margins'!$V$53)=0,'Energy margins'!$S$53,0)),0,IF(MOD(IF(AND(B70&gt;='Energy margins'!$T$53,B70&lt;='Energy margins'!$U$53),B70-'Energy margins'!$T$53,""),'Energy margins'!$V$53)=0,'Energy margins'!$S$53,0))</f>
        <v>58.972000000000001</v>
      </c>
      <c r="P70" s="897">
        <f>IF(ISERROR(IF(MOD(IF(AND(B70&gt;='Energy margins'!$T$56,B70&lt;='Energy margins'!$U$56),B70-'Energy margins'!$T$56,""),'Energy margins'!$V$56)=0,'Energy margins'!$S$56,0)),0,IF(MOD(IF(AND(B70&gt;='Energy margins'!$T$56,B70&lt;='Energy margins'!$U$56),B70-'Energy margins'!$T$56,""),'Energy margins'!$V$56)=0,'Energy margins'!$S$56,0))</f>
        <v>37.800000000000004</v>
      </c>
      <c r="Q70" s="897">
        <f>IF(ISERROR(IF(MOD(IF(AND(B70&gt;='Energy margins'!$T$59,B70&lt;='Energy margins'!$U$59),B70-'Energy margins'!$T$59,""),'Energy margins'!$V$59)=0,'Energy margins'!$S$59,0)),0,IF(MOD(IF(AND(B70&gt;='Energy margins'!$T$59,B70&lt;='Energy margins'!$U$59),B70-'Energy margins'!$T$59,""),'Energy margins'!$V$59)=0,'Energy margins'!$S$59,0))</f>
        <v>100</v>
      </c>
      <c r="R70" s="897">
        <f>IF(ISERROR(IF(MOD(IF(AND(B70&gt;='Energy margins'!$T$60,B70&lt;='Energy margins'!$U$60),B70-'Energy margins'!$T$60,""),'Energy margins'!$V$60)=0,'Energy margins'!$S$60,0)),0,IF(MOD(IF(AND(B70&gt;='Energy margins'!$T$60,B70&lt;='Energy margins'!$U$60),B70-'Energy margins'!$T$60,""),'Energy margins'!$V$60)=0,'Energy margins'!$S$60,0))</f>
        <v>0</v>
      </c>
      <c r="S70" s="897">
        <f>IF(ISERROR(IF(MOD(IF(AND(B70&gt;='Energy margins'!$T$61,B70&lt;='Energy margins'!$U$61),B70-'Energy margins'!$T$61,""),'Energy margins'!$V$61)=0,'Energy margins'!$S$61,0)),0,IF(MOD(IF(AND(B70&gt;='Energy margins'!$T$61,B70&lt;='Energy margins'!$U$61),B70-'Energy margins'!$T$61,""),'Energy margins'!$V$61)=0,'Energy margins'!$S$61,0))</f>
        <v>0</v>
      </c>
      <c r="T70" s="897">
        <f>IF(ISERROR(IF(MOD(IF(AND(B70&gt;='Energy margins'!$T$62,B70&lt;='Energy margins'!$U$62),B70-'Energy margins'!$T$62,""),'Energy margins'!$V$62)=0,'Energy margins'!$S$62,0)),0,IF(MOD(IF(AND(B70&gt;='Energy margins'!$T$62,B70&lt;='Energy margins'!$U$62),B70-'Energy margins'!$T$62,""),'Energy margins'!$V$62)=0,'Energy margins'!$S$62,0))</f>
        <v>0</v>
      </c>
      <c r="U70" s="923">
        <f t="shared" si="34"/>
        <v>278.04200000000003</v>
      </c>
      <c r="V70" s="197"/>
      <c r="W70" s="197">
        <f t="shared" si="35"/>
        <v>278.04200000000003</v>
      </c>
      <c r="X70" s="197">
        <f t="shared" si="29"/>
        <v>360.89300000000003</v>
      </c>
      <c r="Y70" s="197">
        <f t="shared" si="30"/>
        <v>580.89300000000003</v>
      </c>
      <c r="Z70" s="952">
        <f t="shared" si="36"/>
        <v>525.15799595728629</v>
      </c>
      <c r="AA70" s="953">
        <f t="shared" si="37"/>
        <v>180.82396348705734</v>
      </c>
      <c r="AB70" s="953">
        <f t="shared" si="38"/>
        <v>228.53025661758366</v>
      </c>
      <c r="AC70" s="1019">
        <f t="shared" si="39"/>
        <v>296.62773933970266</v>
      </c>
      <c r="AD70" s="1019">
        <f t="shared" si="40"/>
        <v>477.45170282676003</v>
      </c>
      <c r="AE70" s="952">
        <f t="shared" si="45"/>
        <v>2744.8831015609358</v>
      </c>
      <c r="AF70" s="953">
        <f t="shared" si="41"/>
        <v>1199.4009128235652</v>
      </c>
      <c r="AG70" s="953">
        <f t="shared" si="42"/>
        <v>6647.5468271639566</v>
      </c>
      <c r="AH70" s="1019">
        <f t="shared" si="43"/>
        <v>-3902.6637256030222</v>
      </c>
      <c r="AI70" s="1020">
        <f t="shared" si="44"/>
        <v>-2703.2628127794569</v>
      </c>
    </row>
    <row r="71" spans="2:35" x14ac:dyDescent="0.3">
      <c r="B71" s="881">
        <v>7</v>
      </c>
      <c r="C71" s="901">
        <f>'Energy Inputs'!F36</f>
        <v>1</v>
      </c>
      <c r="D71" s="897">
        <f>C71*'Energy Inputs'!$F$24</f>
        <v>11.617000000000001</v>
      </c>
      <c r="E71" s="197">
        <f>'Energy margins'!$S$12</f>
        <v>55</v>
      </c>
      <c r="F71" s="197">
        <f t="shared" si="32"/>
        <v>638.93500000000006</v>
      </c>
      <c r="G71" s="897">
        <f>'Energy Inputs'!$D$10</f>
        <v>220</v>
      </c>
      <c r="H71" s="197">
        <f t="shared" si="33"/>
        <v>858.93500000000006</v>
      </c>
      <c r="I71" s="197"/>
      <c r="J71" s="926">
        <f>IF(ISERROR(IF(MOD(IF(AND(B71&gt;='Energy margins'!$T$44,B71&lt;='Energy margins'!$U$44),B71-'Energy margins'!$T$44,""),'Energy margins'!$V$44)=0,'Energy margins'!$S$44,0)),0,IF(MOD(IF(AND(B71&gt;='Energy margins'!$T$44,B71&lt;='Energy margins'!$U$44),B71-'Energy margins'!$T$44,""),'Energy margins'!$V$44)=0,'Energy margins'!$S$44,0))</f>
        <v>0</v>
      </c>
      <c r="K71" s="897">
        <f>IF(ISERROR(IF(MOD(IF(AND(B71&gt;='Energy margins'!$T$45,B71&lt;='Energy margins'!$U$45),B71-'Energy margins'!$T$45,""),'Energy margins'!$V$45)=0,'Energy margins'!$S$45,0)),0,IF(MOD(IF(AND(B71&gt;='Energy margins'!$T$45,B71&lt;='Energy margins'!$U$45),B71-'Energy margins'!$T$45,""),'Energy margins'!$V$45)=0,'Energy margins'!$S$45,0))</f>
        <v>0</v>
      </c>
      <c r="L71" s="897">
        <f>IF(ISERROR(IF(MOD(IF(AND(B71&gt;='Energy margins'!$T$46,B71&lt;='Energy margins'!$U$46),B71-'Energy margins'!$T$46,""),'Energy margins'!$V$46)=0,'Energy margins'!$S$46,0)),0,IF(MOD(IF(AND(B71&gt;='Energy margins'!$T$46,B71&lt;='Energy margins'!$U$46),B71-'Energy margins'!$T$46,""),'Energy margins'!$V$46)=0,'Energy margins'!$S$46,0))</f>
        <v>0</v>
      </c>
      <c r="M71" s="897">
        <f>IF(ISERROR(IF(MOD(IF(AND(B71&gt;='Energy margins'!$T$47,B71&lt;='Energy margins'!$U$47),B71-'Energy margins'!$T$47,""),'Energy margins'!$V$47)=0,'Energy margins'!$S$47,0)),0,IF(MOD(IF(AND(B71&gt;='Energy margins'!$T$47,B71&lt;='Energy margins'!$U$47),B71-'Energy margins'!$T$47,""),'Energy margins'!$V$47)=0,'Energy margins'!$S$47,0))</f>
        <v>16.07</v>
      </c>
      <c r="N71" s="897">
        <f>IF(ISERROR(IF(MOD(IF(AND(B71&gt;='Energy margins'!$T$50,B71&lt;='Energy margins'!$U$50),B71-'Energy margins'!$T$50,""),'Energy margins'!$V$50)=0,'Energy margins'!$S$50,0)),0,IF(MOD(IF(AND(B71&gt;='Energy margins'!$T$50,B71&lt;='Energy margins'!$U$50),B71-'Energy margins'!$T$50,""),'Energy margins'!$V$50)=0,'Energy margins'!$S$50,0))</f>
        <v>65.2</v>
      </c>
      <c r="O71" s="897">
        <f>IF(ISERROR(IF(MOD(IF(AND(B71&gt;='Energy margins'!$T$53,B71&lt;='Energy margins'!$U$53),B71-'Energy margins'!$T$53,""),'Energy margins'!$V$53)=0,'Energy margins'!$S$53,0)),0,IF(MOD(IF(AND(B71&gt;='Energy margins'!$T$53,B71&lt;='Energy margins'!$U$53),B71-'Energy margins'!$T$53,""),'Energy margins'!$V$53)=0,'Energy margins'!$S$53,0))</f>
        <v>58.972000000000001</v>
      </c>
      <c r="P71" s="897">
        <f>IF(ISERROR(IF(MOD(IF(AND(B71&gt;='Energy margins'!$T$56,B71&lt;='Energy margins'!$U$56),B71-'Energy margins'!$T$56,""),'Energy margins'!$V$56)=0,'Energy margins'!$S$56,0)),0,IF(MOD(IF(AND(B71&gt;='Energy margins'!$T$56,B71&lt;='Energy margins'!$U$56),B71-'Energy margins'!$T$56,""),'Energy margins'!$V$56)=0,'Energy margins'!$S$56,0))</f>
        <v>37.800000000000004</v>
      </c>
      <c r="Q71" s="897">
        <f>IF(ISERROR(IF(MOD(IF(AND(B71&gt;='Energy margins'!$T$59,B71&lt;='Energy margins'!$U$59),B71-'Energy margins'!$T$59,""),'Energy margins'!$V$59)=0,'Energy margins'!$S$59,0)),0,IF(MOD(IF(AND(B71&gt;='Energy margins'!$T$59,B71&lt;='Energy margins'!$U$59),B71-'Energy margins'!$T$59,""),'Energy margins'!$V$59)=0,'Energy margins'!$S$59,0))</f>
        <v>100</v>
      </c>
      <c r="R71" s="897">
        <f>IF(ISERROR(IF(MOD(IF(AND(B71&gt;='Energy margins'!$T$60,B71&lt;='Energy margins'!$U$60),B71-'Energy margins'!$T$60,""),'Energy margins'!$V$60)=0,'Energy margins'!$S$60,0)),0,IF(MOD(IF(AND(B71&gt;='Energy margins'!$T$60,B71&lt;='Energy margins'!$U$60),B71-'Energy margins'!$T$60,""),'Energy margins'!$V$60)=0,'Energy margins'!$S$60,0))</f>
        <v>0</v>
      </c>
      <c r="S71" s="897">
        <f>IF(ISERROR(IF(MOD(IF(AND(B71&gt;='Energy margins'!$T$61,B71&lt;='Energy margins'!$U$61),B71-'Energy margins'!$T$61,""),'Energy margins'!$V$61)=0,'Energy margins'!$S$61,0)),0,IF(MOD(IF(AND(B71&gt;='Energy margins'!$T$61,B71&lt;='Energy margins'!$U$61),B71-'Energy margins'!$T$61,""),'Energy margins'!$V$61)=0,'Energy margins'!$S$61,0))</f>
        <v>0</v>
      </c>
      <c r="T71" s="897">
        <f>IF(ISERROR(IF(MOD(IF(AND(B71&gt;='Energy margins'!$T$62,B71&lt;='Energy margins'!$U$62),B71-'Energy margins'!$T$62,""),'Energy margins'!$V$62)=0,'Energy margins'!$S$62,0)),0,IF(MOD(IF(AND(B71&gt;='Energy margins'!$T$62,B71&lt;='Energy margins'!$U$62),B71-'Energy margins'!$T$62,""),'Energy margins'!$V$62)=0,'Energy margins'!$S$62,0))</f>
        <v>0</v>
      </c>
      <c r="U71" s="923">
        <f t="shared" si="34"/>
        <v>278.04200000000003</v>
      </c>
      <c r="V71" s="197"/>
      <c r="W71" s="197">
        <f t="shared" si="35"/>
        <v>278.04200000000003</v>
      </c>
      <c r="X71" s="197">
        <f t="shared" si="29"/>
        <v>360.89300000000003</v>
      </c>
      <c r="Y71" s="197">
        <f t="shared" si="30"/>
        <v>580.89300000000003</v>
      </c>
      <c r="Z71" s="952">
        <f t="shared" si="36"/>
        <v>504.95961149739071</v>
      </c>
      <c r="AA71" s="953">
        <f t="shared" si="37"/>
        <v>173.86919566063204</v>
      </c>
      <c r="AB71" s="953">
        <f t="shared" si="38"/>
        <v>219.7406313630612</v>
      </c>
      <c r="AC71" s="1019">
        <f t="shared" si="39"/>
        <v>285.21898013432951</v>
      </c>
      <c r="AD71" s="1019">
        <f t="shared" si="40"/>
        <v>459.08817579496156</v>
      </c>
      <c r="AE71" s="952">
        <f t="shared" si="45"/>
        <v>3249.8427130583264</v>
      </c>
      <c r="AF71" s="953">
        <f t="shared" si="41"/>
        <v>1373.2701084841974</v>
      </c>
      <c r="AG71" s="953">
        <f t="shared" si="42"/>
        <v>6867.2874585270174</v>
      </c>
      <c r="AH71" s="1019">
        <f t="shared" si="43"/>
        <v>-3617.4447454686924</v>
      </c>
      <c r="AI71" s="1020">
        <f t="shared" si="44"/>
        <v>-2244.1746369844955</v>
      </c>
    </row>
    <row r="72" spans="2:35" x14ac:dyDescent="0.3">
      <c r="B72" s="881">
        <v>8</v>
      </c>
      <c r="C72" s="901">
        <f>'Energy Inputs'!F37</f>
        <v>1</v>
      </c>
      <c r="D72" s="897">
        <f>C72*'Energy Inputs'!$F$24</f>
        <v>11.617000000000001</v>
      </c>
      <c r="E72" s="197">
        <f>'Energy margins'!$S$12</f>
        <v>55</v>
      </c>
      <c r="F72" s="197">
        <f t="shared" si="32"/>
        <v>638.93500000000006</v>
      </c>
      <c r="G72" s="897">
        <f>'Energy Inputs'!$D$10</f>
        <v>220</v>
      </c>
      <c r="H72" s="197">
        <f t="shared" si="33"/>
        <v>858.93500000000006</v>
      </c>
      <c r="I72" s="197"/>
      <c r="J72" s="926">
        <f>IF(ISERROR(IF(MOD(IF(AND(B72&gt;='Energy margins'!$T$44,B72&lt;='Energy margins'!$U$44),B72-'Energy margins'!$T$44,""),'Energy margins'!$V$44)=0,'Energy margins'!$S$44,0)),0,IF(MOD(IF(AND(B72&gt;='Energy margins'!$T$44,B72&lt;='Energy margins'!$U$44),B72-'Energy margins'!$T$44,""),'Energy margins'!$V$44)=0,'Energy margins'!$S$44,0))</f>
        <v>0</v>
      </c>
      <c r="K72" s="897">
        <f>IF(ISERROR(IF(MOD(IF(AND(B72&gt;='Energy margins'!$T$45,B72&lt;='Energy margins'!$U$45),B72-'Energy margins'!$T$45,""),'Energy margins'!$V$45)=0,'Energy margins'!$S$45,0)),0,IF(MOD(IF(AND(B72&gt;='Energy margins'!$T$45,B72&lt;='Energy margins'!$U$45),B72-'Energy margins'!$T$45,""),'Energy margins'!$V$45)=0,'Energy margins'!$S$45,0))</f>
        <v>0</v>
      </c>
      <c r="L72" s="897">
        <f>IF(ISERROR(IF(MOD(IF(AND(B72&gt;='Energy margins'!$T$46,B72&lt;='Energy margins'!$U$46),B72-'Energy margins'!$T$46,""),'Energy margins'!$V$46)=0,'Energy margins'!$S$46,0)),0,IF(MOD(IF(AND(B72&gt;='Energy margins'!$T$46,B72&lt;='Energy margins'!$U$46),B72-'Energy margins'!$T$46,""),'Energy margins'!$V$46)=0,'Energy margins'!$S$46,0))</f>
        <v>0</v>
      </c>
      <c r="M72" s="897">
        <f>IF(ISERROR(IF(MOD(IF(AND(B72&gt;='Energy margins'!$T$47,B72&lt;='Energy margins'!$U$47),B72-'Energy margins'!$T$47,""),'Energy margins'!$V$47)=0,'Energy margins'!$S$47,0)),0,IF(MOD(IF(AND(B72&gt;='Energy margins'!$T$47,B72&lt;='Energy margins'!$U$47),B72-'Energy margins'!$T$47,""),'Energy margins'!$V$47)=0,'Energy margins'!$S$47,0))</f>
        <v>16.07</v>
      </c>
      <c r="N72" s="897">
        <f>IF(ISERROR(IF(MOD(IF(AND(B72&gt;='Energy margins'!$T$50,B72&lt;='Energy margins'!$U$50),B72-'Energy margins'!$T$50,""),'Energy margins'!$V$50)=0,'Energy margins'!$S$50,0)),0,IF(MOD(IF(AND(B72&gt;='Energy margins'!$T$50,B72&lt;='Energy margins'!$U$50),B72-'Energy margins'!$T$50,""),'Energy margins'!$V$50)=0,'Energy margins'!$S$50,0))</f>
        <v>65.2</v>
      </c>
      <c r="O72" s="897">
        <f>IF(ISERROR(IF(MOD(IF(AND(B72&gt;='Energy margins'!$T$53,B72&lt;='Energy margins'!$U$53),B72-'Energy margins'!$T$53,""),'Energy margins'!$V$53)=0,'Energy margins'!$S$53,0)),0,IF(MOD(IF(AND(B72&gt;='Energy margins'!$T$53,B72&lt;='Energy margins'!$U$53),B72-'Energy margins'!$T$53,""),'Energy margins'!$V$53)=0,'Energy margins'!$S$53,0))</f>
        <v>58.972000000000001</v>
      </c>
      <c r="P72" s="897">
        <f>IF(ISERROR(IF(MOD(IF(AND(B72&gt;='Energy margins'!$T$56,B72&lt;='Energy margins'!$U$56),B72-'Energy margins'!$T$56,""),'Energy margins'!$V$56)=0,'Energy margins'!$S$56,0)),0,IF(MOD(IF(AND(B72&gt;='Energy margins'!$T$56,B72&lt;='Energy margins'!$U$56),B72-'Energy margins'!$T$56,""),'Energy margins'!$V$56)=0,'Energy margins'!$S$56,0))</f>
        <v>37.800000000000004</v>
      </c>
      <c r="Q72" s="897">
        <f>IF(ISERROR(IF(MOD(IF(AND(B72&gt;='Energy margins'!$T$59,B72&lt;='Energy margins'!$U$59),B72-'Energy margins'!$T$59,""),'Energy margins'!$V$59)=0,'Energy margins'!$S$59,0)),0,IF(MOD(IF(AND(B72&gt;='Energy margins'!$T$59,B72&lt;='Energy margins'!$U$59),B72-'Energy margins'!$T$59,""),'Energy margins'!$V$59)=0,'Energy margins'!$S$59,0))</f>
        <v>100</v>
      </c>
      <c r="R72" s="897">
        <f>IF(ISERROR(IF(MOD(IF(AND(B72&gt;='Energy margins'!$T$60,B72&lt;='Energy margins'!$U$60),B72-'Energy margins'!$T$60,""),'Energy margins'!$V$60)=0,'Energy margins'!$S$60,0)),0,IF(MOD(IF(AND(B72&gt;='Energy margins'!$T$60,B72&lt;='Energy margins'!$U$60),B72-'Energy margins'!$T$60,""),'Energy margins'!$V$60)=0,'Energy margins'!$S$60,0))</f>
        <v>0</v>
      </c>
      <c r="S72" s="897">
        <f>IF(ISERROR(IF(MOD(IF(AND(B72&gt;='Energy margins'!$T$61,B72&lt;='Energy margins'!$U$61),B72-'Energy margins'!$T$61,""),'Energy margins'!$V$61)=0,'Energy margins'!$S$61,0)),0,IF(MOD(IF(AND(B72&gt;='Energy margins'!$T$61,B72&lt;='Energy margins'!$U$61),B72-'Energy margins'!$T$61,""),'Energy margins'!$V$61)=0,'Energy margins'!$S$61,0))</f>
        <v>0</v>
      </c>
      <c r="T72" s="897">
        <f>IF(ISERROR(IF(MOD(IF(AND(B72&gt;='Energy margins'!$T$62,B72&lt;='Energy margins'!$U$62),B72-'Energy margins'!$T$62,""),'Energy margins'!$V$62)=0,'Energy margins'!$S$62,0)),0,IF(MOD(IF(AND(B72&gt;='Energy margins'!$T$62,B72&lt;='Energy margins'!$U$62),B72-'Energy margins'!$T$62,""),'Energy margins'!$V$62)=0,'Energy margins'!$S$62,0))</f>
        <v>0</v>
      </c>
      <c r="U72" s="923">
        <f t="shared" si="34"/>
        <v>278.04200000000003</v>
      </c>
      <c r="V72" s="197"/>
      <c r="W72" s="197">
        <f t="shared" si="35"/>
        <v>278.04200000000003</v>
      </c>
      <c r="X72" s="197">
        <f t="shared" si="29"/>
        <v>360.89300000000003</v>
      </c>
      <c r="Y72" s="197">
        <f t="shared" si="30"/>
        <v>580.89300000000003</v>
      </c>
      <c r="Z72" s="952">
        <f t="shared" si="36"/>
        <v>485.53808797826031</v>
      </c>
      <c r="AA72" s="953">
        <f t="shared" si="37"/>
        <v>167.18191890445391</v>
      </c>
      <c r="AB72" s="953">
        <f t="shared" si="38"/>
        <v>211.28906861832809</v>
      </c>
      <c r="AC72" s="1019">
        <f t="shared" si="39"/>
        <v>274.24901935993222</v>
      </c>
      <c r="AD72" s="1019">
        <f t="shared" si="40"/>
        <v>441.43093826438616</v>
      </c>
      <c r="AE72" s="952">
        <f t="shared" si="45"/>
        <v>3735.3808010365865</v>
      </c>
      <c r="AF72" s="953">
        <f t="shared" si="41"/>
        <v>1540.4520273886512</v>
      </c>
      <c r="AG72" s="953">
        <f t="shared" si="42"/>
        <v>7078.5765271453456</v>
      </c>
      <c r="AH72" s="1019">
        <f t="shared" si="43"/>
        <v>-3343.19572610876</v>
      </c>
      <c r="AI72" s="1020">
        <f t="shared" si="44"/>
        <v>-1802.7436987201093</v>
      </c>
    </row>
    <row r="73" spans="2:35" x14ac:dyDescent="0.3">
      <c r="B73" s="881">
        <v>9</v>
      </c>
      <c r="C73" s="901">
        <f>'Energy Inputs'!F38</f>
        <v>1</v>
      </c>
      <c r="D73" s="897">
        <f>C73*'Energy Inputs'!$F$24</f>
        <v>11.617000000000001</v>
      </c>
      <c r="E73" s="197">
        <f>'Energy margins'!$S$12</f>
        <v>55</v>
      </c>
      <c r="F73" s="197">
        <f t="shared" si="32"/>
        <v>638.93500000000006</v>
      </c>
      <c r="G73" s="897">
        <f>'Energy Inputs'!$D$10</f>
        <v>220</v>
      </c>
      <c r="H73" s="197">
        <f t="shared" si="33"/>
        <v>858.93500000000006</v>
      </c>
      <c r="I73" s="197"/>
      <c r="J73" s="926">
        <f>IF(ISERROR(IF(MOD(IF(AND(B73&gt;='Energy margins'!$T$44,B73&lt;='Energy margins'!$U$44),B73-'Energy margins'!$T$44,""),'Energy margins'!$V$44)=0,'Energy margins'!$S$44,0)),0,IF(MOD(IF(AND(B73&gt;='Energy margins'!$T$44,B73&lt;='Energy margins'!$U$44),B73-'Energy margins'!$T$44,""),'Energy margins'!$V$44)=0,'Energy margins'!$S$44,0))</f>
        <v>0</v>
      </c>
      <c r="K73" s="897">
        <f>IF(ISERROR(IF(MOD(IF(AND(B73&gt;='Energy margins'!$T$45,B73&lt;='Energy margins'!$U$45),B73-'Energy margins'!$T$45,""),'Energy margins'!$V$45)=0,'Energy margins'!$S$45,0)),0,IF(MOD(IF(AND(B73&gt;='Energy margins'!$T$45,B73&lt;='Energy margins'!$U$45),B73-'Energy margins'!$T$45,""),'Energy margins'!$V$45)=0,'Energy margins'!$S$45,0))</f>
        <v>0</v>
      </c>
      <c r="L73" s="897">
        <f>IF(ISERROR(IF(MOD(IF(AND(B73&gt;='Energy margins'!$T$46,B73&lt;='Energy margins'!$U$46),B73-'Energy margins'!$T$46,""),'Energy margins'!$V$46)=0,'Energy margins'!$S$46,0)),0,IF(MOD(IF(AND(B73&gt;='Energy margins'!$T$46,B73&lt;='Energy margins'!$U$46),B73-'Energy margins'!$T$46,""),'Energy margins'!$V$46)=0,'Energy margins'!$S$46,0))</f>
        <v>0</v>
      </c>
      <c r="M73" s="897">
        <f>IF(ISERROR(IF(MOD(IF(AND(B73&gt;='Energy margins'!$T$47,B73&lt;='Energy margins'!$U$47),B73-'Energy margins'!$T$47,""),'Energy margins'!$V$47)=0,'Energy margins'!$S$47,0)),0,IF(MOD(IF(AND(B73&gt;='Energy margins'!$T$47,B73&lt;='Energy margins'!$U$47),B73-'Energy margins'!$T$47,""),'Energy margins'!$V$47)=0,'Energy margins'!$S$47,0))</f>
        <v>16.07</v>
      </c>
      <c r="N73" s="897">
        <f>IF(ISERROR(IF(MOD(IF(AND(B73&gt;='Energy margins'!$T$50,B73&lt;='Energy margins'!$U$50),B73-'Energy margins'!$T$50,""),'Energy margins'!$V$50)=0,'Energy margins'!$S$50,0)),0,IF(MOD(IF(AND(B73&gt;='Energy margins'!$T$50,B73&lt;='Energy margins'!$U$50),B73-'Energy margins'!$T$50,""),'Energy margins'!$V$50)=0,'Energy margins'!$S$50,0))</f>
        <v>65.2</v>
      </c>
      <c r="O73" s="897">
        <f>IF(ISERROR(IF(MOD(IF(AND(B73&gt;='Energy margins'!$T$53,B73&lt;='Energy margins'!$U$53),B73-'Energy margins'!$T$53,""),'Energy margins'!$V$53)=0,'Energy margins'!$S$53,0)),0,IF(MOD(IF(AND(B73&gt;='Energy margins'!$T$53,B73&lt;='Energy margins'!$U$53),B73-'Energy margins'!$T$53,""),'Energy margins'!$V$53)=0,'Energy margins'!$S$53,0))</f>
        <v>58.972000000000001</v>
      </c>
      <c r="P73" s="897">
        <f>IF(ISERROR(IF(MOD(IF(AND(B73&gt;='Energy margins'!$T$56,B73&lt;='Energy margins'!$U$56),B73-'Energy margins'!$T$56,""),'Energy margins'!$V$56)=0,'Energy margins'!$S$56,0)),0,IF(MOD(IF(AND(B73&gt;='Energy margins'!$T$56,B73&lt;='Energy margins'!$U$56),B73-'Energy margins'!$T$56,""),'Energy margins'!$V$56)=0,'Energy margins'!$S$56,0))</f>
        <v>37.800000000000004</v>
      </c>
      <c r="Q73" s="897">
        <f>IF(ISERROR(IF(MOD(IF(AND(B73&gt;='Energy margins'!$T$59,B73&lt;='Energy margins'!$U$59),B73-'Energy margins'!$T$59,""),'Energy margins'!$V$59)=0,'Energy margins'!$S$59,0)),0,IF(MOD(IF(AND(B73&gt;='Energy margins'!$T$59,B73&lt;='Energy margins'!$U$59),B73-'Energy margins'!$T$59,""),'Energy margins'!$V$59)=0,'Energy margins'!$S$59,0))</f>
        <v>100</v>
      </c>
      <c r="R73" s="897">
        <f>IF(ISERROR(IF(MOD(IF(AND(B73&gt;='Energy margins'!$T$60,B73&lt;='Energy margins'!$U$60),B73-'Energy margins'!$T$60,""),'Energy margins'!$V$60)=0,'Energy margins'!$S$60,0)),0,IF(MOD(IF(AND(B73&gt;='Energy margins'!$T$60,B73&lt;='Energy margins'!$U$60),B73-'Energy margins'!$T$60,""),'Energy margins'!$V$60)=0,'Energy margins'!$S$60,0))</f>
        <v>0</v>
      </c>
      <c r="S73" s="897">
        <f>IF(ISERROR(IF(MOD(IF(AND(B73&gt;='Energy margins'!$T$61,B73&lt;='Energy margins'!$U$61),B73-'Energy margins'!$T$61,""),'Energy margins'!$V$61)=0,'Energy margins'!$S$61,0)),0,IF(MOD(IF(AND(B73&gt;='Energy margins'!$T$61,B73&lt;='Energy margins'!$U$61),B73-'Energy margins'!$T$61,""),'Energy margins'!$V$61)=0,'Energy margins'!$S$61,0))</f>
        <v>0</v>
      </c>
      <c r="T73" s="897">
        <f>IF(ISERROR(IF(MOD(IF(AND(B73&gt;='Energy margins'!$T$62,B73&lt;='Energy margins'!$U$62),B73-'Energy margins'!$T$62,""),'Energy margins'!$V$62)=0,'Energy margins'!$S$62,0)),0,IF(MOD(IF(AND(B73&gt;='Energy margins'!$T$62,B73&lt;='Energy margins'!$U$62),B73-'Energy margins'!$T$62,""),'Energy margins'!$V$62)=0,'Energy margins'!$S$62,0))</f>
        <v>0</v>
      </c>
      <c r="U73" s="923">
        <f t="shared" si="34"/>
        <v>278.04200000000003</v>
      </c>
      <c r="V73" s="197"/>
      <c r="W73" s="197">
        <f t="shared" si="35"/>
        <v>278.04200000000003</v>
      </c>
      <c r="X73" s="197">
        <f t="shared" si="29"/>
        <v>360.89300000000003</v>
      </c>
      <c r="Y73" s="197">
        <f t="shared" si="30"/>
        <v>580.89300000000003</v>
      </c>
      <c r="Z73" s="952">
        <f t="shared" si="36"/>
        <v>466.86354613294253</v>
      </c>
      <c r="AA73" s="953">
        <f t="shared" si="37"/>
        <v>160.75184510043644</v>
      </c>
      <c r="AB73" s="953">
        <f t="shared" si="38"/>
        <v>203.1625659791616</v>
      </c>
      <c r="AC73" s="1019">
        <f t="shared" si="39"/>
        <v>263.70098015378096</v>
      </c>
      <c r="AD73" s="1019">
        <f t="shared" si="40"/>
        <v>424.45282525421737</v>
      </c>
      <c r="AE73" s="952">
        <f t="shared" si="45"/>
        <v>4202.2443471695287</v>
      </c>
      <c r="AF73" s="953">
        <f t="shared" si="41"/>
        <v>1701.2038724890876</v>
      </c>
      <c r="AG73" s="953">
        <f t="shared" si="42"/>
        <v>7281.7390931245072</v>
      </c>
      <c r="AH73" s="1019">
        <f t="shared" si="43"/>
        <v>-3079.494745954979</v>
      </c>
      <c r="AI73" s="1020">
        <f t="shared" si="44"/>
        <v>-1378.2908734658918</v>
      </c>
    </row>
    <row r="74" spans="2:35" x14ac:dyDescent="0.3">
      <c r="B74" s="881">
        <v>10</v>
      </c>
      <c r="C74" s="901">
        <f>'Energy Inputs'!F39</f>
        <v>1</v>
      </c>
      <c r="D74" s="897">
        <f>C74*'Energy Inputs'!$F$24</f>
        <v>11.617000000000001</v>
      </c>
      <c r="E74" s="197">
        <f>'Energy margins'!$S$12</f>
        <v>55</v>
      </c>
      <c r="F74" s="197">
        <f t="shared" si="32"/>
        <v>638.93500000000006</v>
      </c>
      <c r="G74" s="897">
        <f>'Energy Inputs'!$D$10</f>
        <v>220</v>
      </c>
      <c r="H74" s="197">
        <f t="shared" si="33"/>
        <v>858.93500000000006</v>
      </c>
      <c r="I74" s="197"/>
      <c r="J74" s="926">
        <f>IF(ISERROR(IF(MOD(IF(AND(B74&gt;='Energy margins'!$T$44,B74&lt;='Energy margins'!$U$44),B74-'Energy margins'!$T$44,""),'Energy margins'!$V$44)=0,'Energy margins'!$S$44,0)),0,IF(MOD(IF(AND(B74&gt;='Energy margins'!$T$44,B74&lt;='Energy margins'!$U$44),B74-'Energy margins'!$T$44,""),'Energy margins'!$V$44)=0,'Energy margins'!$S$44,0))</f>
        <v>0</v>
      </c>
      <c r="K74" s="897">
        <f>IF(ISERROR(IF(MOD(IF(AND(B74&gt;='Energy margins'!$T$45,B74&lt;='Energy margins'!$U$45),B74-'Energy margins'!$T$45,""),'Energy margins'!$V$45)=0,'Energy margins'!$S$45,0)),0,IF(MOD(IF(AND(B74&gt;='Energy margins'!$T$45,B74&lt;='Energy margins'!$U$45),B74-'Energy margins'!$T$45,""),'Energy margins'!$V$45)=0,'Energy margins'!$S$45,0))</f>
        <v>0</v>
      </c>
      <c r="L74" s="897">
        <f>IF(ISERROR(IF(MOD(IF(AND(B74&gt;='Energy margins'!$T$46,B74&lt;='Energy margins'!$U$46),B74-'Energy margins'!$T$46,""),'Energy margins'!$V$46)=0,'Energy margins'!$S$46,0)),0,IF(MOD(IF(AND(B74&gt;='Energy margins'!$T$46,B74&lt;='Energy margins'!$U$46),B74-'Energy margins'!$T$46,""),'Energy margins'!$V$46)=0,'Energy margins'!$S$46,0))</f>
        <v>0</v>
      </c>
      <c r="M74" s="897">
        <f>IF(ISERROR(IF(MOD(IF(AND(B74&gt;='Energy margins'!$T$47,B74&lt;='Energy margins'!$U$47),B74-'Energy margins'!$T$47,""),'Energy margins'!$V$47)=0,'Energy margins'!$S$47,0)),0,IF(MOD(IF(AND(B74&gt;='Energy margins'!$T$47,B74&lt;='Energy margins'!$U$47),B74-'Energy margins'!$T$47,""),'Energy margins'!$V$47)=0,'Energy margins'!$S$47,0))</f>
        <v>16.07</v>
      </c>
      <c r="N74" s="897">
        <f>IF(ISERROR(IF(MOD(IF(AND(B74&gt;='Energy margins'!$T$50,B74&lt;='Energy margins'!$U$50),B74-'Energy margins'!$T$50,""),'Energy margins'!$V$50)=0,'Energy margins'!$S$50,0)),0,IF(MOD(IF(AND(B74&gt;='Energy margins'!$T$50,B74&lt;='Energy margins'!$U$50),B74-'Energy margins'!$T$50,""),'Energy margins'!$V$50)=0,'Energy margins'!$S$50,0))</f>
        <v>65.2</v>
      </c>
      <c r="O74" s="897">
        <f>IF(ISERROR(IF(MOD(IF(AND(B74&gt;='Energy margins'!$T$53,B74&lt;='Energy margins'!$U$53),B74-'Energy margins'!$T$53,""),'Energy margins'!$V$53)=0,'Energy margins'!$S$53,0)),0,IF(MOD(IF(AND(B74&gt;='Energy margins'!$T$53,B74&lt;='Energy margins'!$U$53),B74-'Energy margins'!$T$53,""),'Energy margins'!$V$53)=0,'Energy margins'!$S$53,0))</f>
        <v>58.972000000000001</v>
      </c>
      <c r="P74" s="897">
        <f>IF(ISERROR(IF(MOD(IF(AND(B74&gt;='Energy margins'!$T$56,B74&lt;='Energy margins'!$U$56),B74-'Energy margins'!$T$56,""),'Energy margins'!$V$56)=0,'Energy margins'!$S$56,0)),0,IF(MOD(IF(AND(B74&gt;='Energy margins'!$T$56,B74&lt;='Energy margins'!$U$56),B74-'Energy margins'!$T$56,""),'Energy margins'!$V$56)=0,'Energy margins'!$S$56,0))</f>
        <v>37.800000000000004</v>
      </c>
      <c r="Q74" s="897">
        <f>IF(ISERROR(IF(MOD(IF(AND(B74&gt;='Energy margins'!$T$59,B74&lt;='Energy margins'!$U$59),B74-'Energy margins'!$T$59,""),'Energy margins'!$V$59)=0,'Energy margins'!$S$59,0)),0,IF(MOD(IF(AND(B74&gt;='Energy margins'!$T$59,B74&lt;='Energy margins'!$U$59),B74-'Energy margins'!$T$59,""),'Energy margins'!$V$59)=0,'Energy margins'!$S$59,0))</f>
        <v>100</v>
      </c>
      <c r="R74" s="897">
        <f>IF(ISERROR(IF(MOD(IF(AND(B74&gt;='Energy margins'!$T$60,B74&lt;='Energy margins'!$U$60),B74-'Energy margins'!$T$60,""),'Energy margins'!$V$60)=0,'Energy margins'!$S$60,0)),0,IF(MOD(IF(AND(B74&gt;='Energy margins'!$T$60,B74&lt;='Energy margins'!$U$60),B74-'Energy margins'!$T$60,""),'Energy margins'!$V$60)=0,'Energy margins'!$S$60,0))</f>
        <v>0</v>
      </c>
      <c r="S74" s="897">
        <f>IF(ISERROR(IF(MOD(IF(AND(B74&gt;='Energy margins'!$T$61,B74&lt;='Energy margins'!$U$61),B74-'Energy margins'!$T$61,""),'Energy margins'!$V$61)=0,'Energy margins'!$S$61,0)),0,IF(MOD(IF(AND(B74&gt;='Energy margins'!$T$61,B74&lt;='Energy margins'!$U$61),B74-'Energy margins'!$T$61,""),'Energy margins'!$V$61)=0,'Energy margins'!$S$61,0))</f>
        <v>0</v>
      </c>
      <c r="T74" s="897">
        <f>IF(ISERROR(IF(MOD(IF(AND(B74&gt;='Energy margins'!$T$62,B74&lt;='Energy margins'!$U$62),B74-'Energy margins'!$T$62,""),'Energy margins'!$V$62)=0,'Energy margins'!$S$62,0)),0,IF(MOD(IF(AND(B74&gt;='Energy margins'!$T$62,B74&lt;='Energy margins'!$U$62),B74-'Energy margins'!$T$62,""),'Energy margins'!$V$62)=0,'Energy margins'!$S$62,0))</f>
        <v>0</v>
      </c>
      <c r="U74" s="923">
        <f t="shared" si="34"/>
        <v>278.04200000000003</v>
      </c>
      <c r="V74" s="197"/>
      <c r="W74" s="197">
        <f t="shared" si="35"/>
        <v>278.04200000000003</v>
      </c>
      <c r="X74" s="197">
        <f t="shared" si="29"/>
        <v>360.89300000000003</v>
      </c>
      <c r="Y74" s="197">
        <f t="shared" si="30"/>
        <v>580.89300000000003</v>
      </c>
      <c r="Z74" s="952">
        <f t="shared" si="36"/>
        <v>448.90725589706011</v>
      </c>
      <c r="AA74" s="953">
        <f t="shared" si="37"/>
        <v>154.5690818273427</v>
      </c>
      <c r="AB74" s="953">
        <f t="shared" si="38"/>
        <v>195.34862113380922</v>
      </c>
      <c r="AC74" s="1019">
        <f t="shared" si="39"/>
        <v>253.55863476325089</v>
      </c>
      <c r="AD74" s="1019">
        <f t="shared" si="40"/>
        <v>408.12771659059359</v>
      </c>
      <c r="AE74" s="952">
        <f t="shared" si="45"/>
        <v>4651.1516030665889</v>
      </c>
      <c r="AF74" s="953">
        <f t="shared" si="41"/>
        <v>1855.7729543164303</v>
      </c>
      <c r="AG74" s="953">
        <f t="shared" si="42"/>
        <v>7477.0877142583167</v>
      </c>
      <c r="AH74" s="1019">
        <f t="shared" si="43"/>
        <v>-2825.9361111917278</v>
      </c>
      <c r="AI74" s="1020">
        <f t="shared" si="44"/>
        <v>-970.16315687529823</v>
      </c>
    </row>
    <row r="75" spans="2:35" x14ac:dyDescent="0.3">
      <c r="B75" s="881">
        <v>11</v>
      </c>
      <c r="C75" s="901">
        <f>'Energy Inputs'!F40</f>
        <v>1</v>
      </c>
      <c r="D75" s="897">
        <f>C75*'Energy Inputs'!$F$24</f>
        <v>11.617000000000001</v>
      </c>
      <c r="E75" s="197">
        <f>'Energy margins'!$S$12</f>
        <v>55</v>
      </c>
      <c r="F75" s="197">
        <f t="shared" si="32"/>
        <v>638.93500000000006</v>
      </c>
      <c r="G75" s="897">
        <f>'Energy Inputs'!$D$10</f>
        <v>220</v>
      </c>
      <c r="H75" s="197">
        <f t="shared" si="33"/>
        <v>858.93500000000006</v>
      </c>
      <c r="I75" s="197"/>
      <c r="J75" s="926">
        <f>IF(ISERROR(IF(MOD(IF(AND(B75&gt;='Energy margins'!$T$44,B75&lt;='Energy margins'!$U$44),B75-'Energy margins'!$T$44,""),'Energy margins'!$V$44)=0,'Energy margins'!$S$44,0)),0,IF(MOD(IF(AND(B75&gt;='Energy margins'!$T$44,B75&lt;='Energy margins'!$U$44),B75-'Energy margins'!$T$44,""),'Energy margins'!$V$44)=0,'Energy margins'!$S$44,0))</f>
        <v>0</v>
      </c>
      <c r="K75" s="897">
        <f>IF(ISERROR(IF(MOD(IF(AND(B75&gt;='Energy margins'!$T$45,B75&lt;='Energy margins'!$U$45),B75-'Energy margins'!$T$45,""),'Energy margins'!$V$45)=0,'Energy margins'!$S$45,0)),0,IF(MOD(IF(AND(B75&gt;='Energy margins'!$T$45,B75&lt;='Energy margins'!$U$45),B75-'Energy margins'!$T$45,""),'Energy margins'!$V$45)=0,'Energy margins'!$S$45,0))</f>
        <v>0</v>
      </c>
      <c r="L75" s="897">
        <f>IF(ISERROR(IF(MOD(IF(AND(B75&gt;='Energy margins'!$T$46,B75&lt;='Energy margins'!$U$46),B75-'Energy margins'!$T$46,""),'Energy margins'!$V$46)=0,'Energy margins'!$S$46,0)),0,IF(MOD(IF(AND(B75&gt;='Energy margins'!$T$46,B75&lt;='Energy margins'!$U$46),B75-'Energy margins'!$T$46,""),'Energy margins'!$V$46)=0,'Energy margins'!$S$46,0))</f>
        <v>0</v>
      </c>
      <c r="M75" s="897">
        <f>IF(ISERROR(IF(MOD(IF(AND(B75&gt;='Energy margins'!$T$47,B75&lt;='Energy margins'!$U$47),B75-'Energy margins'!$T$47,""),'Energy margins'!$V$47)=0,'Energy margins'!$S$47,0)),0,IF(MOD(IF(AND(B75&gt;='Energy margins'!$T$47,B75&lt;='Energy margins'!$U$47),B75-'Energy margins'!$T$47,""),'Energy margins'!$V$47)=0,'Energy margins'!$S$47,0))</f>
        <v>16.07</v>
      </c>
      <c r="N75" s="897">
        <f>IF(ISERROR(IF(MOD(IF(AND(B75&gt;='Energy margins'!$T$50,B75&lt;='Energy margins'!$U$50),B75-'Energy margins'!$T$50,""),'Energy margins'!$V$50)=0,'Energy margins'!$S$50,0)),0,IF(MOD(IF(AND(B75&gt;='Energy margins'!$T$50,B75&lt;='Energy margins'!$U$50),B75-'Energy margins'!$T$50,""),'Energy margins'!$V$50)=0,'Energy margins'!$S$50,0))</f>
        <v>65.2</v>
      </c>
      <c r="O75" s="897">
        <f>IF(ISERROR(IF(MOD(IF(AND(B75&gt;='Energy margins'!$T$53,B75&lt;='Energy margins'!$U$53),B75-'Energy margins'!$T$53,""),'Energy margins'!$V$53)=0,'Energy margins'!$S$53,0)),0,IF(MOD(IF(AND(B75&gt;='Energy margins'!$T$53,B75&lt;='Energy margins'!$U$53),B75-'Energy margins'!$T$53,""),'Energy margins'!$V$53)=0,'Energy margins'!$S$53,0))</f>
        <v>58.972000000000001</v>
      </c>
      <c r="P75" s="897">
        <f>IF(ISERROR(IF(MOD(IF(AND(B75&gt;='Energy margins'!$T$56,B75&lt;='Energy margins'!$U$56),B75-'Energy margins'!$T$56,""),'Energy margins'!$V$56)=0,'Energy margins'!$S$56,0)),0,IF(MOD(IF(AND(B75&gt;='Energy margins'!$T$56,B75&lt;='Energy margins'!$U$56),B75-'Energy margins'!$T$56,""),'Energy margins'!$V$56)=0,'Energy margins'!$S$56,0))</f>
        <v>37.800000000000004</v>
      </c>
      <c r="Q75" s="897">
        <f>IF(ISERROR(IF(MOD(IF(AND(B75&gt;='Energy margins'!$T$59,B75&lt;='Energy margins'!$U$59),B75-'Energy margins'!$T$59,""),'Energy margins'!$V$59)=0,'Energy margins'!$S$59,0)),0,IF(MOD(IF(AND(B75&gt;='Energy margins'!$T$59,B75&lt;='Energy margins'!$U$59),B75-'Energy margins'!$T$59,""),'Energy margins'!$V$59)=0,'Energy margins'!$S$59,0))</f>
        <v>100</v>
      </c>
      <c r="R75" s="897">
        <f>IF(ISERROR(IF(MOD(IF(AND(B75&gt;='Energy margins'!$T$60,B75&lt;='Energy margins'!$U$60),B75-'Energy margins'!$T$60,""),'Energy margins'!$V$60)=0,'Energy margins'!$S$60,0)),0,IF(MOD(IF(AND(B75&gt;='Energy margins'!$T$60,B75&lt;='Energy margins'!$U$60),B75-'Energy margins'!$T$60,""),'Energy margins'!$V$60)=0,'Energy margins'!$S$60,0))</f>
        <v>0</v>
      </c>
      <c r="S75" s="897">
        <f>IF(ISERROR(IF(MOD(IF(AND(B75&gt;='Energy margins'!$T$61,B75&lt;='Energy margins'!$U$61),B75-'Energy margins'!$T$61,""),'Energy margins'!$V$61)=0,'Energy margins'!$S$61,0)),0,IF(MOD(IF(AND(B75&gt;='Energy margins'!$T$61,B75&lt;='Energy margins'!$U$61),B75-'Energy margins'!$T$61,""),'Energy margins'!$V$61)=0,'Energy margins'!$S$61,0))</f>
        <v>0</v>
      </c>
      <c r="T75" s="897">
        <f>IF(ISERROR(IF(MOD(IF(AND(B75&gt;='Energy margins'!$T$62,B75&lt;='Energy margins'!$U$62),B75-'Energy margins'!$T$62,""),'Energy margins'!$V$62)=0,'Energy margins'!$S$62,0)),0,IF(MOD(IF(AND(B75&gt;='Energy margins'!$T$62,B75&lt;='Energy margins'!$U$62),B75-'Energy margins'!$T$62,""),'Energy margins'!$V$62)=0,'Energy margins'!$S$62,0))</f>
        <v>0</v>
      </c>
      <c r="U75" s="923">
        <f t="shared" si="34"/>
        <v>278.04200000000003</v>
      </c>
      <c r="V75" s="197"/>
      <c r="W75" s="197">
        <f t="shared" si="35"/>
        <v>278.04200000000003</v>
      </c>
      <c r="X75" s="197">
        <f t="shared" si="29"/>
        <v>360.89300000000003</v>
      </c>
      <c r="Y75" s="197">
        <f t="shared" si="30"/>
        <v>580.89300000000003</v>
      </c>
      <c r="Z75" s="952">
        <f t="shared" si="36"/>
        <v>431.64159220871164</v>
      </c>
      <c r="AA75" s="953">
        <f t="shared" si="37"/>
        <v>148.62411714167567</v>
      </c>
      <c r="AB75" s="953">
        <f t="shared" si="38"/>
        <v>187.8352126286627</v>
      </c>
      <c r="AC75" s="1019">
        <f t="shared" si="39"/>
        <v>243.80637958004894</v>
      </c>
      <c r="AD75" s="1019">
        <f t="shared" si="40"/>
        <v>392.43049672172464</v>
      </c>
      <c r="AE75" s="952">
        <f t="shared" si="45"/>
        <v>5082.7931952753006</v>
      </c>
      <c r="AF75" s="953">
        <f t="shared" si="41"/>
        <v>2004.397071458106</v>
      </c>
      <c r="AG75" s="953">
        <f t="shared" si="42"/>
        <v>7664.9229268869794</v>
      </c>
      <c r="AH75" s="1019">
        <f t="shared" si="43"/>
        <v>-2582.1297316116788</v>
      </c>
      <c r="AI75" s="1020">
        <f t="shared" si="44"/>
        <v>-577.73266015357353</v>
      </c>
    </row>
    <row r="76" spans="2:35" x14ac:dyDescent="0.3">
      <c r="B76" s="881">
        <v>12</v>
      </c>
      <c r="C76" s="901">
        <f>'Energy Inputs'!F41</f>
        <v>1</v>
      </c>
      <c r="D76" s="897">
        <f>C76*'Energy Inputs'!$F$24</f>
        <v>11.617000000000001</v>
      </c>
      <c r="E76" s="197">
        <f>'Energy margins'!$S$12</f>
        <v>55</v>
      </c>
      <c r="F76" s="197">
        <f t="shared" si="32"/>
        <v>638.93500000000006</v>
      </c>
      <c r="G76" s="897">
        <f>'Energy Inputs'!$D$10</f>
        <v>220</v>
      </c>
      <c r="H76" s="197">
        <f t="shared" si="33"/>
        <v>858.93500000000006</v>
      </c>
      <c r="I76" s="197"/>
      <c r="J76" s="926">
        <f>IF(ISERROR(IF(MOD(IF(AND(B76&gt;='Energy margins'!$T$44,B76&lt;='Energy margins'!$U$44),B76-'Energy margins'!$T$44,""),'Energy margins'!$V$44)=0,'Energy margins'!$S$44,0)),0,IF(MOD(IF(AND(B76&gt;='Energy margins'!$T$44,B76&lt;='Energy margins'!$U$44),B76-'Energy margins'!$T$44,""),'Energy margins'!$V$44)=0,'Energy margins'!$S$44,0))</f>
        <v>0</v>
      </c>
      <c r="K76" s="897">
        <f>IF(ISERROR(IF(MOD(IF(AND(B76&gt;='Energy margins'!$T$45,B76&lt;='Energy margins'!$U$45),B76-'Energy margins'!$T$45,""),'Energy margins'!$V$45)=0,'Energy margins'!$S$45,0)),0,IF(MOD(IF(AND(B76&gt;='Energy margins'!$T$45,B76&lt;='Energy margins'!$U$45),B76-'Energy margins'!$T$45,""),'Energy margins'!$V$45)=0,'Energy margins'!$S$45,0))</f>
        <v>0</v>
      </c>
      <c r="L76" s="897">
        <f>IF(ISERROR(IF(MOD(IF(AND(B76&gt;='Energy margins'!$T$46,B76&lt;='Energy margins'!$U$46),B76-'Energy margins'!$T$46,""),'Energy margins'!$V$46)=0,'Energy margins'!$S$46,0)),0,IF(MOD(IF(AND(B76&gt;='Energy margins'!$T$46,B76&lt;='Energy margins'!$U$46),B76-'Energy margins'!$T$46,""),'Energy margins'!$V$46)=0,'Energy margins'!$S$46,0))</f>
        <v>0</v>
      </c>
      <c r="M76" s="897">
        <f>IF(ISERROR(IF(MOD(IF(AND(B76&gt;='Energy margins'!$T$47,B76&lt;='Energy margins'!$U$47),B76-'Energy margins'!$T$47,""),'Energy margins'!$V$47)=0,'Energy margins'!$S$47,0)),0,IF(MOD(IF(AND(B76&gt;='Energy margins'!$T$47,B76&lt;='Energy margins'!$U$47),B76-'Energy margins'!$T$47,""),'Energy margins'!$V$47)=0,'Energy margins'!$S$47,0))</f>
        <v>16.07</v>
      </c>
      <c r="N76" s="897">
        <f>IF(ISERROR(IF(MOD(IF(AND(B76&gt;='Energy margins'!$T$50,B76&lt;='Energy margins'!$U$50),B76-'Energy margins'!$T$50,""),'Energy margins'!$V$50)=0,'Energy margins'!$S$50,0)),0,IF(MOD(IF(AND(B76&gt;='Energy margins'!$T$50,B76&lt;='Energy margins'!$U$50),B76-'Energy margins'!$T$50,""),'Energy margins'!$V$50)=0,'Energy margins'!$S$50,0))</f>
        <v>65.2</v>
      </c>
      <c r="O76" s="897">
        <f>IF(ISERROR(IF(MOD(IF(AND(B76&gt;='Energy margins'!$T$53,B76&lt;='Energy margins'!$U$53),B76-'Energy margins'!$T$53,""),'Energy margins'!$V$53)=0,'Energy margins'!$S$53,0)),0,IF(MOD(IF(AND(B76&gt;='Energy margins'!$T$53,B76&lt;='Energy margins'!$U$53),B76-'Energy margins'!$T$53,""),'Energy margins'!$V$53)=0,'Energy margins'!$S$53,0))</f>
        <v>58.972000000000001</v>
      </c>
      <c r="P76" s="897">
        <f>IF(ISERROR(IF(MOD(IF(AND(B76&gt;='Energy margins'!$T$56,B76&lt;='Energy margins'!$U$56),B76-'Energy margins'!$T$56,""),'Energy margins'!$V$56)=0,'Energy margins'!$S$56,0)),0,IF(MOD(IF(AND(B76&gt;='Energy margins'!$T$56,B76&lt;='Energy margins'!$U$56),B76-'Energy margins'!$T$56,""),'Energy margins'!$V$56)=0,'Energy margins'!$S$56,0))</f>
        <v>37.800000000000004</v>
      </c>
      <c r="Q76" s="897">
        <f>IF(ISERROR(IF(MOD(IF(AND(B76&gt;='Energy margins'!$T$59,B76&lt;='Energy margins'!$U$59),B76-'Energy margins'!$T$59,""),'Energy margins'!$V$59)=0,'Energy margins'!$S$59,0)),0,IF(MOD(IF(AND(B76&gt;='Energy margins'!$T$59,B76&lt;='Energy margins'!$U$59),B76-'Energy margins'!$T$59,""),'Energy margins'!$V$59)=0,'Energy margins'!$S$59,0))</f>
        <v>100</v>
      </c>
      <c r="R76" s="897">
        <f>IF(ISERROR(IF(MOD(IF(AND(B76&gt;='Energy margins'!$T$60,B76&lt;='Energy margins'!$U$60),B76-'Energy margins'!$T$60,""),'Energy margins'!$V$60)=0,'Energy margins'!$S$60,0)),0,IF(MOD(IF(AND(B76&gt;='Energy margins'!$T$60,B76&lt;='Energy margins'!$U$60),B76-'Energy margins'!$T$60,""),'Energy margins'!$V$60)=0,'Energy margins'!$S$60,0))</f>
        <v>0</v>
      </c>
      <c r="S76" s="897">
        <f>IF(ISERROR(IF(MOD(IF(AND(B76&gt;='Energy margins'!$T$61,B76&lt;='Energy margins'!$U$61),B76-'Energy margins'!$T$61,""),'Energy margins'!$V$61)=0,'Energy margins'!$S$61,0)),0,IF(MOD(IF(AND(B76&gt;='Energy margins'!$T$61,B76&lt;='Energy margins'!$U$61),B76-'Energy margins'!$T$61,""),'Energy margins'!$V$61)=0,'Energy margins'!$S$61,0))</f>
        <v>0</v>
      </c>
      <c r="T76" s="897">
        <f>IF(ISERROR(IF(MOD(IF(AND(B76&gt;='Energy margins'!$T$62,B76&lt;='Energy margins'!$U$62),B76-'Energy margins'!$T$62,""),'Energy margins'!$V$62)=0,'Energy margins'!$S$62,0)),0,IF(MOD(IF(AND(B76&gt;='Energy margins'!$T$62,B76&lt;='Energy margins'!$U$62),B76-'Energy margins'!$T$62,""),'Energy margins'!$V$62)=0,'Energy margins'!$S$62,0))</f>
        <v>0</v>
      </c>
      <c r="U76" s="923">
        <f t="shared" si="34"/>
        <v>278.04200000000003</v>
      </c>
      <c r="V76" s="197"/>
      <c r="W76" s="197">
        <f t="shared" si="35"/>
        <v>278.04200000000003</v>
      </c>
      <c r="X76" s="197">
        <f t="shared" si="29"/>
        <v>360.89300000000003</v>
      </c>
      <c r="Y76" s="197">
        <f t="shared" si="30"/>
        <v>580.89300000000003</v>
      </c>
      <c r="Z76" s="952">
        <f t="shared" si="36"/>
        <v>415.0399925083766</v>
      </c>
      <c r="AA76" s="953">
        <f t="shared" si="37"/>
        <v>142.90780494391893</v>
      </c>
      <c r="AB76" s="953">
        <f t="shared" si="38"/>
        <v>180.61078137371416</v>
      </c>
      <c r="AC76" s="1019">
        <f t="shared" si="39"/>
        <v>234.42921113466247</v>
      </c>
      <c r="AD76" s="1019">
        <f t="shared" si="40"/>
        <v>377.33701607858137</v>
      </c>
      <c r="AE76" s="952">
        <f t="shared" si="45"/>
        <v>5497.8331877836772</v>
      </c>
      <c r="AF76" s="953">
        <f t="shared" si="41"/>
        <v>2147.304876402025</v>
      </c>
      <c r="AG76" s="953">
        <f t="shared" si="42"/>
        <v>7845.5337082606939</v>
      </c>
      <c r="AH76" s="1019">
        <f t="shared" si="43"/>
        <v>-2347.7005204770162</v>
      </c>
      <c r="AI76" s="1020">
        <f t="shared" si="44"/>
        <v>-200.39564407499216</v>
      </c>
    </row>
    <row r="77" spans="2:35" x14ac:dyDescent="0.3">
      <c r="B77" s="881">
        <v>13</v>
      </c>
      <c r="C77" s="901">
        <f>'Energy Inputs'!F42</f>
        <v>1</v>
      </c>
      <c r="D77" s="897">
        <f>C77*'Energy Inputs'!$F$24</f>
        <v>11.617000000000001</v>
      </c>
      <c r="E77" s="197">
        <f>'Energy margins'!$S$12</f>
        <v>55</v>
      </c>
      <c r="F77" s="197">
        <f t="shared" si="32"/>
        <v>638.93500000000006</v>
      </c>
      <c r="G77" s="897">
        <f>'Energy Inputs'!$D$10</f>
        <v>220</v>
      </c>
      <c r="H77" s="197">
        <f t="shared" si="33"/>
        <v>858.93500000000006</v>
      </c>
      <c r="I77" s="197"/>
      <c r="J77" s="926">
        <f>IF(ISERROR(IF(MOD(IF(AND(B77&gt;='Energy margins'!$T$44,B77&lt;='Energy margins'!$U$44),B77-'Energy margins'!$T$44,""),'Energy margins'!$V$44)=0,'Energy margins'!$S$44,0)),0,IF(MOD(IF(AND(B77&gt;='Energy margins'!$T$44,B77&lt;='Energy margins'!$U$44),B77-'Energy margins'!$T$44,""),'Energy margins'!$V$44)=0,'Energy margins'!$S$44,0))</f>
        <v>0</v>
      </c>
      <c r="K77" s="897">
        <f>IF(ISERROR(IF(MOD(IF(AND(B77&gt;='Energy margins'!$T$45,B77&lt;='Energy margins'!$U$45),B77-'Energy margins'!$T$45,""),'Energy margins'!$V$45)=0,'Energy margins'!$S$45,0)),0,IF(MOD(IF(AND(B77&gt;='Energy margins'!$T$45,B77&lt;='Energy margins'!$U$45),B77-'Energy margins'!$T$45,""),'Energy margins'!$V$45)=0,'Energy margins'!$S$45,0))</f>
        <v>0</v>
      </c>
      <c r="L77" s="897">
        <f>IF(ISERROR(IF(MOD(IF(AND(B77&gt;='Energy margins'!$T$46,B77&lt;='Energy margins'!$U$46),B77-'Energy margins'!$T$46,""),'Energy margins'!$V$46)=0,'Energy margins'!$S$46,0)),0,IF(MOD(IF(AND(B77&gt;='Energy margins'!$T$46,B77&lt;='Energy margins'!$U$46),B77-'Energy margins'!$T$46,""),'Energy margins'!$V$46)=0,'Energy margins'!$S$46,0))</f>
        <v>0</v>
      </c>
      <c r="M77" s="897">
        <f>IF(ISERROR(IF(MOD(IF(AND(B77&gt;='Energy margins'!$T$47,B77&lt;='Energy margins'!$U$47),B77-'Energy margins'!$T$47,""),'Energy margins'!$V$47)=0,'Energy margins'!$S$47,0)),0,IF(MOD(IF(AND(B77&gt;='Energy margins'!$T$47,B77&lt;='Energy margins'!$U$47),B77-'Energy margins'!$T$47,""),'Energy margins'!$V$47)=0,'Energy margins'!$S$47,0))</f>
        <v>16.07</v>
      </c>
      <c r="N77" s="897">
        <f>IF(ISERROR(IF(MOD(IF(AND(B77&gt;='Energy margins'!$T$50,B77&lt;='Energy margins'!$U$50),B77-'Energy margins'!$T$50,""),'Energy margins'!$V$50)=0,'Energy margins'!$S$50,0)),0,IF(MOD(IF(AND(B77&gt;='Energy margins'!$T$50,B77&lt;='Energy margins'!$U$50),B77-'Energy margins'!$T$50,""),'Energy margins'!$V$50)=0,'Energy margins'!$S$50,0))</f>
        <v>65.2</v>
      </c>
      <c r="O77" s="897">
        <f>IF(ISERROR(IF(MOD(IF(AND(B77&gt;='Energy margins'!$T$53,B77&lt;='Energy margins'!$U$53),B77-'Energy margins'!$T$53,""),'Energy margins'!$V$53)=0,'Energy margins'!$S$53,0)),0,IF(MOD(IF(AND(B77&gt;='Energy margins'!$T$53,B77&lt;='Energy margins'!$U$53),B77-'Energy margins'!$T$53,""),'Energy margins'!$V$53)=0,'Energy margins'!$S$53,0))</f>
        <v>58.972000000000001</v>
      </c>
      <c r="P77" s="897">
        <f>IF(ISERROR(IF(MOD(IF(AND(B77&gt;='Energy margins'!$T$56,B77&lt;='Energy margins'!$U$56),B77-'Energy margins'!$T$56,""),'Energy margins'!$V$56)=0,'Energy margins'!$S$56,0)),0,IF(MOD(IF(AND(B77&gt;='Energy margins'!$T$56,B77&lt;='Energy margins'!$U$56),B77-'Energy margins'!$T$56,""),'Energy margins'!$V$56)=0,'Energy margins'!$S$56,0))</f>
        <v>37.800000000000004</v>
      </c>
      <c r="Q77" s="897">
        <f>IF(ISERROR(IF(MOD(IF(AND(B77&gt;='Energy margins'!$T$59,B77&lt;='Energy margins'!$U$59),B77-'Energy margins'!$T$59,""),'Energy margins'!$V$59)=0,'Energy margins'!$S$59,0)),0,IF(MOD(IF(AND(B77&gt;='Energy margins'!$T$59,B77&lt;='Energy margins'!$U$59),B77-'Energy margins'!$T$59,""),'Energy margins'!$V$59)=0,'Energy margins'!$S$59,0))</f>
        <v>100</v>
      </c>
      <c r="R77" s="897">
        <f>IF(ISERROR(IF(MOD(IF(AND(B77&gt;='Energy margins'!$T$60,B77&lt;='Energy margins'!$U$60),B77-'Energy margins'!$T$60,""),'Energy margins'!$V$60)=0,'Energy margins'!$S$60,0)),0,IF(MOD(IF(AND(B77&gt;='Energy margins'!$T$60,B77&lt;='Energy margins'!$U$60),B77-'Energy margins'!$T$60,""),'Energy margins'!$V$60)=0,'Energy margins'!$S$60,0))</f>
        <v>0</v>
      </c>
      <c r="S77" s="897">
        <f>IF(ISERROR(IF(MOD(IF(AND(B77&gt;='Energy margins'!$T$61,B77&lt;='Energy margins'!$U$61),B77-'Energy margins'!$T$61,""),'Energy margins'!$V$61)=0,'Energy margins'!$S$61,0)),0,IF(MOD(IF(AND(B77&gt;='Energy margins'!$T$61,B77&lt;='Energy margins'!$U$61),B77-'Energy margins'!$T$61,""),'Energy margins'!$V$61)=0,'Energy margins'!$S$61,0))</f>
        <v>0</v>
      </c>
      <c r="T77" s="897">
        <f>IF(ISERROR(IF(MOD(IF(AND(B77&gt;='Energy margins'!$T$62,B77&lt;='Energy margins'!$U$62),B77-'Energy margins'!$T$62,""),'Energy margins'!$V$62)=0,'Energy margins'!$S$62,0)),0,IF(MOD(IF(AND(B77&gt;='Energy margins'!$T$62,B77&lt;='Energy margins'!$U$62),B77-'Energy margins'!$T$62,""),'Energy margins'!$V$62)=0,'Energy margins'!$S$62,0))</f>
        <v>0</v>
      </c>
      <c r="U77" s="923">
        <f t="shared" si="34"/>
        <v>278.04200000000003</v>
      </c>
      <c r="V77" s="197"/>
      <c r="W77" s="197">
        <f t="shared" si="35"/>
        <v>278.04200000000003</v>
      </c>
      <c r="X77" s="197">
        <f t="shared" si="29"/>
        <v>360.89300000000003</v>
      </c>
      <c r="Y77" s="197">
        <f t="shared" si="30"/>
        <v>580.89300000000003</v>
      </c>
      <c r="Z77" s="952">
        <f t="shared" si="36"/>
        <v>399.07691587343896</v>
      </c>
      <c r="AA77" s="953">
        <f t="shared" si="37"/>
        <v>137.41135090761432</v>
      </c>
      <c r="AB77" s="953">
        <f t="shared" si="38"/>
        <v>173.66421285934049</v>
      </c>
      <c r="AC77" s="1019">
        <f t="shared" si="39"/>
        <v>225.41270301409847</v>
      </c>
      <c r="AD77" s="1019">
        <f t="shared" si="40"/>
        <v>362.82405392171279</v>
      </c>
      <c r="AE77" s="952">
        <f t="shared" si="45"/>
        <v>5896.9101036571165</v>
      </c>
      <c r="AF77" s="953">
        <f t="shared" si="41"/>
        <v>2284.7162273096392</v>
      </c>
      <c r="AG77" s="953">
        <f t="shared" si="42"/>
        <v>8019.1979211200342</v>
      </c>
      <c r="AH77" s="1019">
        <f t="shared" si="43"/>
        <v>-2122.2878174629177</v>
      </c>
      <c r="AI77" s="1020">
        <f t="shared" si="44"/>
        <v>162.42840984672063</v>
      </c>
    </row>
    <row r="78" spans="2:35" x14ac:dyDescent="0.3">
      <c r="B78" s="881">
        <v>14</v>
      </c>
      <c r="C78" s="901">
        <f>'Energy Inputs'!F43</f>
        <v>1</v>
      </c>
      <c r="D78" s="897">
        <f>C78*'Energy Inputs'!$F$24</f>
        <v>11.617000000000001</v>
      </c>
      <c r="E78" s="197">
        <f>'Energy margins'!$S$12</f>
        <v>55</v>
      </c>
      <c r="F78" s="197">
        <f t="shared" si="32"/>
        <v>638.93500000000006</v>
      </c>
      <c r="G78" s="897">
        <f>'Energy Inputs'!$D$10</f>
        <v>220</v>
      </c>
      <c r="H78" s="197">
        <f t="shared" si="33"/>
        <v>858.93500000000006</v>
      </c>
      <c r="I78" s="197"/>
      <c r="J78" s="926">
        <f>IF(ISERROR(IF(MOD(IF(AND(B78&gt;='Energy margins'!$T$44,B78&lt;='Energy margins'!$U$44),B78-'Energy margins'!$T$44,""),'Energy margins'!$V$44)=0,'Energy margins'!$S$44,0)),0,IF(MOD(IF(AND(B78&gt;='Energy margins'!$T$44,B78&lt;='Energy margins'!$U$44),B78-'Energy margins'!$T$44,""),'Energy margins'!$V$44)=0,'Energy margins'!$S$44,0))</f>
        <v>0</v>
      </c>
      <c r="K78" s="897">
        <f>IF(ISERROR(IF(MOD(IF(AND(B78&gt;='Energy margins'!$T$45,B78&lt;='Energy margins'!$U$45),B78-'Energy margins'!$T$45,""),'Energy margins'!$V$45)=0,'Energy margins'!$S$45,0)),0,IF(MOD(IF(AND(B78&gt;='Energy margins'!$T$45,B78&lt;='Energy margins'!$U$45),B78-'Energy margins'!$T$45,""),'Energy margins'!$V$45)=0,'Energy margins'!$S$45,0))</f>
        <v>0</v>
      </c>
      <c r="L78" s="897">
        <f>IF(ISERROR(IF(MOD(IF(AND(B78&gt;='Energy margins'!$T$46,B78&lt;='Energy margins'!$U$46),B78-'Energy margins'!$T$46,""),'Energy margins'!$V$46)=0,'Energy margins'!$S$46,0)),0,IF(MOD(IF(AND(B78&gt;='Energy margins'!$T$46,B78&lt;='Energy margins'!$U$46),B78-'Energy margins'!$T$46,""),'Energy margins'!$V$46)=0,'Energy margins'!$S$46,0))</f>
        <v>0</v>
      </c>
      <c r="M78" s="897">
        <f>IF(ISERROR(IF(MOD(IF(AND(B78&gt;='Energy margins'!$T$47,B78&lt;='Energy margins'!$U$47),B78-'Energy margins'!$T$47,""),'Energy margins'!$V$47)=0,'Energy margins'!$S$47,0)),0,IF(MOD(IF(AND(B78&gt;='Energy margins'!$T$47,B78&lt;='Energy margins'!$U$47),B78-'Energy margins'!$T$47,""),'Energy margins'!$V$47)=0,'Energy margins'!$S$47,0))</f>
        <v>16.07</v>
      </c>
      <c r="N78" s="897">
        <f>IF(ISERROR(IF(MOD(IF(AND(B78&gt;='Energy margins'!$T$50,B78&lt;='Energy margins'!$U$50),B78-'Energy margins'!$T$50,""),'Energy margins'!$V$50)=0,'Energy margins'!$S$50,0)),0,IF(MOD(IF(AND(B78&gt;='Energy margins'!$T$50,B78&lt;='Energy margins'!$U$50),B78-'Energy margins'!$T$50,""),'Energy margins'!$V$50)=0,'Energy margins'!$S$50,0))</f>
        <v>65.2</v>
      </c>
      <c r="O78" s="897">
        <f>IF(ISERROR(IF(MOD(IF(AND(B78&gt;='Energy margins'!$T$53,B78&lt;='Energy margins'!$U$53),B78-'Energy margins'!$T$53,""),'Energy margins'!$V$53)=0,'Energy margins'!$S$53,0)),0,IF(MOD(IF(AND(B78&gt;='Energy margins'!$T$53,B78&lt;='Energy margins'!$U$53),B78-'Energy margins'!$T$53,""),'Energy margins'!$V$53)=0,'Energy margins'!$S$53,0))</f>
        <v>58.972000000000001</v>
      </c>
      <c r="P78" s="897">
        <f>IF(ISERROR(IF(MOD(IF(AND(B78&gt;='Energy margins'!$T$56,B78&lt;='Energy margins'!$U$56),B78-'Energy margins'!$T$56,""),'Energy margins'!$V$56)=0,'Energy margins'!$S$56,0)),0,IF(MOD(IF(AND(B78&gt;='Energy margins'!$T$56,B78&lt;='Energy margins'!$U$56),B78-'Energy margins'!$T$56,""),'Energy margins'!$V$56)=0,'Energy margins'!$S$56,0))</f>
        <v>37.800000000000004</v>
      </c>
      <c r="Q78" s="897">
        <f>IF(ISERROR(IF(MOD(IF(AND(B78&gt;='Energy margins'!$T$59,B78&lt;='Energy margins'!$U$59),B78-'Energy margins'!$T$59,""),'Energy margins'!$V$59)=0,'Energy margins'!$S$59,0)),0,IF(MOD(IF(AND(B78&gt;='Energy margins'!$T$59,B78&lt;='Energy margins'!$U$59),B78-'Energy margins'!$T$59,""),'Energy margins'!$V$59)=0,'Energy margins'!$S$59,0))</f>
        <v>100</v>
      </c>
      <c r="R78" s="897">
        <f>IF(ISERROR(IF(MOD(IF(AND(B78&gt;='Energy margins'!$T$60,B78&lt;='Energy margins'!$U$60),B78-'Energy margins'!$T$60,""),'Energy margins'!$V$60)=0,'Energy margins'!$S$60,0)),0,IF(MOD(IF(AND(B78&gt;='Energy margins'!$T$60,B78&lt;='Energy margins'!$U$60),B78-'Energy margins'!$T$60,""),'Energy margins'!$V$60)=0,'Energy margins'!$S$60,0))</f>
        <v>0</v>
      </c>
      <c r="S78" s="897">
        <f>IF(ISERROR(IF(MOD(IF(AND(B78&gt;='Energy margins'!$T$61,B78&lt;='Energy margins'!$U$61),B78-'Energy margins'!$T$61,""),'Energy margins'!$V$61)=0,'Energy margins'!$S$61,0)),0,IF(MOD(IF(AND(B78&gt;='Energy margins'!$T$61,B78&lt;='Energy margins'!$U$61),B78-'Energy margins'!$T$61,""),'Energy margins'!$V$61)=0,'Energy margins'!$S$61,0))</f>
        <v>0</v>
      </c>
      <c r="T78" s="897">
        <f>IF(ISERROR(IF(MOD(IF(AND(B78&gt;='Energy margins'!$T$62,B78&lt;='Energy margins'!$U$62),B78-'Energy margins'!$T$62,""),'Energy margins'!$V$62)=0,'Energy margins'!$S$62,0)),0,IF(MOD(IF(AND(B78&gt;='Energy margins'!$T$62,B78&lt;='Energy margins'!$U$62),B78-'Energy margins'!$T$62,""),'Energy margins'!$V$62)=0,'Energy margins'!$S$62,0))</f>
        <v>0</v>
      </c>
      <c r="U78" s="923">
        <f t="shared" si="34"/>
        <v>278.04200000000003</v>
      </c>
      <c r="V78" s="197"/>
      <c r="W78" s="197">
        <f t="shared" si="35"/>
        <v>278.04200000000003</v>
      </c>
      <c r="X78" s="197">
        <f t="shared" si="29"/>
        <v>360.89300000000003</v>
      </c>
      <c r="Y78" s="197">
        <f t="shared" si="30"/>
        <v>580.89300000000003</v>
      </c>
      <c r="Z78" s="952">
        <f t="shared" si="36"/>
        <v>383.7278037244605</v>
      </c>
      <c r="AA78" s="953">
        <f t="shared" si="37"/>
        <v>132.12629894962916</v>
      </c>
      <c r="AB78" s="953">
        <f t="shared" si="38"/>
        <v>166.98482005705816</v>
      </c>
      <c r="AC78" s="1019">
        <f t="shared" si="39"/>
        <v>216.74298366740237</v>
      </c>
      <c r="AD78" s="1019">
        <f t="shared" si="40"/>
        <v>348.8692826170315</v>
      </c>
      <c r="AE78" s="952">
        <f t="shared" si="45"/>
        <v>6280.637907381577</v>
      </c>
      <c r="AF78" s="953">
        <f t="shared" si="41"/>
        <v>2416.8425262592682</v>
      </c>
      <c r="AG78" s="953">
        <f t="shared" si="42"/>
        <v>8186.1827411770919</v>
      </c>
      <c r="AH78" s="1019">
        <f t="shared" si="43"/>
        <v>-1905.5448337955154</v>
      </c>
      <c r="AI78" s="1020">
        <f t="shared" si="44"/>
        <v>511.29769246375213</v>
      </c>
    </row>
    <row r="79" spans="2:35" x14ac:dyDescent="0.3">
      <c r="B79" s="881">
        <v>15</v>
      </c>
      <c r="C79" s="901">
        <f>'Energy Inputs'!F44</f>
        <v>1</v>
      </c>
      <c r="D79" s="897">
        <f>C79*'Energy Inputs'!$F$24</f>
        <v>11.617000000000001</v>
      </c>
      <c r="E79" s="197">
        <f>'Energy margins'!$S$12</f>
        <v>55</v>
      </c>
      <c r="F79" s="197">
        <f t="shared" si="32"/>
        <v>638.93500000000006</v>
      </c>
      <c r="G79" s="897">
        <f>'Energy Inputs'!$D$10</f>
        <v>220</v>
      </c>
      <c r="H79" s="197">
        <f t="shared" si="33"/>
        <v>858.93500000000006</v>
      </c>
      <c r="I79" s="197"/>
      <c r="J79" s="926">
        <f>IF(ISERROR(IF(MOD(IF(AND(B79&gt;='Energy margins'!$T$44,B79&lt;='Energy margins'!$U$44),B79-'Energy margins'!$T$44,""),'Energy margins'!$V$44)=0,'Energy margins'!$S$44,0)),0,IF(MOD(IF(AND(B79&gt;='Energy margins'!$T$44,B79&lt;='Energy margins'!$U$44),B79-'Energy margins'!$T$44,""),'Energy margins'!$V$44)=0,'Energy margins'!$S$44,0))</f>
        <v>0</v>
      </c>
      <c r="K79" s="897">
        <f>IF(ISERROR(IF(MOD(IF(AND(B79&gt;='Energy margins'!$T$45,B79&lt;='Energy margins'!$U$45),B79-'Energy margins'!$T$45,""),'Energy margins'!$V$45)=0,'Energy margins'!$S$45,0)),0,IF(MOD(IF(AND(B79&gt;='Energy margins'!$T$45,B79&lt;='Energy margins'!$U$45),B79-'Energy margins'!$T$45,""),'Energy margins'!$V$45)=0,'Energy margins'!$S$45,0))</f>
        <v>0</v>
      </c>
      <c r="L79" s="897">
        <f>IF(ISERROR(IF(MOD(IF(AND(B79&gt;='Energy margins'!$T$46,B79&lt;='Energy margins'!$U$46),B79-'Energy margins'!$T$46,""),'Energy margins'!$V$46)=0,'Energy margins'!$S$46,0)),0,IF(MOD(IF(AND(B79&gt;='Energy margins'!$T$46,B79&lt;='Energy margins'!$U$46),B79-'Energy margins'!$T$46,""),'Energy margins'!$V$46)=0,'Energy margins'!$S$46,0))</f>
        <v>0</v>
      </c>
      <c r="M79" s="897">
        <f>IF(ISERROR(IF(MOD(IF(AND(B79&gt;='Energy margins'!$T$47,B79&lt;='Energy margins'!$U$47),B79-'Energy margins'!$T$47,""),'Energy margins'!$V$47)=0,'Energy margins'!$S$47,0)),0,IF(MOD(IF(AND(B79&gt;='Energy margins'!$T$47,B79&lt;='Energy margins'!$U$47),B79-'Energy margins'!$T$47,""),'Energy margins'!$V$47)=0,'Energy margins'!$S$47,0))</f>
        <v>16.07</v>
      </c>
      <c r="N79" s="897">
        <f>IF(ISERROR(IF(MOD(IF(AND(B79&gt;='Energy margins'!$T$50,B79&lt;='Energy margins'!$U$50),B79-'Energy margins'!$T$50,""),'Energy margins'!$V$50)=0,'Energy margins'!$S$50,0)),0,IF(MOD(IF(AND(B79&gt;='Energy margins'!$T$50,B79&lt;='Energy margins'!$U$50),B79-'Energy margins'!$T$50,""),'Energy margins'!$V$50)=0,'Energy margins'!$S$50,0))</f>
        <v>65.2</v>
      </c>
      <c r="O79" s="897">
        <f>IF(ISERROR(IF(MOD(IF(AND(B79&gt;='Energy margins'!$T$53,B79&lt;='Energy margins'!$U$53),B79-'Energy margins'!$T$53,""),'Energy margins'!$V$53)=0,'Energy margins'!$S$53,0)),0,IF(MOD(IF(AND(B79&gt;='Energy margins'!$T$53,B79&lt;='Energy margins'!$U$53),B79-'Energy margins'!$T$53,""),'Energy margins'!$V$53)=0,'Energy margins'!$S$53,0))</f>
        <v>58.972000000000001</v>
      </c>
      <c r="P79" s="897">
        <f>IF(ISERROR(IF(MOD(IF(AND(B79&gt;='Energy margins'!$T$56,B79&lt;='Energy margins'!$U$56),B79-'Energy margins'!$T$56,""),'Energy margins'!$V$56)=0,'Energy margins'!$S$56,0)),0,IF(MOD(IF(AND(B79&gt;='Energy margins'!$T$56,B79&lt;='Energy margins'!$U$56),B79-'Energy margins'!$T$56,""),'Energy margins'!$V$56)=0,'Energy margins'!$S$56,0))</f>
        <v>37.800000000000004</v>
      </c>
      <c r="Q79" s="897">
        <f>IF(ISERROR(IF(MOD(IF(AND(B79&gt;='Energy margins'!$T$59,B79&lt;='Energy margins'!$U$59),B79-'Energy margins'!$T$59,""),'Energy margins'!$V$59)=0,'Energy margins'!$S$59,0)),0,IF(MOD(IF(AND(B79&gt;='Energy margins'!$T$59,B79&lt;='Energy margins'!$U$59),B79-'Energy margins'!$T$59,""),'Energy margins'!$V$59)=0,'Energy margins'!$S$59,0))</f>
        <v>100</v>
      </c>
      <c r="R79" s="897">
        <f>IF(ISERROR(IF(MOD(IF(AND(B79&gt;='Energy margins'!$T$60,B79&lt;='Energy margins'!$U$60),B79-'Energy margins'!$T$60,""),'Energy margins'!$V$60)=0,'Energy margins'!$S$60,0)),0,IF(MOD(IF(AND(B79&gt;='Energy margins'!$T$60,B79&lt;='Energy margins'!$U$60),B79-'Energy margins'!$T$60,""),'Energy margins'!$V$60)=0,'Energy margins'!$S$60,0))</f>
        <v>0</v>
      </c>
      <c r="S79" s="897">
        <f>IF(ISERROR(IF(MOD(IF(AND(B79&gt;='Energy margins'!$T$61,B79&lt;='Energy margins'!$U$61),B79-'Energy margins'!$T$61,""),'Energy margins'!$V$61)=0,'Energy margins'!$S$61,0)),0,IF(MOD(IF(AND(B79&gt;='Energy margins'!$T$61,B79&lt;='Energy margins'!$U$61),B79-'Energy margins'!$T$61,""),'Energy margins'!$V$61)=0,'Energy margins'!$S$61,0))</f>
        <v>0</v>
      </c>
      <c r="T79" s="897">
        <f>IF(ISERROR(IF(MOD(IF(AND(B79&gt;='Energy margins'!$T$62,B79&lt;='Energy margins'!$U$62),B79-'Energy margins'!$T$62,""),'Energy margins'!$V$62)=0,'Energy margins'!$S$62,0)),0,IF(MOD(IF(AND(B79&gt;='Energy margins'!$T$62,B79&lt;='Energy margins'!$U$62),B79-'Energy margins'!$T$62,""),'Energy margins'!$V$62)=0,'Energy margins'!$S$62,0))</f>
        <v>0</v>
      </c>
      <c r="U79" s="923">
        <f t="shared" si="34"/>
        <v>278.04200000000003</v>
      </c>
      <c r="V79" s="197"/>
      <c r="W79" s="197">
        <f t="shared" si="35"/>
        <v>278.04200000000003</v>
      </c>
      <c r="X79" s="197">
        <f t="shared" si="29"/>
        <v>360.89300000000003</v>
      </c>
      <c r="Y79" s="197">
        <f t="shared" si="30"/>
        <v>580.89300000000003</v>
      </c>
      <c r="Z79" s="952">
        <f t="shared" si="36"/>
        <v>368.96904204275052</v>
      </c>
      <c r="AA79" s="953">
        <f t="shared" si="37"/>
        <v>127.04451822079727</v>
      </c>
      <c r="AB79" s="953">
        <f t="shared" si="38"/>
        <v>160.56232697794053</v>
      </c>
      <c r="AC79" s="1019">
        <f t="shared" si="39"/>
        <v>208.40671506480996</v>
      </c>
      <c r="AD79" s="1019">
        <f t="shared" si="40"/>
        <v>335.45123328560726</v>
      </c>
      <c r="AE79" s="952">
        <f t="shared" si="45"/>
        <v>6649.6069494243275</v>
      </c>
      <c r="AF79" s="953">
        <f t="shared" si="41"/>
        <v>2543.8870444800655</v>
      </c>
      <c r="AG79" s="953">
        <f t="shared" si="42"/>
        <v>8346.7450681550326</v>
      </c>
      <c r="AH79" s="1019">
        <f t="shared" si="43"/>
        <v>-1697.1381187307054</v>
      </c>
      <c r="AI79" s="1020">
        <f t="shared" si="44"/>
        <v>846.74892574935939</v>
      </c>
    </row>
    <row r="80" spans="2:35" x14ac:dyDescent="0.3">
      <c r="B80" s="882">
        <v>16</v>
      </c>
      <c r="C80" s="898">
        <f>'Energy Inputs'!F45</f>
        <v>1</v>
      </c>
      <c r="D80" s="898">
        <f>C80*'Energy Inputs'!$F$24</f>
        <v>11.617000000000001</v>
      </c>
      <c r="E80" s="207">
        <f>'Energy margins'!$S$12</f>
        <v>55</v>
      </c>
      <c r="F80" s="207">
        <f t="shared" si="32"/>
        <v>638.93500000000006</v>
      </c>
      <c r="G80" s="898">
        <f>'Energy Inputs'!$D$10</f>
        <v>220</v>
      </c>
      <c r="H80" s="207">
        <f t="shared" si="33"/>
        <v>858.93500000000006</v>
      </c>
      <c r="I80" s="207"/>
      <c r="J80" s="927">
        <f>IF(ISERROR(IF(MOD(IF(AND(B80&gt;='Energy margins'!$T$44,B80&lt;='Energy margins'!$U$44),B80-'Energy margins'!$T$44,""),'Energy margins'!$V$44)=0,'Energy margins'!$S$44,0)),0,IF(MOD(IF(AND(B80&gt;='Energy margins'!$T$44,B80&lt;='Energy margins'!$U$44),B80-'Energy margins'!$T$44,""),'Energy margins'!$V$44)=0,'Energy margins'!$S$44,0))</f>
        <v>0</v>
      </c>
      <c r="K80" s="898">
        <f>IF(ISERROR(IF(MOD(IF(AND(B80&gt;='Energy margins'!$T$45,B80&lt;='Energy margins'!$U$45),B80-'Energy margins'!$T$45,""),'Energy margins'!$V$45)=0,'Energy margins'!$S$45,0)),0,IF(MOD(IF(AND(B80&gt;='Energy margins'!$T$45,B80&lt;='Energy margins'!$U$45),B80-'Energy margins'!$T$45,""),'Energy margins'!$V$45)=0,'Energy margins'!$S$45,0))</f>
        <v>0</v>
      </c>
      <c r="L80" s="898">
        <f>IF(ISERROR(IF(MOD(IF(AND(B80&gt;='Energy margins'!$T$46,B80&lt;='Energy margins'!$U$46),B80-'Energy margins'!$T$46,""),'Energy margins'!$V$46)=0,'Energy margins'!$S$46,0)),0,IF(MOD(IF(AND(B80&gt;='Energy margins'!$T$46,B80&lt;='Energy margins'!$U$46),B80-'Energy margins'!$T$46,""),'Energy margins'!$V$46)=0,'Energy margins'!$S$46,0))</f>
        <v>0</v>
      </c>
      <c r="M80" s="898">
        <f>IF(ISERROR(IF(MOD(IF(AND(B80&gt;='Energy margins'!$T$47,B80&lt;='Energy margins'!$U$47),B80-'Energy margins'!$T$47,""),'Energy margins'!$V$47)=0,'Energy margins'!$S$47,0)),0,IF(MOD(IF(AND(B80&gt;='Energy margins'!$T$47,B80&lt;='Energy margins'!$U$47),B80-'Energy margins'!$T$47,""),'Energy margins'!$V$47)=0,'Energy margins'!$S$47,0))</f>
        <v>16.07</v>
      </c>
      <c r="N80" s="898">
        <f>IF(ISERROR(IF(MOD(IF(AND(B80&gt;='Energy margins'!$T$50,B80&lt;='Energy margins'!$U$50),B80-'Energy margins'!$T$50,""),'Energy margins'!$V$50)=0,'Energy margins'!$S$50,0)),0,IF(MOD(IF(AND(B80&gt;='Energy margins'!$T$50,B80&lt;='Energy margins'!$U$50),B80-'Energy margins'!$T$50,""),'Energy margins'!$V$50)=0,'Energy margins'!$S$50,0))</f>
        <v>65.2</v>
      </c>
      <c r="O80" s="898">
        <f>IF(ISERROR(IF(MOD(IF(AND(B80&gt;='Energy margins'!$T$53,B80&lt;='Energy margins'!$U$53),B80-'Energy margins'!$T$53,""),'Energy margins'!$V$53)=0,'Energy margins'!$S$53,0)),0,IF(MOD(IF(AND(B80&gt;='Energy margins'!$T$53,B80&lt;='Energy margins'!$U$53),B80-'Energy margins'!$T$53,""),'Energy margins'!$V$53)=0,'Energy margins'!$S$53,0))</f>
        <v>58.972000000000001</v>
      </c>
      <c r="P80" s="898">
        <f>IF(ISERROR(IF(MOD(IF(AND(B80&gt;='Energy margins'!$T$56,B80&lt;='Energy margins'!$U$56),B80-'Energy margins'!$T$56,""),'Energy margins'!$V$56)=0,'Energy margins'!$S$56,0)),0,IF(MOD(IF(AND(B80&gt;='Energy margins'!$T$56,B80&lt;='Energy margins'!$U$56),B80-'Energy margins'!$T$56,""),'Energy margins'!$V$56)=0,'Energy margins'!$S$56,0))</f>
        <v>37.800000000000004</v>
      </c>
      <c r="Q80" s="898">
        <f>IF(ISERROR(IF(MOD(IF(AND(B80&gt;='Energy margins'!$T$59,B80&lt;='Energy margins'!$U$59),B80-'Energy margins'!$T$59,""),'Energy margins'!$V$59)=0,'Energy margins'!$S$59,0)),0,IF(MOD(IF(AND(B80&gt;='Energy margins'!$T$59,B80&lt;='Energy margins'!$U$59),B80-'Energy margins'!$T$59,""),'Energy margins'!$V$59)=0,'Energy margins'!$S$59,0))</f>
        <v>100</v>
      </c>
      <c r="R80" s="898">
        <f>IF(ISERROR(IF(MOD(IF(AND(B80&gt;='Energy margins'!$T$60,B80&lt;='Energy margins'!$U$60),B80-'Energy margins'!$T$60,""),'Energy margins'!$V$60)=0,'Energy margins'!$S$60,0)),0,IF(MOD(IF(AND(B80&gt;='Energy margins'!$T$60,B80&lt;='Energy margins'!$U$60),B80-'Energy margins'!$T$60,""),'Energy margins'!$V$60)=0,'Energy margins'!$S$60,0))</f>
        <v>0</v>
      </c>
      <c r="S80" s="898">
        <f>IF(ISERROR(IF(MOD(IF(AND(B80&gt;='Energy margins'!$T$61,B80&lt;='Energy margins'!$U$61),B80-'Energy margins'!$T$61,""),'Energy margins'!$V$61)=0,'Energy margins'!$S$61,0)),0,IF(MOD(IF(AND(B80&gt;='Energy margins'!$T$61,B80&lt;='Energy margins'!$U$61),B80-'Energy margins'!$T$61,""),'Energy margins'!$V$61)=0,'Energy margins'!$S$61,0))</f>
        <v>0</v>
      </c>
      <c r="T80" s="898">
        <f>IF(ISERROR(IF(MOD(IF(AND(B80&gt;='Energy margins'!$T$62,B80&lt;='Energy margins'!$U$62),B80-'Energy margins'!$T$62,""),'Energy margins'!$V$62)=0,'Energy margins'!$S$62,0)),0,IF(MOD(IF(AND(B80&gt;='Energy margins'!$T$62,B80&lt;='Energy margins'!$U$62),B80-'Energy margins'!$T$62,""),'Energy margins'!$V$62)=0,'Energy margins'!$S$62,0))</f>
        <v>0</v>
      </c>
      <c r="U80" s="925">
        <f t="shared" si="34"/>
        <v>278.04200000000003</v>
      </c>
      <c r="V80" s="207">
        <f>'Energy margins'!X67</f>
        <v>170</v>
      </c>
      <c r="W80" s="207">
        <f t="shared" si="35"/>
        <v>448.04200000000003</v>
      </c>
      <c r="X80" s="207">
        <f t="shared" si="29"/>
        <v>190.89300000000003</v>
      </c>
      <c r="Y80" s="207">
        <f t="shared" si="30"/>
        <v>410.89300000000003</v>
      </c>
      <c r="Z80" s="955">
        <f t="shared" si="36"/>
        <v>354.77792504110624</v>
      </c>
      <c r="AA80" s="956">
        <f t="shared" si="37"/>
        <v>122.15819059692046</v>
      </c>
      <c r="AB80" s="956">
        <f t="shared" si="38"/>
        <v>248.78181832466109</v>
      </c>
      <c r="AC80" s="1021">
        <f t="shared" si="39"/>
        <v>105.99610671644518</v>
      </c>
      <c r="AD80" s="1022">
        <f t="shared" si="40"/>
        <v>228.15429731336565</v>
      </c>
      <c r="AE80" s="955">
        <f t="shared" si="45"/>
        <v>7004.3848744654333</v>
      </c>
      <c r="AF80" s="956">
        <f t="shared" si="41"/>
        <v>2666.045235076986</v>
      </c>
      <c r="AG80" s="956">
        <f t="shared" si="42"/>
        <v>8595.5268864796944</v>
      </c>
      <c r="AH80" s="1021">
        <f t="shared" si="43"/>
        <v>-1591.1420120142602</v>
      </c>
      <c r="AI80" s="1022">
        <f t="shared" si="44"/>
        <v>1074.9032230627249</v>
      </c>
    </row>
    <row r="83" spans="2:35" x14ac:dyDescent="0.3">
      <c r="J83" t="s">
        <v>626</v>
      </c>
      <c r="K83" t="s">
        <v>630</v>
      </c>
    </row>
    <row r="84" spans="2:35" x14ac:dyDescent="0.3">
      <c r="J84" t="s">
        <v>627</v>
      </c>
      <c r="K84" t="s">
        <v>631</v>
      </c>
    </row>
    <row r="85" spans="2:35" x14ac:dyDescent="0.3">
      <c r="J85" t="s">
        <v>628</v>
      </c>
      <c r="K85" t="s">
        <v>632</v>
      </c>
    </row>
    <row r="86" spans="2:35" x14ac:dyDescent="0.3">
      <c r="J86" t="s">
        <v>629</v>
      </c>
      <c r="K86" t="s">
        <v>633</v>
      </c>
    </row>
    <row r="87" spans="2:35" x14ac:dyDescent="0.3">
      <c r="B87" s="228" t="s">
        <v>498</v>
      </c>
      <c r="C87" s="231"/>
      <c r="D87" s="231"/>
      <c r="E87" s="231"/>
      <c r="F87" s="194"/>
      <c r="G87" s="193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</row>
    <row r="88" spans="2:35" x14ac:dyDescent="0.3">
      <c r="B88" s="203"/>
      <c r="C88" s="148"/>
      <c r="D88" s="148"/>
      <c r="E88" s="148"/>
      <c r="F88" s="1124"/>
      <c r="G88" s="1124"/>
      <c r="H88" s="1124"/>
      <c r="I88" s="148"/>
      <c r="J88" s="909" t="s">
        <v>88</v>
      </c>
      <c r="K88" s="910"/>
      <c r="L88" s="910"/>
      <c r="M88" s="910"/>
      <c r="N88" s="910"/>
      <c r="O88" s="910"/>
      <c r="P88" s="910"/>
      <c r="Q88" s="910"/>
      <c r="R88" s="910"/>
      <c r="S88" s="910"/>
      <c r="T88" s="910"/>
      <c r="U88" s="911"/>
      <c r="V88" s="1124"/>
      <c r="W88" s="1124"/>
      <c r="X88" s="148"/>
      <c r="Y88" s="148"/>
      <c r="Z88" s="1125" t="s">
        <v>279</v>
      </c>
      <c r="AA88" s="1126"/>
      <c r="AB88" s="1126"/>
      <c r="AC88" s="1126"/>
      <c r="AD88" s="1127"/>
      <c r="AE88" s="1125" t="s">
        <v>280</v>
      </c>
      <c r="AF88" s="1126"/>
      <c r="AG88" s="1126"/>
      <c r="AH88" s="1126"/>
      <c r="AI88" s="1127"/>
    </row>
    <row r="89" spans="2:35" ht="51" x14ac:dyDescent="0.3">
      <c r="B89" s="204" t="s">
        <v>281</v>
      </c>
      <c r="C89" s="205" t="s">
        <v>615</v>
      </c>
      <c r="D89" s="205" t="s">
        <v>307</v>
      </c>
      <c r="E89" s="205" t="s">
        <v>308</v>
      </c>
      <c r="F89" s="171" t="s">
        <v>283</v>
      </c>
      <c r="G89" s="171" t="s">
        <v>10</v>
      </c>
      <c r="H89" s="171" t="s">
        <v>284</v>
      </c>
      <c r="I89" s="205" t="s">
        <v>305</v>
      </c>
      <c r="J89" s="934" t="s">
        <v>255</v>
      </c>
      <c r="K89" s="935" t="s">
        <v>35</v>
      </c>
      <c r="L89" s="935" t="s">
        <v>584</v>
      </c>
      <c r="M89" s="935" t="s">
        <v>147</v>
      </c>
      <c r="N89" s="936" t="s">
        <v>621</v>
      </c>
      <c r="O89" s="936" t="s">
        <v>645</v>
      </c>
      <c r="P89" s="936" t="s">
        <v>644</v>
      </c>
      <c r="Q89" s="937" t="s">
        <v>182</v>
      </c>
      <c r="R89" s="937" t="s">
        <v>527</v>
      </c>
      <c r="S89" s="938" t="s">
        <v>528</v>
      </c>
      <c r="T89" s="937" t="s">
        <v>529</v>
      </c>
      <c r="U89" s="939" t="s">
        <v>306</v>
      </c>
      <c r="V89" s="205" t="s">
        <v>309</v>
      </c>
      <c r="W89" s="171" t="s">
        <v>287</v>
      </c>
      <c r="X89" s="171" t="s">
        <v>288</v>
      </c>
      <c r="Y89" s="171" t="s">
        <v>289</v>
      </c>
      <c r="Z89" s="195" t="s">
        <v>290</v>
      </c>
      <c r="AA89" s="171" t="s">
        <v>291</v>
      </c>
      <c r="AB89" s="171" t="s">
        <v>292</v>
      </c>
      <c r="AC89" s="171" t="s">
        <v>293</v>
      </c>
      <c r="AD89" s="198" t="s">
        <v>294</v>
      </c>
      <c r="AE89" s="195" t="s">
        <v>295</v>
      </c>
      <c r="AF89" s="171" t="s">
        <v>296</v>
      </c>
      <c r="AG89" s="171" t="s">
        <v>297</v>
      </c>
      <c r="AH89" s="171" t="s">
        <v>298</v>
      </c>
      <c r="AI89" s="198" t="s">
        <v>299</v>
      </c>
    </row>
    <row r="90" spans="2:35" x14ac:dyDescent="0.3">
      <c r="B90" s="173"/>
      <c r="C90" s="226" t="s">
        <v>616</v>
      </c>
      <c r="D90" s="226" t="s">
        <v>356</v>
      </c>
      <c r="E90" s="226" t="s">
        <v>476</v>
      </c>
      <c r="F90" s="226" t="s">
        <v>477</v>
      </c>
      <c r="G90" s="226" t="s">
        <v>477</v>
      </c>
      <c r="H90" s="226" t="s">
        <v>477</v>
      </c>
      <c r="I90" s="226" t="s">
        <v>477</v>
      </c>
      <c r="J90" s="930" t="s">
        <v>460</v>
      </c>
      <c r="K90" s="931" t="s">
        <v>460</v>
      </c>
      <c r="L90" s="931" t="s">
        <v>460</v>
      </c>
      <c r="M90" s="931" t="s">
        <v>460</v>
      </c>
      <c r="N90" s="931" t="s">
        <v>460</v>
      </c>
      <c r="O90" s="931" t="s">
        <v>460</v>
      </c>
      <c r="P90" s="931" t="s">
        <v>460</v>
      </c>
      <c r="Q90" s="932" t="s">
        <v>460</v>
      </c>
      <c r="R90" s="932" t="s">
        <v>460</v>
      </c>
      <c r="S90" s="932" t="s">
        <v>460</v>
      </c>
      <c r="T90" s="932" t="s">
        <v>462</v>
      </c>
      <c r="U90" s="933" t="s">
        <v>477</v>
      </c>
      <c r="V90" s="226" t="s">
        <v>477</v>
      </c>
      <c r="W90" s="226" t="s">
        <v>477</v>
      </c>
      <c r="X90" s="226" t="s">
        <v>477</v>
      </c>
      <c r="Y90" s="717" t="s">
        <v>477</v>
      </c>
      <c r="Z90" s="226" t="s">
        <v>477</v>
      </c>
      <c r="AA90" s="226" t="s">
        <v>477</v>
      </c>
      <c r="AB90" s="226" t="s">
        <v>477</v>
      </c>
      <c r="AC90" s="226" t="s">
        <v>477</v>
      </c>
      <c r="AD90" s="717" t="s">
        <v>477</v>
      </c>
      <c r="AE90" s="226" t="s">
        <v>477</v>
      </c>
      <c r="AF90" s="226" t="s">
        <v>477</v>
      </c>
      <c r="AG90" s="226" t="s">
        <v>477</v>
      </c>
      <c r="AH90" s="226" t="s">
        <v>477</v>
      </c>
      <c r="AI90" s="717" t="s">
        <v>477</v>
      </c>
    </row>
    <row r="91" spans="2:35" x14ac:dyDescent="0.3">
      <c r="B91" s="880">
        <v>1</v>
      </c>
      <c r="C91" s="901">
        <f>'Energy Inputs'!G30</f>
        <v>0</v>
      </c>
      <c r="D91" s="897">
        <f>C91*'Energy Inputs'!$G$24</f>
        <v>0</v>
      </c>
      <c r="E91" s="197">
        <f>'Energy margins'!$Z$12</f>
        <v>55</v>
      </c>
      <c r="F91" s="197">
        <f>D91*E91</f>
        <v>0</v>
      </c>
      <c r="G91" s="907">
        <f>'Energy Inputs'!$D$10</f>
        <v>220</v>
      </c>
      <c r="H91" s="197">
        <f>F91+G91</f>
        <v>220</v>
      </c>
      <c r="I91" s="197">
        <f>'Margins summary'!V20</f>
        <v>1992.2819999999999</v>
      </c>
      <c r="J91" s="943">
        <f>IF(ISERROR(IF(MOD(IF(AND(B91&gt;='Energy margins'!$AA$44,B91&lt;='Energy margins'!$AB$44),B91-'Energy margins'!$AA$44,""),'Energy margins'!$AC$44)=0,'Energy margins'!$Z$44,0)),0,IF(MOD(IF(AND(B91&gt;='Energy margins'!$AA$44,B91&lt;='Energy margins'!$AB$44),B91-'Energy margins'!$AA$44,""),'Energy margins'!$AC$44)=0,'Energy margins'!$Z$44,0))</f>
        <v>0</v>
      </c>
      <c r="K91" s="907">
        <f>IF(ISERROR(IF(MOD(IF(AND(B91&gt;='Energy margins'!$AA$45,B91&lt;='Energy margins'!$AB$45),B91-'Energy margins'!$AA$45,""),'Energy margins'!$AC$45)=0,'Energy margins'!$Z$45,0)),0,IF(MOD(IF(AND(B91&gt;='Energy margins'!$AA$45,B91&lt;='Energy margins'!$AB$45),B91-'Energy margins'!$AA$45,""),'Energy margins'!$AC$45)=0,'Energy margins'!$Z$45,0))</f>
        <v>0</v>
      </c>
      <c r="L91" s="907">
        <f>IF(ISERROR(IF(MOD(IF(AND(B91&gt;='Energy margins'!$AA$46,B91&lt;='Energy margins'!$AB$46),B91-'Energy margins'!$AA$46,""),'Energy margins'!$AC$46)=0,'Energy margins'!$Z$46,0)),0,IF(MOD(IF(AND(B91&gt;='Energy margins'!$AA$46,B91&lt;='Energy margins'!$AB$46),B91-'Energy margins'!$AA$46,""),'Energy margins'!$AC$46)=0,'Energy margins'!$Z$46,0))</f>
        <v>0</v>
      </c>
      <c r="M91" s="907">
        <f>IF(ISERROR(IF(MOD(IF(AND(B91&gt;='Energy margins'!$AA$47,B91&lt;='Energy margins'!$AB$47),B91-'Energy margins'!$AA$47,""),'Energy margins'!$AC$47)=0,'Energy margins'!$Z$47,0)),0,IF(MOD(IF(AND(B91&gt;='Energy margins'!$AA$47,B91&lt;='Energy margins'!$AB$47),B91-'Energy margins'!$AA$47,""),'Energy margins'!$AC$47)=0,'Energy margins'!$Z$47,0))</f>
        <v>0</v>
      </c>
      <c r="N91" s="907">
        <f>IF(ISERROR(IF(MOD(IF(AND(B91&gt;='Energy margins'!$AA$50,B91&lt;='Energy margins'!$AB$50),B91-'Energy margins'!$AA$50,""),'Energy margins'!$AC$50)=0,'Energy margins'!$Z$50,0)),0,IF(MOD(IF(AND(B91&gt;='Energy margins'!$AA$50,B91&lt;='Energy margins'!$AB$50),B91-'Energy margins'!$AA$50,""),'Energy margins'!$AC$50)=0,'Energy margins'!$Z$50,0))</f>
        <v>0</v>
      </c>
      <c r="O91" s="907">
        <f>IF(ISERROR(IF(MOD(IF(AND(B91&gt;='Energy margins'!$AA$53,B91&lt;='Energy margins'!$AB$53),B91-'Energy margins'!$AA$53,""),'Energy margins'!$AC$53)=0,'Energy margins'!$Z$53,0)),0,IF(MOD(IF(AND(B91&gt;='Energy margins'!$AA$53,B91&lt;='Energy margins'!$AB$53),B91-'Energy margins'!$AA$53,""),'Energy margins'!$AC$53)=0,'Energy margins'!$Z$53,0))</f>
        <v>0</v>
      </c>
      <c r="P91" s="907">
        <f>IF(ISERROR(IF(MOD(IF(AND(B91&gt;='Energy margins'!$AA$56,B91&lt;='Energy margins'!$AB$56),B91-'Energy margins'!$AA$56,""),'Energy margins'!$AC$56)=0,'Energy margins'!$Z$56,0)),0,IF(MOD(IF(AND(B91&gt;='Energy margins'!$AA$56,B91&lt;='Energy margins'!$AB$56),B91-'Energy margins'!$AA$56,""),'Energy margins'!$AC$56)=0,'Energy margins'!$Z$56,0))</f>
        <v>0</v>
      </c>
      <c r="Q91" s="907">
        <f>IF(ISERROR(IF(MOD(IF(AND(B91&gt;='Energy margins'!$AA$59,B91&lt;='Energy margins'!$AB$59),B91-'Energy margins'!$AA$59,""),'Energy margins'!$AC$59)=0,'Energy margins'!$Z$59,0)),0,IF(MOD(IF(AND(B91&gt;='Energy margins'!$AA$59,B91&lt;='Energy margins'!$AB$59),B91-'Energy margins'!$AA$59,""),'Energy margins'!$AC$59)=0,'Energy margins'!$Z$59,0))</f>
        <v>0</v>
      </c>
      <c r="R91" s="907">
        <f>IF(ISERROR(IF(MOD(IF(AND(B91&gt;='Energy margins'!$AA$60,B91&lt;='Energy margins'!$AB$60),B91-'Energy margins'!$AA$60,""),'Energy margins'!$AC$60)=0,'Energy margins'!$Z$60,0)),0,IF(MOD(IF(AND(B91&gt;='Energy margins'!$AA$60,B91&lt;='Energy margins'!$AB$60),B91-'Energy margins'!$AA$60,""),'Energy margins'!$AC$60)=0,'Energy margins'!$Z$60,0))</f>
        <v>0</v>
      </c>
      <c r="S91" s="907">
        <f>IF(ISERROR(IF(MOD(IF(AND(B91&gt;='Energy margins'!$AA$61,B91&lt;='Energy margins'!$AB$61),B91-'Energy margins'!$AA$61,""),'Energy margins'!$AC$61)=0,'Energy margins'!$Z$61,0)),0,IF(MOD(IF(AND(B91&gt;='Energy margins'!$AA$61,B91&lt;='Energy margins'!$AB$61),B91-'Energy margins'!$AA$61,""),'Energy margins'!$AC$61)=0,'Energy margins'!$Z$61,0))</f>
        <v>0</v>
      </c>
      <c r="T91" s="907">
        <f>IF(ISERROR(IF(MOD(IF(AND(B91&gt;='Energy margins'!$AA$62,B91&lt;='Energy margins'!$AB$62),B91-'Energy margins'!$AA$62,""),'Energy margins'!$AC$62)=0,'Energy margins'!$Z$62,0)),0,IF(MOD(IF(AND(B91&gt;='Energy margins'!$AA$62,B91&lt;='Energy margins'!$AB$62),B91-'Energy margins'!$AA$62,""),'Energy margins'!$AC$62)=0,'Energy margins'!$Z$62,0))</f>
        <v>0</v>
      </c>
      <c r="U91" s="921">
        <f t="shared" ref="U91:U106" si="46">SUM(J91:T91)</f>
        <v>0</v>
      </c>
      <c r="V91" s="197"/>
      <c r="W91" s="197">
        <f>I91+U91+V91</f>
        <v>1992.2819999999999</v>
      </c>
      <c r="X91" s="197">
        <f t="shared" ref="X91:X106" si="47">F91-W91</f>
        <v>-1992.2819999999999</v>
      </c>
      <c r="Y91" s="197">
        <f t="shared" ref="Y91:Y106" si="48">H91-W91</f>
        <v>-1772.2819999999999</v>
      </c>
      <c r="Z91" s="952">
        <f>F91/(1+$C$6)^($B91-1)</f>
        <v>0</v>
      </c>
      <c r="AA91" s="953">
        <f>G91/((1+$C$6)^($B91-1))</f>
        <v>220</v>
      </c>
      <c r="AB91" s="953">
        <f>W91/(1+$C$6)^($B91-1)</f>
        <v>1992.2819999999999</v>
      </c>
      <c r="AC91" s="1019">
        <f t="shared" ref="AC91:AD91" si="49">X91/(1+$C$6)^($B91-1)</f>
        <v>-1992.2819999999999</v>
      </c>
      <c r="AD91" s="1019">
        <f t="shared" si="49"/>
        <v>-1772.2819999999999</v>
      </c>
      <c r="AE91" s="952">
        <f>Z91</f>
        <v>0</v>
      </c>
      <c r="AF91" s="953">
        <f>AA91</f>
        <v>220</v>
      </c>
      <c r="AG91" s="953">
        <f>AB91</f>
        <v>1992.2819999999999</v>
      </c>
      <c r="AH91" s="1019">
        <f>AC91</f>
        <v>-1992.2819999999999</v>
      </c>
      <c r="AI91" s="1020">
        <f>AD91</f>
        <v>-1772.2819999999999</v>
      </c>
    </row>
    <row r="92" spans="2:35" x14ac:dyDescent="0.3">
      <c r="B92" s="881">
        <v>2</v>
      </c>
      <c r="C92" s="901">
        <f>'Energy Inputs'!G31</f>
        <v>0.60940695296523517</v>
      </c>
      <c r="D92" s="897">
        <f>C92*'Energy Inputs'!$G$24</f>
        <v>9.9333333333333336</v>
      </c>
      <c r="E92" s="197">
        <f>'Energy margins'!$Z$12</f>
        <v>55</v>
      </c>
      <c r="F92" s="197">
        <f>D92*E92</f>
        <v>546.33333333333337</v>
      </c>
      <c r="G92" s="897">
        <f>'Energy Inputs'!$D$10</f>
        <v>220</v>
      </c>
      <c r="H92" s="197">
        <f t="shared" ref="H92:H106" si="50">F92+G92</f>
        <v>766.33333333333337</v>
      </c>
      <c r="I92" s="197"/>
      <c r="J92" s="926">
        <f>IF(ISERROR(IF(MOD(IF(AND(B92&gt;='Energy margins'!$AA$44,B92&lt;='Energy margins'!$AB$44),B92-'Energy margins'!$AA$44,""),'Energy margins'!$AC$44)=0,'Energy margins'!$Z$44,0)),0,IF(MOD(IF(AND(B92&gt;='Energy margins'!$AA$44,B92&lt;='Energy margins'!$AB$44),B92-'Energy margins'!$AA$44,""),'Energy margins'!$AC$44)=0,'Energy margins'!$Z$44,0))</f>
        <v>161</v>
      </c>
      <c r="K92" s="897">
        <f>IF(ISERROR(IF(MOD(IF(AND(B92&gt;='Energy margins'!$AA$45,B92&lt;='Energy margins'!$AB$45),B92-'Energy margins'!$AA$45,""),'Energy margins'!$AC$45)=0,'Energy margins'!$Z$45,0)),0,IF(MOD(IF(AND(B92&gt;='Energy margins'!$AA$45,B92&lt;='Energy margins'!$AB$45),B92-'Energy margins'!$AA$45,""),'Energy margins'!$AC$45)=0,'Energy margins'!$Z$45,0))</f>
        <v>0</v>
      </c>
      <c r="L92" s="897">
        <f>IF(ISERROR(IF(MOD(IF(AND(B92&gt;='Energy margins'!$AA$46,B92&lt;='Energy margins'!$AB$46),B92-'Energy margins'!$AA$46,""),'Energy margins'!$AC$46)=0,'Energy margins'!$Z$46,0)),0,IF(MOD(IF(AND(B92&gt;='Energy margins'!$AA$46,B92&lt;='Energy margins'!$AB$46),B92-'Energy margins'!$AA$46,""),'Energy margins'!$AC$46)=0,'Energy margins'!$Z$46,0))</f>
        <v>0</v>
      </c>
      <c r="M92" s="897">
        <f>IF(ISERROR(IF(MOD(IF(AND(B92&gt;='Energy margins'!$AA$47,B92&lt;='Energy margins'!$AB$47),B92-'Energy margins'!$AA$47,""),'Energy margins'!$AC$47)=0,'Energy margins'!$Z$47,0)),0,IF(MOD(IF(AND(B92&gt;='Energy margins'!$AA$47,B92&lt;='Energy margins'!$AB$47),B92-'Energy margins'!$AA$47,""),'Energy margins'!$AC$47)=0,'Energy margins'!$Z$47,0))</f>
        <v>16.07</v>
      </c>
      <c r="N92" s="897">
        <f>IF(ISERROR(IF(MOD(IF(AND(B92&gt;='Energy margins'!$AA$50,B92&lt;='Energy margins'!$AB$50),B92-'Energy margins'!$AA$50,""),'Energy margins'!$AC$50)=0,'Energy margins'!$Z$50,0)),0,IF(MOD(IF(AND(B92&gt;='Energy margins'!$AA$50,B92&lt;='Energy margins'!$AB$50),B92-'Energy margins'!$AA$50,""),'Energy margins'!$AC$50)=0,'Energy margins'!$Z$50,0))</f>
        <v>78.240000000000009</v>
      </c>
      <c r="O92" s="897">
        <f>IF(ISERROR(IF(MOD(IF(AND(B92&gt;='Energy margins'!$AA$53,B92&lt;='Energy margins'!$AB$53),B92-'Energy margins'!$AA$53,""),'Energy margins'!$AC$53)=0,'Energy margins'!$Z$53,0)),0,IF(MOD(IF(AND(B92&gt;='Energy margins'!$AA$53,B92&lt;='Energy margins'!$AB$53),B92-'Energy margins'!$AA$53,""),'Energy margins'!$AC$53)=0,'Energy margins'!$Z$53,0))</f>
        <v>58.972000000000001</v>
      </c>
      <c r="P92" s="897">
        <f>IF(ISERROR(IF(MOD(IF(AND(B92&gt;='Energy margins'!$AA$56,B92&lt;='Energy margins'!$AB$56),B92-'Energy margins'!$AA$56,""),'Energy margins'!$AC$56)=0,'Energy margins'!$Z$56,0)),0,IF(MOD(IF(AND(B92&gt;='Energy margins'!$AA$56,B92&lt;='Energy margins'!$AB$56),B92-'Energy margins'!$AA$56,""),'Energy margins'!$AC$56)=0,'Energy margins'!$Z$56,0))</f>
        <v>40.5</v>
      </c>
      <c r="Q92" s="897">
        <f>IF(ISERROR(IF(MOD(IF(AND(B92&gt;='Energy margins'!$AA$59,B92&lt;='Energy margins'!$AB$59),B92-'Energy margins'!$AA$59,""),'Energy margins'!$AC$59)=0,'Energy margins'!$Z$59,0)),0,IF(MOD(IF(AND(B92&gt;='Energy margins'!$AA$59,B92&lt;='Energy margins'!$AB$59),B92-'Energy margins'!$AA$59,""),'Energy margins'!$AC$59)=0,'Energy margins'!$Z$59,0))</f>
        <v>0</v>
      </c>
      <c r="R92" s="897">
        <f>IF(ISERROR(IF(MOD(IF(AND(B92&gt;='Energy margins'!$AA$60,B92&lt;='Energy margins'!$AB$60),B92-'Energy margins'!$AA$60,""),'Energy margins'!$AC$60)=0,'Energy margins'!$Z$60,0)),0,IF(MOD(IF(AND(B92&gt;='Energy margins'!$AA$60,B92&lt;='Energy margins'!$AB$60),B92-'Energy margins'!$AA$60,""),'Energy margins'!$AC$60)=0,'Energy margins'!$Z$60,0))</f>
        <v>0</v>
      </c>
      <c r="S92" s="897">
        <f>IF(ISERROR(IF(MOD(IF(AND(B92&gt;='Energy margins'!$AA$61,B92&lt;='Energy margins'!$AB$61),B92-'Energy margins'!$AA$61,""),'Energy margins'!$AC$61)=0,'Energy margins'!$Z$61,0)),0,IF(MOD(IF(AND(B92&gt;='Energy margins'!$AA$61,B92&lt;='Energy margins'!$AB$61),B92-'Energy margins'!$AA$61,""),'Energy margins'!$AC$61)=0,'Energy margins'!$Z$61,0))</f>
        <v>175</v>
      </c>
      <c r="T92" s="897">
        <f>IF(ISERROR(IF(MOD(IF(AND(B92&gt;='Energy margins'!$AA$62,B92&lt;='Energy margins'!$AB$62),B92-'Energy margins'!$AA$62,""),'Energy margins'!$AC$62)=0,'Energy margins'!$Z$62,0)),0,IF(MOD(IF(AND(B92&gt;='Energy margins'!$AA$62,B92&lt;='Energy margins'!$AB$62),B92-'Energy margins'!$AA$62,""),'Energy margins'!$AC$62)=0,'Energy margins'!$Z$62,0))</f>
        <v>0</v>
      </c>
      <c r="U92" s="923">
        <f t="shared" si="46"/>
        <v>529.78199999999993</v>
      </c>
      <c r="V92" s="197"/>
      <c r="W92" s="197">
        <f t="shared" ref="W92:W106" si="51">I92+U92+V92</f>
        <v>529.78199999999993</v>
      </c>
      <c r="X92" s="197">
        <f t="shared" si="47"/>
        <v>16.551333333333446</v>
      </c>
      <c r="Y92" s="197">
        <f t="shared" si="48"/>
        <v>236.55133333333345</v>
      </c>
      <c r="Z92" s="952">
        <f t="shared" ref="Z92:Z106" si="52">F92/(1+$C$6)^($B92-1)</f>
        <v>525.32051282051282</v>
      </c>
      <c r="AA92" s="953">
        <f t="shared" ref="AA92:AA106" si="53">G92/((1+$C$6)^($B92-1))</f>
        <v>211.53846153846152</v>
      </c>
      <c r="AB92" s="953">
        <f t="shared" ref="AB92:AB106" si="54">W92/(1+$C$6)^($B92-1)</f>
        <v>509.40576923076912</v>
      </c>
      <c r="AC92" s="1019">
        <f t="shared" ref="AC92:AC106" si="55">X92/(1+$C$6)^($B92-1)</f>
        <v>15.914743589743697</v>
      </c>
      <c r="AD92" s="1019">
        <f t="shared" ref="AD92:AD105" si="56">Y92/(1+$C$6)^($B92-1)</f>
        <v>227.45320512820524</v>
      </c>
      <c r="AE92" s="952">
        <f>AE91+Z92</f>
        <v>525.32051282051282</v>
      </c>
      <c r="AF92" s="953">
        <f t="shared" ref="AF92:AF106" si="57">AF91+AA92</f>
        <v>431.53846153846155</v>
      </c>
      <c r="AG92" s="953">
        <f t="shared" ref="AG92:AG106" si="58">AG91+AB92</f>
        <v>2501.6877692307689</v>
      </c>
      <c r="AH92" s="1019">
        <f t="shared" ref="AH92:AH106" si="59">AH91+AC92</f>
        <v>-1976.3672564102562</v>
      </c>
      <c r="AI92" s="1020">
        <f t="shared" ref="AI92:AI106" si="60">AI91+AD92</f>
        <v>-1544.8287948717948</v>
      </c>
    </row>
    <row r="93" spans="2:35" x14ac:dyDescent="0.3">
      <c r="B93" s="881">
        <v>3</v>
      </c>
      <c r="C93" s="901">
        <f>'Energy Inputs'!G32</f>
        <v>0.90184049079754602</v>
      </c>
      <c r="D93" s="897">
        <f>C93*'Energy Inputs'!$G$24</f>
        <v>14.700000000000001</v>
      </c>
      <c r="E93" s="197">
        <f>'Energy margins'!$Z$12</f>
        <v>55</v>
      </c>
      <c r="F93" s="197">
        <f t="shared" ref="F93:F106" si="61">D93*E93</f>
        <v>808.50000000000011</v>
      </c>
      <c r="G93" s="897">
        <f>'Energy Inputs'!$D$10</f>
        <v>220</v>
      </c>
      <c r="H93" s="197">
        <f t="shared" si="50"/>
        <v>1028.5</v>
      </c>
      <c r="I93" s="197"/>
      <c r="J93" s="926">
        <f>IF(ISERROR(IF(MOD(IF(AND(B93&gt;='Energy margins'!$AA$44,B93&lt;='Energy margins'!$AB$44),B93-'Energy margins'!$AA$44,""),'Energy margins'!$AC$44)=0,'Energy margins'!$Z$44,0)),0,IF(MOD(IF(AND(B93&gt;='Energy margins'!$AA$44,B93&lt;='Energy margins'!$AB$44),B93-'Energy margins'!$AA$44,""),'Energy margins'!$AC$44)=0,'Energy margins'!$Z$44,0))</f>
        <v>161</v>
      </c>
      <c r="K93" s="897">
        <f>IF(ISERROR(IF(MOD(IF(AND(B93&gt;='Energy margins'!$AA$45,B93&lt;='Energy margins'!$AB$45),B93-'Energy margins'!$AA$45,""),'Energy margins'!$AC$45)=0,'Energy margins'!$Z$45,0)),0,IF(MOD(IF(AND(B93&gt;='Energy margins'!$AA$45,B93&lt;='Energy margins'!$AB$45),B93-'Energy margins'!$AA$45,""),'Energy margins'!$AC$45)=0,'Energy margins'!$Z$45,0))</f>
        <v>0</v>
      </c>
      <c r="L93" s="897">
        <f>IF(ISERROR(IF(MOD(IF(AND(B93&gt;='Energy margins'!$AA$46,B93&lt;='Energy margins'!$AB$46),B93-'Energy margins'!$AA$46,""),'Energy margins'!$AC$46)=0,'Energy margins'!$Z$46,0)),0,IF(MOD(IF(AND(B93&gt;='Energy margins'!$AA$46,B93&lt;='Energy margins'!$AB$46),B93-'Energy margins'!$AA$46,""),'Energy margins'!$AC$46)=0,'Energy margins'!$Z$46,0))</f>
        <v>0</v>
      </c>
      <c r="M93" s="897">
        <f>IF(ISERROR(IF(MOD(IF(AND(B93&gt;='Energy margins'!$AA$47,B93&lt;='Energy margins'!$AB$47),B93-'Energy margins'!$AA$47,""),'Energy margins'!$AC$47)=0,'Energy margins'!$Z$47,0)),0,IF(MOD(IF(AND(B93&gt;='Energy margins'!$AA$47,B93&lt;='Energy margins'!$AB$47),B93-'Energy margins'!$AA$47,""),'Energy margins'!$AC$47)=0,'Energy margins'!$Z$47,0))</f>
        <v>16.07</v>
      </c>
      <c r="N93" s="897">
        <f>IF(ISERROR(IF(MOD(IF(AND(B93&gt;='Energy margins'!$AA$50,B93&lt;='Energy margins'!$AB$50),B93-'Energy margins'!$AA$50,""),'Energy margins'!$AC$50)=0,'Energy margins'!$Z$50,0)),0,IF(MOD(IF(AND(B93&gt;='Energy margins'!$AA$50,B93&lt;='Energy margins'!$AB$50),B93-'Energy margins'!$AA$50,""),'Energy margins'!$AC$50)=0,'Energy margins'!$Z$50,0))</f>
        <v>78.240000000000009</v>
      </c>
      <c r="O93" s="897">
        <f>IF(ISERROR(IF(MOD(IF(AND(B93&gt;='Energy margins'!$AA$53,B93&lt;='Energy margins'!$AB$53),B93-'Energy margins'!$AA$53,""),'Energy margins'!$AC$53)=0,'Energy margins'!$Z$53,0)),0,IF(MOD(IF(AND(B93&gt;='Energy margins'!$AA$53,B93&lt;='Energy margins'!$AB$53),B93-'Energy margins'!$AA$53,""),'Energy margins'!$AC$53)=0,'Energy margins'!$Z$53,0))</f>
        <v>58.972000000000001</v>
      </c>
      <c r="P93" s="897">
        <f>IF(ISERROR(IF(MOD(IF(AND(B93&gt;='Energy margins'!$AA$56,B93&lt;='Energy margins'!$AB$56),B93-'Energy margins'!$AA$56,""),'Energy margins'!$AC$56)=0,'Energy margins'!$Z$56,0)),0,IF(MOD(IF(AND(B93&gt;='Energy margins'!$AA$56,B93&lt;='Energy margins'!$AB$56),B93-'Energy margins'!$AA$56,""),'Energy margins'!$AC$56)=0,'Energy margins'!$Z$56,0))</f>
        <v>40.5</v>
      </c>
      <c r="Q93" s="897">
        <f>IF(ISERROR(IF(MOD(IF(AND(B93&gt;='Energy margins'!$AA$59,B93&lt;='Energy margins'!$AB$59),B93-'Energy margins'!$AA$59,""),'Energy margins'!$AC$59)=0,'Energy margins'!$Z$59,0)),0,IF(MOD(IF(AND(B93&gt;='Energy margins'!$AA$59,B93&lt;='Energy margins'!$AB$59),B93-'Energy margins'!$AA$59,""),'Energy margins'!$AC$59)=0,'Energy margins'!$Z$59,0))</f>
        <v>0</v>
      </c>
      <c r="R93" s="897">
        <f>IF(ISERROR(IF(MOD(IF(AND(B93&gt;='Energy margins'!$AA$60,B93&lt;='Energy margins'!$AB$60),B93-'Energy margins'!$AA$60,""),'Energy margins'!$AC$60)=0,'Energy margins'!$Z$60,0)),0,IF(MOD(IF(AND(B93&gt;='Energy margins'!$AA$60,B93&lt;='Energy margins'!$AB$60),B93-'Energy margins'!$AA$60,""),'Energy margins'!$AC$60)=0,'Energy margins'!$Z$60,0))</f>
        <v>0</v>
      </c>
      <c r="S93" s="897">
        <f>IF(ISERROR(IF(MOD(IF(AND(B93&gt;='Energy margins'!$AA$61,B93&lt;='Energy margins'!$AB$61),B93-'Energy margins'!$AA$61,""),'Energy margins'!$AC$61)=0,'Energy margins'!$Z$61,0)),0,IF(MOD(IF(AND(B93&gt;='Energy margins'!$AA$61,B93&lt;='Energy margins'!$AB$61),B93-'Energy margins'!$AA$61,""),'Energy margins'!$AC$61)=0,'Energy margins'!$Z$61,0))</f>
        <v>175</v>
      </c>
      <c r="T93" s="897">
        <f>IF(ISERROR(IF(MOD(IF(AND(B93&gt;='Energy margins'!$AA$62,B93&lt;='Energy margins'!$AB$62),B93-'Energy margins'!$AA$62,""),'Energy margins'!$AC$62)=0,'Energy margins'!$Z$62,0)),0,IF(MOD(IF(AND(B93&gt;='Energy margins'!$AA$62,B93&lt;='Energy margins'!$AB$62),B93-'Energy margins'!$AA$62,""),'Energy margins'!$AC$62)=0,'Energy margins'!$Z$62,0))</f>
        <v>0</v>
      </c>
      <c r="U93" s="923">
        <f t="shared" si="46"/>
        <v>529.78199999999993</v>
      </c>
      <c r="V93" s="197"/>
      <c r="W93" s="197">
        <f t="shared" si="51"/>
        <v>529.78199999999993</v>
      </c>
      <c r="X93" s="197">
        <f t="shared" si="47"/>
        <v>278.71800000000019</v>
      </c>
      <c r="Y93" s="197">
        <f t="shared" si="48"/>
        <v>498.71800000000007</v>
      </c>
      <c r="Z93" s="952">
        <f t="shared" si="52"/>
        <v>747.50369822485209</v>
      </c>
      <c r="AA93" s="953">
        <f t="shared" si="53"/>
        <v>203.40236686390531</v>
      </c>
      <c r="AB93" s="953">
        <f t="shared" si="54"/>
        <v>489.81323964497028</v>
      </c>
      <c r="AC93" s="1019">
        <f t="shared" si="55"/>
        <v>257.69045857988181</v>
      </c>
      <c r="AD93" s="1019">
        <f t="shared" si="56"/>
        <v>461.09282544378698</v>
      </c>
      <c r="AE93" s="952">
        <f t="shared" ref="AE93:AE106" si="62">AE92+Z93</f>
        <v>1272.8242110453648</v>
      </c>
      <c r="AF93" s="953">
        <f t="shared" si="57"/>
        <v>634.94082840236683</v>
      </c>
      <c r="AG93" s="953">
        <f t="shared" si="58"/>
        <v>2991.501008875739</v>
      </c>
      <c r="AH93" s="1019">
        <f t="shared" si="59"/>
        <v>-1718.6767978303744</v>
      </c>
      <c r="AI93" s="1020">
        <f t="shared" si="60"/>
        <v>-1083.7359694280078</v>
      </c>
    </row>
    <row r="94" spans="2:35" x14ac:dyDescent="0.3">
      <c r="B94" s="881">
        <v>4</v>
      </c>
      <c r="C94" s="901">
        <f>'Energy Inputs'!G33</f>
        <v>0.96523517382413093</v>
      </c>
      <c r="D94" s="897">
        <f>C94*'Energy Inputs'!$G$24</f>
        <v>15.733333333333334</v>
      </c>
      <c r="E94" s="197">
        <f>'Energy margins'!$Z$12</f>
        <v>55</v>
      </c>
      <c r="F94" s="197">
        <f t="shared" si="61"/>
        <v>865.33333333333337</v>
      </c>
      <c r="G94" s="897">
        <f>'Energy Inputs'!$D$10</f>
        <v>220</v>
      </c>
      <c r="H94" s="197">
        <f t="shared" si="50"/>
        <v>1085.3333333333335</v>
      </c>
      <c r="I94" s="197"/>
      <c r="J94" s="926">
        <f>IF(ISERROR(IF(MOD(IF(AND(B94&gt;='Energy margins'!$AA$44,B94&lt;='Energy margins'!$AB$44),B94-'Energy margins'!$AA$44,""),'Energy margins'!$AC$44)=0,'Energy margins'!$Z$44,0)),0,IF(MOD(IF(AND(B94&gt;='Energy margins'!$AA$44,B94&lt;='Energy margins'!$AB$44),B94-'Energy margins'!$AA$44,""),'Energy margins'!$AC$44)=0,'Energy margins'!$Z$44,0))</f>
        <v>0</v>
      </c>
      <c r="K94" s="897">
        <f>IF(ISERROR(IF(MOD(IF(AND(B94&gt;='Energy margins'!$AA$45,B94&lt;='Energy margins'!$AB$45),B94-'Energy margins'!$AA$45,""),'Energy margins'!$AC$45)=0,'Energy margins'!$Z$45,0)),0,IF(MOD(IF(AND(B94&gt;='Energy margins'!$AA$45,B94&lt;='Energy margins'!$AB$45),B94-'Energy margins'!$AA$45,""),'Energy margins'!$AC$45)=0,'Energy margins'!$Z$45,0))</f>
        <v>0</v>
      </c>
      <c r="L94" s="897">
        <f>IF(ISERROR(IF(MOD(IF(AND(B94&gt;='Energy margins'!$AA$46,B94&lt;='Energy margins'!$AB$46),B94-'Energy margins'!$AA$46,""),'Energy margins'!$AC$46)=0,'Energy margins'!$Z$46,0)),0,IF(MOD(IF(AND(B94&gt;='Energy margins'!$AA$46,B94&lt;='Energy margins'!$AB$46),B94-'Energy margins'!$AA$46,""),'Energy margins'!$AC$46)=0,'Energy margins'!$Z$46,0))</f>
        <v>0</v>
      </c>
      <c r="M94" s="897">
        <f>IF(ISERROR(IF(MOD(IF(AND(B94&gt;='Energy margins'!$AA$47,B94&lt;='Energy margins'!$AB$47),B94-'Energy margins'!$AA$47,""),'Energy margins'!$AC$47)=0,'Energy margins'!$Z$47,0)),0,IF(MOD(IF(AND(B94&gt;='Energy margins'!$AA$47,B94&lt;='Energy margins'!$AB$47),B94-'Energy margins'!$AA$47,""),'Energy margins'!$AC$47)=0,'Energy margins'!$Z$47,0))</f>
        <v>16.07</v>
      </c>
      <c r="N94" s="897">
        <f>IF(ISERROR(IF(MOD(IF(AND(B94&gt;='Energy margins'!$AA$50,B94&lt;='Energy margins'!$AB$50),B94-'Energy margins'!$AA$50,""),'Energy margins'!$AC$50)=0,'Energy margins'!$Z$50,0)),0,IF(MOD(IF(AND(B94&gt;='Energy margins'!$AA$50,B94&lt;='Energy margins'!$AB$50),B94-'Energy margins'!$AA$50,""),'Energy margins'!$AC$50)=0,'Energy margins'!$Z$50,0))</f>
        <v>78.240000000000009</v>
      </c>
      <c r="O94" s="897">
        <f>IF(ISERROR(IF(MOD(IF(AND(B94&gt;='Energy margins'!$AA$53,B94&lt;='Energy margins'!$AB$53),B94-'Energy margins'!$AA$53,""),'Energy margins'!$AC$53)=0,'Energy margins'!$Z$53,0)),0,IF(MOD(IF(AND(B94&gt;='Energy margins'!$AA$53,B94&lt;='Energy margins'!$AB$53),B94-'Energy margins'!$AA$53,""),'Energy margins'!$AC$53)=0,'Energy margins'!$Z$53,0))</f>
        <v>58.972000000000001</v>
      </c>
      <c r="P94" s="897">
        <f>IF(ISERROR(IF(MOD(IF(AND(B94&gt;='Energy margins'!$AA$56,B94&lt;='Energy margins'!$AB$56),B94-'Energy margins'!$AA$56,""),'Energy margins'!$AC$56)=0,'Energy margins'!$Z$56,0)),0,IF(MOD(IF(AND(B94&gt;='Energy margins'!$AA$56,B94&lt;='Energy margins'!$AB$56),B94-'Energy margins'!$AA$56,""),'Energy margins'!$AC$56)=0,'Energy margins'!$Z$56,0))</f>
        <v>40.5</v>
      </c>
      <c r="Q94" s="897">
        <f>IF(ISERROR(IF(MOD(IF(AND(B94&gt;='Energy margins'!$AA$59,B94&lt;='Energy margins'!$AB$59),B94-'Energy margins'!$AA$59,""),'Energy margins'!$AC$59)=0,'Energy margins'!$Z$59,0)),0,IF(MOD(IF(AND(B94&gt;='Energy margins'!$AA$59,B94&lt;='Energy margins'!$AB$59),B94-'Energy margins'!$AA$59,""),'Energy margins'!$AC$59)=0,'Energy margins'!$Z$59,0))</f>
        <v>0</v>
      </c>
      <c r="R94" s="897">
        <f>IF(ISERROR(IF(MOD(IF(AND(B94&gt;='Energy margins'!$AA$60,B94&lt;='Energy margins'!$AB$60),B94-'Energy margins'!$AA$60,""),'Energy margins'!$AC$60)=0,'Energy margins'!$Z$60,0)),0,IF(MOD(IF(AND(B94&gt;='Energy margins'!$AA$60,B94&lt;='Energy margins'!$AB$60),B94-'Energy margins'!$AA$60,""),'Energy margins'!$AC$60)=0,'Energy margins'!$Z$60,0))</f>
        <v>0</v>
      </c>
      <c r="S94" s="897">
        <f>IF(ISERROR(IF(MOD(IF(AND(B94&gt;='Energy margins'!$AA$61,B94&lt;='Energy margins'!$AB$61),B94-'Energy margins'!$AA$61,""),'Energy margins'!$AC$61)=0,'Energy margins'!$Z$61,0)),0,IF(MOD(IF(AND(B94&gt;='Energy margins'!$AA$61,B94&lt;='Energy margins'!$AB$61),B94-'Energy margins'!$AA$61,""),'Energy margins'!$AC$61)=0,'Energy margins'!$Z$61,0))</f>
        <v>175</v>
      </c>
      <c r="T94" s="897">
        <f>IF(ISERROR(IF(MOD(IF(AND(B94&gt;='Energy margins'!$AA$62,B94&lt;='Energy margins'!$AB$62),B94-'Energy margins'!$AA$62,""),'Energy margins'!$AC$62)=0,'Energy margins'!$Z$62,0)),0,IF(MOD(IF(AND(B94&gt;='Energy margins'!$AA$62,B94&lt;='Energy margins'!$AB$62),B94-'Energy margins'!$AA$62,""),'Energy margins'!$AC$62)=0,'Energy margins'!$Z$62,0))</f>
        <v>0</v>
      </c>
      <c r="U94" s="923">
        <f t="shared" si="46"/>
        <v>368.78200000000004</v>
      </c>
      <c r="V94" s="197"/>
      <c r="W94" s="197">
        <f t="shared" si="51"/>
        <v>368.78200000000004</v>
      </c>
      <c r="X94" s="197">
        <f t="shared" si="47"/>
        <v>496.55133333333333</v>
      </c>
      <c r="Y94" s="197">
        <f t="shared" si="48"/>
        <v>716.55133333333345</v>
      </c>
      <c r="Z94" s="952">
        <f t="shared" si="52"/>
        <v>769.27818236989833</v>
      </c>
      <c r="AA94" s="953">
        <f t="shared" si="53"/>
        <v>195.57919890760127</v>
      </c>
      <c r="AB94" s="953">
        <f t="shared" si="54"/>
        <v>327.84585514337732</v>
      </c>
      <c r="AC94" s="1019">
        <f t="shared" si="55"/>
        <v>441.43232722652095</v>
      </c>
      <c r="AD94" s="1019">
        <f t="shared" si="56"/>
        <v>637.01152613412239</v>
      </c>
      <c r="AE94" s="952">
        <f t="shared" si="62"/>
        <v>2042.1023934152631</v>
      </c>
      <c r="AF94" s="953">
        <f t="shared" si="57"/>
        <v>830.5200273099681</v>
      </c>
      <c r="AG94" s="953">
        <f t="shared" si="58"/>
        <v>3319.3468640191163</v>
      </c>
      <c r="AH94" s="1019">
        <f t="shared" si="59"/>
        <v>-1277.2444706038534</v>
      </c>
      <c r="AI94" s="1020">
        <f t="shared" si="60"/>
        <v>-446.72444329388543</v>
      </c>
    </row>
    <row r="95" spans="2:35" x14ac:dyDescent="0.3">
      <c r="B95" s="881">
        <v>5</v>
      </c>
      <c r="C95" s="901">
        <f>'Energy Inputs'!G34</f>
        <v>1</v>
      </c>
      <c r="D95" s="897">
        <f>C95*'Energy Inputs'!$G$24</f>
        <v>16.3</v>
      </c>
      <c r="E95" s="197">
        <f>'Energy margins'!$Z$12</f>
        <v>55</v>
      </c>
      <c r="F95" s="197">
        <f t="shared" si="61"/>
        <v>896.5</v>
      </c>
      <c r="G95" s="897">
        <f>'Energy Inputs'!$D$10</f>
        <v>220</v>
      </c>
      <c r="H95" s="197">
        <f t="shared" si="50"/>
        <v>1116.5</v>
      </c>
      <c r="I95" s="197"/>
      <c r="J95" s="926">
        <f>IF(ISERROR(IF(MOD(IF(AND(B95&gt;='Energy margins'!$AA$44,B95&lt;='Energy margins'!$AB$44),B95-'Energy margins'!$AA$44,""),'Energy margins'!$AC$44)=0,'Energy margins'!$Z$44,0)),0,IF(MOD(IF(AND(B95&gt;='Energy margins'!$AA$44,B95&lt;='Energy margins'!$AB$44),B95-'Energy margins'!$AA$44,""),'Energy margins'!$AC$44)=0,'Energy margins'!$Z$44,0))</f>
        <v>0</v>
      </c>
      <c r="K95" s="897">
        <f>IF(ISERROR(IF(MOD(IF(AND(B95&gt;='Energy margins'!$AA$45,B95&lt;='Energy margins'!$AB$45),B95-'Energy margins'!$AA$45,""),'Energy margins'!$AC$45)=0,'Energy margins'!$Z$45,0)),0,IF(MOD(IF(AND(B95&gt;='Energy margins'!$AA$45,B95&lt;='Energy margins'!$AB$45),B95-'Energy margins'!$AA$45,""),'Energy margins'!$AC$45)=0,'Energy margins'!$Z$45,0))</f>
        <v>0</v>
      </c>
      <c r="L95" s="897">
        <f>IF(ISERROR(IF(MOD(IF(AND(B95&gt;='Energy margins'!$AA$46,B95&lt;='Energy margins'!$AB$46),B95-'Energy margins'!$AA$46,""),'Energy margins'!$AC$46)=0,'Energy margins'!$Z$46,0)),0,IF(MOD(IF(AND(B95&gt;='Energy margins'!$AA$46,B95&lt;='Energy margins'!$AB$46),B95-'Energy margins'!$AA$46,""),'Energy margins'!$AC$46)=0,'Energy margins'!$Z$46,0))</f>
        <v>0</v>
      </c>
      <c r="M95" s="897">
        <f>IF(ISERROR(IF(MOD(IF(AND(B95&gt;='Energy margins'!$AA$47,B95&lt;='Energy margins'!$AB$47),B95-'Energy margins'!$AA$47,""),'Energy margins'!$AC$47)=0,'Energy margins'!$Z$47,0)),0,IF(MOD(IF(AND(B95&gt;='Energy margins'!$AA$47,B95&lt;='Energy margins'!$AB$47),B95-'Energy margins'!$AA$47,""),'Energy margins'!$AC$47)=0,'Energy margins'!$Z$47,0))</f>
        <v>16.07</v>
      </c>
      <c r="N95" s="897">
        <f>IF(ISERROR(IF(MOD(IF(AND(B95&gt;='Energy margins'!$AA$50,B95&lt;='Energy margins'!$AB$50),B95-'Energy margins'!$AA$50,""),'Energy margins'!$AC$50)=0,'Energy margins'!$Z$50,0)),0,IF(MOD(IF(AND(B95&gt;='Energy margins'!$AA$50,B95&lt;='Energy margins'!$AB$50),B95-'Energy margins'!$AA$50,""),'Energy margins'!$AC$50)=0,'Energy margins'!$Z$50,0))</f>
        <v>78.240000000000009</v>
      </c>
      <c r="O95" s="897">
        <f>IF(ISERROR(IF(MOD(IF(AND(B95&gt;='Energy margins'!$AA$53,B95&lt;='Energy margins'!$AB$53),B95-'Energy margins'!$AA$53,""),'Energy margins'!$AC$53)=0,'Energy margins'!$Z$53,0)),0,IF(MOD(IF(AND(B95&gt;='Energy margins'!$AA$53,B95&lt;='Energy margins'!$AB$53),B95-'Energy margins'!$AA$53,""),'Energy margins'!$AC$53)=0,'Energy margins'!$Z$53,0))</f>
        <v>58.972000000000001</v>
      </c>
      <c r="P95" s="897">
        <f>IF(ISERROR(IF(MOD(IF(AND(B95&gt;='Energy margins'!$AA$56,B95&lt;='Energy margins'!$AB$56),B95-'Energy margins'!$AA$56,""),'Energy margins'!$AC$56)=0,'Energy margins'!$Z$56,0)),0,IF(MOD(IF(AND(B95&gt;='Energy margins'!$AA$56,B95&lt;='Energy margins'!$AB$56),B95-'Energy margins'!$AA$56,""),'Energy margins'!$AC$56)=0,'Energy margins'!$Z$56,0))</f>
        <v>40.5</v>
      </c>
      <c r="Q95" s="897">
        <f>IF(ISERROR(IF(MOD(IF(AND(B95&gt;='Energy margins'!$AA$59,B95&lt;='Energy margins'!$AB$59),B95-'Energy margins'!$AA$59,""),'Energy margins'!$AC$59)=0,'Energy margins'!$Z$59,0)),0,IF(MOD(IF(AND(B95&gt;='Energy margins'!$AA$59,B95&lt;='Energy margins'!$AB$59),B95-'Energy margins'!$AA$59,""),'Energy margins'!$AC$59)=0,'Energy margins'!$Z$59,0))</f>
        <v>0</v>
      </c>
      <c r="R95" s="897">
        <f>IF(ISERROR(IF(MOD(IF(AND(B95&gt;='Energy margins'!$AA$60,B95&lt;='Energy margins'!$AB$60),B95-'Energy margins'!$AA$60,""),'Energy margins'!$AC$60)=0,'Energy margins'!$Z$60,0)),0,IF(MOD(IF(AND(B95&gt;='Energy margins'!$AA$60,B95&lt;='Energy margins'!$AB$60),B95-'Energy margins'!$AA$60,""),'Energy margins'!$AC$60)=0,'Energy margins'!$Z$60,0))</f>
        <v>0</v>
      </c>
      <c r="S95" s="897">
        <f>IF(ISERROR(IF(MOD(IF(AND(B95&gt;='Energy margins'!$AA$61,B95&lt;='Energy margins'!$AB$61),B95-'Energy margins'!$AA$61,""),'Energy margins'!$AC$61)=0,'Energy margins'!$Z$61,0)),0,IF(MOD(IF(AND(B95&gt;='Energy margins'!$AA$61,B95&lt;='Energy margins'!$AB$61),B95-'Energy margins'!$AA$61,""),'Energy margins'!$AC$61)=0,'Energy margins'!$Z$61,0))</f>
        <v>175</v>
      </c>
      <c r="T95" s="897">
        <f>IF(ISERROR(IF(MOD(IF(AND(B95&gt;='Energy margins'!$AA$62,B95&lt;='Energy margins'!$AB$62),B95-'Energy margins'!$AA$62,""),'Energy margins'!$AC$62)=0,'Energy margins'!$Z$62,0)),0,IF(MOD(IF(AND(B95&gt;='Energy margins'!$AA$62,B95&lt;='Energy margins'!$AB$62),B95-'Energy margins'!$AA$62,""),'Energy margins'!$AC$62)=0,'Energy margins'!$Z$62,0))</f>
        <v>0</v>
      </c>
      <c r="U95" s="923">
        <f t="shared" si="46"/>
        <v>368.78200000000004</v>
      </c>
      <c r="V95" s="197"/>
      <c r="W95" s="197">
        <f t="shared" si="51"/>
        <v>368.78200000000004</v>
      </c>
      <c r="X95" s="197">
        <f t="shared" si="47"/>
        <v>527.71799999999996</v>
      </c>
      <c r="Y95" s="197">
        <f t="shared" si="48"/>
        <v>747.71799999999996</v>
      </c>
      <c r="Z95" s="952">
        <f t="shared" si="52"/>
        <v>766.33195725814903</v>
      </c>
      <c r="AA95" s="953">
        <f t="shared" si="53"/>
        <v>188.05692202653967</v>
      </c>
      <c r="AB95" s="953">
        <f t="shared" si="54"/>
        <v>315.23639917632431</v>
      </c>
      <c r="AC95" s="1019">
        <f t="shared" si="55"/>
        <v>451.09555808182478</v>
      </c>
      <c r="AD95" s="1019">
        <f t="shared" si="56"/>
        <v>639.15248010836444</v>
      </c>
      <c r="AE95" s="952">
        <f t="shared" si="62"/>
        <v>2808.4343506734122</v>
      </c>
      <c r="AF95" s="953">
        <f t="shared" si="57"/>
        <v>1018.5769493365078</v>
      </c>
      <c r="AG95" s="953">
        <f t="shared" si="58"/>
        <v>3634.5832631954408</v>
      </c>
      <c r="AH95" s="1019">
        <f t="shared" si="59"/>
        <v>-826.1489125220287</v>
      </c>
      <c r="AI95" s="1020">
        <f t="shared" si="60"/>
        <v>192.42803681447901</v>
      </c>
    </row>
    <row r="96" spans="2:35" x14ac:dyDescent="0.3">
      <c r="B96" s="881">
        <v>6</v>
      </c>
      <c r="C96" s="901">
        <f>'Energy Inputs'!G35</f>
        <v>1</v>
      </c>
      <c r="D96" s="897">
        <f>C96*'Energy Inputs'!$G$24</f>
        <v>16.3</v>
      </c>
      <c r="E96" s="197">
        <f>'Energy margins'!$Z$12</f>
        <v>55</v>
      </c>
      <c r="F96" s="197">
        <f t="shared" si="61"/>
        <v>896.5</v>
      </c>
      <c r="G96" s="897">
        <f>'Energy Inputs'!$D$10</f>
        <v>220</v>
      </c>
      <c r="H96" s="197">
        <f t="shared" si="50"/>
        <v>1116.5</v>
      </c>
      <c r="I96" s="197"/>
      <c r="J96" s="926">
        <f>IF(ISERROR(IF(MOD(IF(AND(B96&gt;='Energy margins'!$AA$44,B96&lt;='Energy margins'!$AB$44),B96-'Energy margins'!$AA$44,""),'Energy margins'!$AC$44)=0,'Energy margins'!$Z$44,0)),0,IF(MOD(IF(AND(B96&gt;='Energy margins'!$AA$44,B96&lt;='Energy margins'!$AB$44),B96-'Energy margins'!$AA$44,""),'Energy margins'!$AC$44)=0,'Energy margins'!$Z$44,0))</f>
        <v>0</v>
      </c>
      <c r="K96" s="897">
        <f>IF(ISERROR(IF(MOD(IF(AND(B96&gt;='Energy margins'!$AA$45,B96&lt;='Energy margins'!$AB$45),B96-'Energy margins'!$AA$45,""),'Energy margins'!$AC$45)=0,'Energy margins'!$Z$45,0)),0,IF(MOD(IF(AND(B96&gt;='Energy margins'!$AA$45,B96&lt;='Energy margins'!$AB$45),B96-'Energy margins'!$AA$45,""),'Energy margins'!$AC$45)=0,'Energy margins'!$Z$45,0))</f>
        <v>0</v>
      </c>
      <c r="L96" s="897">
        <f>IF(ISERROR(IF(MOD(IF(AND(B96&gt;='Energy margins'!$AA$46,B96&lt;='Energy margins'!$AB$46),B96-'Energy margins'!$AA$46,""),'Energy margins'!$AC$46)=0,'Energy margins'!$Z$46,0)),0,IF(MOD(IF(AND(B96&gt;='Energy margins'!$AA$46,B96&lt;='Energy margins'!$AB$46),B96-'Energy margins'!$AA$46,""),'Energy margins'!$AC$46)=0,'Energy margins'!$Z$46,0))</f>
        <v>0</v>
      </c>
      <c r="M96" s="897">
        <f>IF(ISERROR(IF(MOD(IF(AND(B96&gt;='Energy margins'!$AA$47,B96&lt;='Energy margins'!$AB$47),B96-'Energy margins'!$AA$47,""),'Energy margins'!$AC$47)=0,'Energy margins'!$Z$47,0)),0,IF(MOD(IF(AND(B96&gt;='Energy margins'!$AA$47,B96&lt;='Energy margins'!$AB$47),B96-'Energy margins'!$AA$47,""),'Energy margins'!$AC$47)=0,'Energy margins'!$Z$47,0))</f>
        <v>16.07</v>
      </c>
      <c r="N96" s="897">
        <f>IF(ISERROR(IF(MOD(IF(AND(B96&gt;='Energy margins'!$AA$50,B96&lt;='Energy margins'!$AB$50),B96-'Energy margins'!$AA$50,""),'Energy margins'!$AC$50)=0,'Energy margins'!$Z$50,0)),0,IF(MOD(IF(AND(B96&gt;='Energy margins'!$AA$50,B96&lt;='Energy margins'!$AB$50),B96-'Energy margins'!$AA$50,""),'Energy margins'!$AC$50)=0,'Energy margins'!$Z$50,0))</f>
        <v>78.240000000000009</v>
      </c>
      <c r="O96" s="897">
        <f>IF(ISERROR(IF(MOD(IF(AND(B96&gt;='Energy margins'!$AA$53,B96&lt;='Energy margins'!$AB$53),B96-'Energy margins'!$AA$53,""),'Energy margins'!$AC$53)=0,'Energy margins'!$Z$53,0)),0,IF(MOD(IF(AND(B96&gt;='Energy margins'!$AA$53,B96&lt;='Energy margins'!$AB$53),B96-'Energy margins'!$AA$53,""),'Energy margins'!$AC$53)=0,'Energy margins'!$Z$53,0))</f>
        <v>58.972000000000001</v>
      </c>
      <c r="P96" s="897">
        <f>IF(ISERROR(IF(MOD(IF(AND(B96&gt;='Energy margins'!$AA$56,B96&lt;='Energy margins'!$AB$56),B96-'Energy margins'!$AA$56,""),'Energy margins'!$AC$56)=0,'Energy margins'!$Z$56,0)),0,IF(MOD(IF(AND(B96&gt;='Energy margins'!$AA$56,B96&lt;='Energy margins'!$AB$56),B96-'Energy margins'!$AA$56,""),'Energy margins'!$AC$56)=0,'Energy margins'!$Z$56,0))</f>
        <v>40.5</v>
      </c>
      <c r="Q96" s="897">
        <f>IF(ISERROR(IF(MOD(IF(AND(B96&gt;='Energy margins'!$AA$59,B96&lt;='Energy margins'!$AB$59),B96-'Energy margins'!$AA$59,""),'Energy margins'!$AC$59)=0,'Energy margins'!$Z$59,0)),0,IF(MOD(IF(AND(B96&gt;='Energy margins'!$AA$59,B96&lt;='Energy margins'!$AB$59),B96-'Energy margins'!$AA$59,""),'Energy margins'!$AC$59)=0,'Energy margins'!$Z$59,0))</f>
        <v>0</v>
      </c>
      <c r="R96" s="897">
        <f>IF(ISERROR(IF(MOD(IF(AND(B96&gt;='Energy margins'!$AA$60,B96&lt;='Energy margins'!$AB$60),B96-'Energy margins'!$AA$60,""),'Energy margins'!$AC$60)=0,'Energy margins'!$Z$60,0)),0,IF(MOD(IF(AND(B96&gt;='Energy margins'!$AA$60,B96&lt;='Energy margins'!$AB$60),B96-'Energy margins'!$AA$60,""),'Energy margins'!$AC$60)=0,'Energy margins'!$Z$60,0))</f>
        <v>0</v>
      </c>
      <c r="S96" s="897">
        <f>IF(ISERROR(IF(MOD(IF(AND(B96&gt;='Energy margins'!$AA$61,B96&lt;='Energy margins'!$AB$61),B96-'Energy margins'!$AA$61,""),'Energy margins'!$AC$61)=0,'Energy margins'!$Z$61,0)),0,IF(MOD(IF(AND(B96&gt;='Energy margins'!$AA$61,B96&lt;='Energy margins'!$AB$61),B96-'Energy margins'!$AA$61,""),'Energy margins'!$AC$61)=0,'Energy margins'!$Z$61,0))</f>
        <v>175</v>
      </c>
      <c r="T96" s="897">
        <f>IF(ISERROR(IF(MOD(IF(AND(B96&gt;='Energy margins'!$AA$62,B96&lt;='Energy margins'!$AB$62),B96-'Energy margins'!$AA$62,""),'Energy margins'!$AC$62)=0,'Energy margins'!$Z$62,0)),0,IF(MOD(IF(AND(B96&gt;='Energy margins'!$AA$62,B96&lt;='Energy margins'!$AB$62),B96-'Energy margins'!$AA$62,""),'Energy margins'!$AC$62)=0,'Energy margins'!$Z$62,0))</f>
        <v>0</v>
      </c>
      <c r="U96" s="923">
        <f t="shared" si="46"/>
        <v>368.78200000000004</v>
      </c>
      <c r="V96" s="197"/>
      <c r="W96" s="197">
        <f t="shared" si="51"/>
        <v>368.78200000000004</v>
      </c>
      <c r="X96" s="197">
        <f t="shared" si="47"/>
        <v>527.71799999999996</v>
      </c>
      <c r="Y96" s="197">
        <f t="shared" si="48"/>
        <v>747.71799999999996</v>
      </c>
      <c r="Z96" s="952">
        <f t="shared" si="52"/>
        <v>736.85765120975861</v>
      </c>
      <c r="AA96" s="953">
        <f t="shared" si="53"/>
        <v>180.82396348705734</v>
      </c>
      <c r="AB96" s="953">
        <f t="shared" si="54"/>
        <v>303.11192228492723</v>
      </c>
      <c r="AC96" s="1019">
        <f t="shared" si="55"/>
        <v>433.74572892483144</v>
      </c>
      <c r="AD96" s="1019">
        <f t="shared" si="56"/>
        <v>614.56969241188881</v>
      </c>
      <c r="AE96" s="952">
        <f t="shared" si="62"/>
        <v>3545.292001883171</v>
      </c>
      <c r="AF96" s="953">
        <f t="shared" si="57"/>
        <v>1199.4009128235652</v>
      </c>
      <c r="AG96" s="953">
        <f t="shared" si="58"/>
        <v>3937.6951854803683</v>
      </c>
      <c r="AH96" s="1019">
        <f t="shared" si="59"/>
        <v>-392.40318359719726</v>
      </c>
      <c r="AI96" s="1020">
        <f t="shared" si="60"/>
        <v>806.99772922636782</v>
      </c>
    </row>
    <row r="97" spans="2:35" x14ac:dyDescent="0.3">
      <c r="B97" s="881">
        <v>7</v>
      </c>
      <c r="C97" s="901">
        <f>'Energy Inputs'!G36</f>
        <v>1</v>
      </c>
      <c r="D97" s="897">
        <f>C97*'Energy Inputs'!$G$24</f>
        <v>16.3</v>
      </c>
      <c r="E97" s="197">
        <f>'Energy margins'!$Z$12</f>
        <v>55</v>
      </c>
      <c r="F97" s="197">
        <f t="shared" si="61"/>
        <v>896.5</v>
      </c>
      <c r="G97" s="897">
        <f>'Energy Inputs'!$D$10</f>
        <v>220</v>
      </c>
      <c r="H97" s="197">
        <f t="shared" si="50"/>
        <v>1116.5</v>
      </c>
      <c r="I97" s="197"/>
      <c r="J97" s="926">
        <f>IF(ISERROR(IF(MOD(IF(AND(B97&gt;='Energy margins'!$AA$44,B97&lt;='Energy margins'!$AB$44),B97-'Energy margins'!$AA$44,""),'Energy margins'!$AC$44)=0,'Energy margins'!$Z$44,0)),0,IF(MOD(IF(AND(B97&gt;='Energy margins'!$AA$44,B97&lt;='Energy margins'!$AB$44),B97-'Energy margins'!$AA$44,""),'Energy margins'!$AC$44)=0,'Energy margins'!$Z$44,0))</f>
        <v>0</v>
      </c>
      <c r="K97" s="897">
        <f>IF(ISERROR(IF(MOD(IF(AND(B97&gt;='Energy margins'!$AA$45,B97&lt;='Energy margins'!$AB$45),B97-'Energy margins'!$AA$45,""),'Energy margins'!$AC$45)=0,'Energy margins'!$Z$45,0)),0,IF(MOD(IF(AND(B97&gt;='Energy margins'!$AA$45,B97&lt;='Energy margins'!$AB$45),B97-'Energy margins'!$AA$45,""),'Energy margins'!$AC$45)=0,'Energy margins'!$Z$45,0))</f>
        <v>0</v>
      </c>
      <c r="L97" s="897">
        <f>IF(ISERROR(IF(MOD(IF(AND(B97&gt;='Energy margins'!$AA$46,B97&lt;='Energy margins'!$AB$46),B97-'Energy margins'!$AA$46,""),'Energy margins'!$AC$46)=0,'Energy margins'!$Z$46,0)),0,IF(MOD(IF(AND(B97&gt;='Energy margins'!$AA$46,B97&lt;='Energy margins'!$AB$46),B97-'Energy margins'!$AA$46,""),'Energy margins'!$AC$46)=0,'Energy margins'!$Z$46,0))</f>
        <v>0</v>
      </c>
      <c r="M97" s="897">
        <f>IF(ISERROR(IF(MOD(IF(AND(B97&gt;='Energy margins'!$AA$47,B97&lt;='Energy margins'!$AB$47),B97-'Energy margins'!$AA$47,""),'Energy margins'!$AC$47)=0,'Energy margins'!$Z$47,0)),0,IF(MOD(IF(AND(B97&gt;='Energy margins'!$AA$47,B97&lt;='Energy margins'!$AB$47),B97-'Energy margins'!$AA$47,""),'Energy margins'!$AC$47)=0,'Energy margins'!$Z$47,0))</f>
        <v>16.07</v>
      </c>
      <c r="N97" s="897">
        <f>IF(ISERROR(IF(MOD(IF(AND(B97&gt;='Energy margins'!$AA$50,B97&lt;='Energy margins'!$AB$50),B97-'Energy margins'!$AA$50,""),'Energy margins'!$AC$50)=0,'Energy margins'!$Z$50,0)),0,IF(MOD(IF(AND(B97&gt;='Energy margins'!$AA$50,B97&lt;='Energy margins'!$AB$50),B97-'Energy margins'!$AA$50,""),'Energy margins'!$AC$50)=0,'Energy margins'!$Z$50,0))</f>
        <v>78.240000000000009</v>
      </c>
      <c r="O97" s="897">
        <f>IF(ISERROR(IF(MOD(IF(AND(B97&gt;='Energy margins'!$AA$53,B97&lt;='Energy margins'!$AB$53),B97-'Energy margins'!$AA$53,""),'Energy margins'!$AC$53)=0,'Energy margins'!$Z$53,0)),0,IF(MOD(IF(AND(B97&gt;='Energy margins'!$AA$53,B97&lt;='Energy margins'!$AB$53),B97-'Energy margins'!$AA$53,""),'Energy margins'!$AC$53)=0,'Energy margins'!$Z$53,0))</f>
        <v>58.972000000000001</v>
      </c>
      <c r="P97" s="897">
        <f>IF(ISERROR(IF(MOD(IF(AND(B97&gt;='Energy margins'!$AA$56,B97&lt;='Energy margins'!$AB$56),B97-'Energy margins'!$AA$56,""),'Energy margins'!$AC$56)=0,'Energy margins'!$Z$56,0)),0,IF(MOD(IF(AND(B97&gt;='Energy margins'!$AA$56,B97&lt;='Energy margins'!$AB$56),B97-'Energy margins'!$AA$56,""),'Energy margins'!$AC$56)=0,'Energy margins'!$Z$56,0))</f>
        <v>40.5</v>
      </c>
      <c r="Q97" s="897">
        <f>IF(ISERROR(IF(MOD(IF(AND(B97&gt;='Energy margins'!$AA$59,B97&lt;='Energy margins'!$AB$59),B97-'Energy margins'!$AA$59,""),'Energy margins'!$AC$59)=0,'Energy margins'!$Z$59,0)),0,IF(MOD(IF(AND(B97&gt;='Energy margins'!$AA$59,B97&lt;='Energy margins'!$AB$59),B97-'Energy margins'!$AA$59,""),'Energy margins'!$AC$59)=0,'Energy margins'!$Z$59,0))</f>
        <v>0</v>
      </c>
      <c r="R97" s="897">
        <f>IF(ISERROR(IF(MOD(IF(AND(B97&gt;='Energy margins'!$AA$60,B97&lt;='Energy margins'!$AB$60),B97-'Energy margins'!$AA$60,""),'Energy margins'!$AC$60)=0,'Energy margins'!$Z$60,0)),0,IF(MOD(IF(AND(B97&gt;='Energy margins'!$AA$60,B97&lt;='Energy margins'!$AB$60),B97-'Energy margins'!$AA$60,""),'Energy margins'!$AC$60)=0,'Energy margins'!$Z$60,0))</f>
        <v>0</v>
      </c>
      <c r="S97" s="897">
        <f>IF(ISERROR(IF(MOD(IF(AND(B97&gt;='Energy margins'!$AA$61,B97&lt;='Energy margins'!$AB$61),B97-'Energy margins'!$AA$61,""),'Energy margins'!$AC$61)=0,'Energy margins'!$Z$61,0)),0,IF(MOD(IF(AND(B97&gt;='Energy margins'!$AA$61,B97&lt;='Energy margins'!$AB$61),B97-'Energy margins'!$AA$61,""),'Energy margins'!$AC$61)=0,'Energy margins'!$Z$61,0))</f>
        <v>175</v>
      </c>
      <c r="T97" s="897">
        <f>IF(ISERROR(IF(MOD(IF(AND(B97&gt;='Energy margins'!$AA$62,B97&lt;='Energy margins'!$AB$62),B97-'Energy margins'!$AA$62,""),'Energy margins'!$AC$62)=0,'Energy margins'!$Z$62,0)),0,IF(MOD(IF(AND(B97&gt;='Energy margins'!$AA$62,B97&lt;='Energy margins'!$AB$62),B97-'Energy margins'!$AA$62,""),'Energy margins'!$AC$62)=0,'Energy margins'!$Z$62,0))</f>
        <v>0</v>
      </c>
      <c r="U97" s="923">
        <f t="shared" si="46"/>
        <v>368.78200000000004</v>
      </c>
      <c r="V97" s="197"/>
      <c r="W97" s="197">
        <f t="shared" si="51"/>
        <v>368.78200000000004</v>
      </c>
      <c r="X97" s="197">
        <f t="shared" si="47"/>
        <v>527.71799999999996</v>
      </c>
      <c r="Y97" s="197">
        <f t="shared" si="48"/>
        <v>747.71799999999996</v>
      </c>
      <c r="Z97" s="952">
        <f t="shared" si="52"/>
        <v>708.51697231707567</v>
      </c>
      <c r="AA97" s="953">
        <f t="shared" si="53"/>
        <v>173.86919566063204</v>
      </c>
      <c r="AB97" s="953">
        <f t="shared" si="54"/>
        <v>291.45377142781462</v>
      </c>
      <c r="AC97" s="1019">
        <f t="shared" si="55"/>
        <v>417.063200889261</v>
      </c>
      <c r="AD97" s="1019">
        <f t="shared" si="56"/>
        <v>590.93239654989304</v>
      </c>
      <c r="AE97" s="952">
        <f t="shared" si="62"/>
        <v>4253.8089742002467</v>
      </c>
      <c r="AF97" s="953">
        <f t="shared" si="57"/>
        <v>1373.2701084841974</v>
      </c>
      <c r="AG97" s="953">
        <f t="shared" si="58"/>
        <v>4229.1489569081832</v>
      </c>
      <c r="AH97" s="1019">
        <f t="shared" si="59"/>
        <v>24.660017292063742</v>
      </c>
      <c r="AI97" s="1020">
        <f t="shared" si="60"/>
        <v>1397.9301257762609</v>
      </c>
    </row>
    <row r="98" spans="2:35" x14ac:dyDescent="0.3">
      <c r="B98" s="881">
        <v>8</v>
      </c>
      <c r="C98" s="901">
        <f>'Energy Inputs'!G37</f>
        <v>1</v>
      </c>
      <c r="D98" s="897">
        <f>C98*'Energy Inputs'!$G$24</f>
        <v>16.3</v>
      </c>
      <c r="E98" s="197">
        <f>'Energy margins'!$Z$12</f>
        <v>55</v>
      </c>
      <c r="F98" s="197">
        <f t="shared" si="61"/>
        <v>896.5</v>
      </c>
      <c r="G98" s="897">
        <f>'Energy Inputs'!$D$10</f>
        <v>220</v>
      </c>
      <c r="H98" s="197">
        <f t="shared" si="50"/>
        <v>1116.5</v>
      </c>
      <c r="I98" s="197"/>
      <c r="J98" s="926">
        <f>IF(ISERROR(IF(MOD(IF(AND(B98&gt;='Energy margins'!$AA$44,B98&lt;='Energy margins'!$AB$44),B98-'Energy margins'!$AA$44,""),'Energy margins'!$AC$44)=0,'Energy margins'!$Z$44,0)),0,IF(MOD(IF(AND(B98&gt;='Energy margins'!$AA$44,B98&lt;='Energy margins'!$AB$44),B98-'Energy margins'!$AA$44,""),'Energy margins'!$AC$44)=0,'Energy margins'!$Z$44,0))</f>
        <v>0</v>
      </c>
      <c r="K98" s="897">
        <f>IF(ISERROR(IF(MOD(IF(AND(B98&gt;='Energy margins'!$AA$45,B98&lt;='Energy margins'!$AB$45),B98-'Energy margins'!$AA$45,""),'Energy margins'!$AC$45)=0,'Energy margins'!$Z$45,0)),0,IF(MOD(IF(AND(B98&gt;='Energy margins'!$AA$45,B98&lt;='Energy margins'!$AB$45),B98-'Energy margins'!$AA$45,""),'Energy margins'!$AC$45)=0,'Energy margins'!$Z$45,0))</f>
        <v>0</v>
      </c>
      <c r="L98" s="897">
        <f>IF(ISERROR(IF(MOD(IF(AND(B98&gt;='Energy margins'!$AA$46,B98&lt;='Energy margins'!$AB$46),B98-'Energy margins'!$AA$46,""),'Energy margins'!$AC$46)=0,'Energy margins'!$Z$46,0)),0,IF(MOD(IF(AND(B98&gt;='Energy margins'!$AA$46,B98&lt;='Energy margins'!$AB$46),B98-'Energy margins'!$AA$46,""),'Energy margins'!$AC$46)=0,'Energy margins'!$Z$46,0))</f>
        <v>0</v>
      </c>
      <c r="M98" s="897">
        <f>IF(ISERROR(IF(MOD(IF(AND(B98&gt;='Energy margins'!$AA$47,B98&lt;='Energy margins'!$AB$47),B98-'Energy margins'!$AA$47,""),'Energy margins'!$AC$47)=0,'Energy margins'!$Z$47,0)),0,IF(MOD(IF(AND(B98&gt;='Energy margins'!$AA$47,B98&lt;='Energy margins'!$AB$47),B98-'Energy margins'!$AA$47,""),'Energy margins'!$AC$47)=0,'Energy margins'!$Z$47,0))</f>
        <v>16.07</v>
      </c>
      <c r="N98" s="897">
        <f>IF(ISERROR(IF(MOD(IF(AND(B98&gt;='Energy margins'!$AA$50,B98&lt;='Energy margins'!$AB$50),B98-'Energy margins'!$AA$50,""),'Energy margins'!$AC$50)=0,'Energy margins'!$Z$50,0)),0,IF(MOD(IF(AND(B98&gt;='Energy margins'!$AA$50,B98&lt;='Energy margins'!$AB$50),B98-'Energy margins'!$AA$50,""),'Energy margins'!$AC$50)=0,'Energy margins'!$Z$50,0))</f>
        <v>78.240000000000009</v>
      </c>
      <c r="O98" s="897">
        <f>IF(ISERROR(IF(MOD(IF(AND(B98&gt;='Energy margins'!$AA$53,B98&lt;='Energy margins'!$AB$53),B98-'Energy margins'!$AA$53,""),'Energy margins'!$AC$53)=0,'Energy margins'!$Z$53,0)),0,IF(MOD(IF(AND(B98&gt;='Energy margins'!$AA$53,B98&lt;='Energy margins'!$AB$53),B98-'Energy margins'!$AA$53,""),'Energy margins'!$AC$53)=0,'Energy margins'!$Z$53,0))</f>
        <v>58.972000000000001</v>
      </c>
      <c r="P98" s="897">
        <f>IF(ISERROR(IF(MOD(IF(AND(B98&gt;='Energy margins'!$AA$56,B98&lt;='Energy margins'!$AB$56),B98-'Energy margins'!$AA$56,""),'Energy margins'!$AC$56)=0,'Energy margins'!$Z$56,0)),0,IF(MOD(IF(AND(B98&gt;='Energy margins'!$AA$56,B98&lt;='Energy margins'!$AB$56),B98-'Energy margins'!$AA$56,""),'Energy margins'!$AC$56)=0,'Energy margins'!$Z$56,0))</f>
        <v>40.5</v>
      </c>
      <c r="Q98" s="897">
        <f>IF(ISERROR(IF(MOD(IF(AND(B98&gt;='Energy margins'!$AA$59,B98&lt;='Energy margins'!$AB$59),B98-'Energy margins'!$AA$59,""),'Energy margins'!$AC$59)=0,'Energy margins'!$Z$59,0)),0,IF(MOD(IF(AND(B98&gt;='Energy margins'!$AA$59,B98&lt;='Energy margins'!$AB$59),B98-'Energy margins'!$AA$59,""),'Energy margins'!$AC$59)=0,'Energy margins'!$Z$59,0))</f>
        <v>0</v>
      </c>
      <c r="R98" s="897">
        <f>IF(ISERROR(IF(MOD(IF(AND(B98&gt;='Energy margins'!$AA$60,B98&lt;='Energy margins'!$AB$60),B98-'Energy margins'!$AA$60,""),'Energy margins'!$AC$60)=0,'Energy margins'!$Z$60,0)),0,IF(MOD(IF(AND(B98&gt;='Energy margins'!$AA$60,B98&lt;='Energy margins'!$AB$60),B98-'Energy margins'!$AA$60,""),'Energy margins'!$AC$60)=0,'Energy margins'!$Z$60,0))</f>
        <v>0</v>
      </c>
      <c r="S98" s="897">
        <f>IF(ISERROR(IF(MOD(IF(AND(B98&gt;='Energy margins'!$AA$61,B98&lt;='Energy margins'!$AB$61),B98-'Energy margins'!$AA$61,""),'Energy margins'!$AC$61)=0,'Energy margins'!$Z$61,0)),0,IF(MOD(IF(AND(B98&gt;='Energy margins'!$AA$61,B98&lt;='Energy margins'!$AB$61),B98-'Energy margins'!$AA$61,""),'Energy margins'!$AC$61)=0,'Energy margins'!$Z$61,0))</f>
        <v>175</v>
      </c>
      <c r="T98" s="897">
        <f>IF(ISERROR(IF(MOD(IF(AND(B98&gt;='Energy margins'!$AA$62,B98&lt;='Energy margins'!$AB$62),B98-'Energy margins'!$AA$62,""),'Energy margins'!$AC$62)=0,'Energy margins'!$Z$62,0)),0,IF(MOD(IF(AND(B98&gt;='Energy margins'!$AA$62,B98&lt;='Energy margins'!$AB$62),B98-'Energy margins'!$AA$62,""),'Energy margins'!$AC$62)=0,'Energy margins'!$Z$62,0))</f>
        <v>0</v>
      </c>
      <c r="U98" s="923">
        <f t="shared" si="46"/>
        <v>368.78200000000004</v>
      </c>
      <c r="V98" s="197"/>
      <c r="W98" s="197">
        <f t="shared" si="51"/>
        <v>368.78200000000004</v>
      </c>
      <c r="X98" s="197">
        <f t="shared" si="47"/>
        <v>527.71799999999996</v>
      </c>
      <c r="Y98" s="197">
        <f t="shared" si="48"/>
        <v>747.71799999999996</v>
      </c>
      <c r="Z98" s="952">
        <f t="shared" si="52"/>
        <v>681.2663195356497</v>
      </c>
      <c r="AA98" s="953">
        <f t="shared" si="53"/>
        <v>167.18191890445391</v>
      </c>
      <c r="AB98" s="953">
        <f t="shared" si="54"/>
        <v>280.24401098828332</v>
      </c>
      <c r="AC98" s="1019">
        <f t="shared" si="55"/>
        <v>401.02230854736638</v>
      </c>
      <c r="AD98" s="1019">
        <f t="shared" si="56"/>
        <v>568.20422745182032</v>
      </c>
      <c r="AE98" s="952">
        <f t="shared" si="62"/>
        <v>4935.0752937358966</v>
      </c>
      <c r="AF98" s="953">
        <f t="shared" si="57"/>
        <v>1540.4520273886512</v>
      </c>
      <c r="AG98" s="953">
        <f t="shared" si="58"/>
        <v>4509.3929678964669</v>
      </c>
      <c r="AH98" s="1019">
        <f t="shared" si="59"/>
        <v>425.68232583943012</v>
      </c>
      <c r="AI98" s="1020">
        <f t="shared" si="60"/>
        <v>1966.1343532280812</v>
      </c>
    </row>
    <row r="99" spans="2:35" x14ac:dyDescent="0.3">
      <c r="B99" s="881">
        <v>9</v>
      </c>
      <c r="C99" s="901">
        <f>'Energy Inputs'!G38</f>
        <v>1</v>
      </c>
      <c r="D99" s="897">
        <f>C99*'Energy Inputs'!$G$24</f>
        <v>16.3</v>
      </c>
      <c r="E99" s="197">
        <f>'Energy margins'!$Z$12</f>
        <v>55</v>
      </c>
      <c r="F99" s="197">
        <f t="shared" si="61"/>
        <v>896.5</v>
      </c>
      <c r="G99" s="897">
        <f>'Energy Inputs'!$D$10</f>
        <v>220</v>
      </c>
      <c r="H99" s="197">
        <f t="shared" si="50"/>
        <v>1116.5</v>
      </c>
      <c r="I99" s="197"/>
      <c r="J99" s="926">
        <f>IF(ISERROR(IF(MOD(IF(AND(B99&gt;='Energy margins'!$AA$44,B99&lt;='Energy margins'!$AB$44),B99-'Energy margins'!$AA$44,""),'Energy margins'!$AC$44)=0,'Energy margins'!$Z$44,0)),0,IF(MOD(IF(AND(B99&gt;='Energy margins'!$AA$44,B99&lt;='Energy margins'!$AB$44),B99-'Energy margins'!$AA$44,""),'Energy margins'!$AC$44)=0,'Energy margins'!$Z$44,0))</f>
        <v>0</v>
      </c>
      <c r="K99" s="897">
        <f>IF(ISERROR(IF(MOD(IF(AND(B99&gt;='Energy margins'!$AA$45,B99&lt;='Energy margins'!$AB$45),B99-'Energy margins'!$AA$45,""),'Energy margins'!$AC$45)=0,'Energy margins'!$Z$45,0)),0,IF(MOD(IF(AND(B99&gt;='Energy margins'!$AA$45,B99&lt;='Energy margins'!$AB$45),B99-'Energy margins'!$AA$45,""),'Energy margins'!$AC$45)=0,'Energy margins'!$Z$45,0))</f>
        <v>0</v>
      </c>
      <c r="L99" s="897">
        <f>IF(ISERROR(IF(MOD(IF(AND(B99&gt;='Energy margins'!$AA$46,B99&lt;='Energy margins'!$AB$46),B99-'Energy margins'!$AA$46,""),'Energy margins'!$AC$46)=0,'Energy margins'!$Z$46,0)),0,IF(MOD(IF(AND(B99&gt;='Energy margins'!$AA$46,B99&lt;='Energy margins'!$AB$46),B99-'Energy margins'!$AA$46,""),'Energy margins'!$AC$46)=0,'Energy margins'!$Z$46,0))</f>
        <v>0</v>
      </c>
      <c r="M99" s="897">
        <f>IF(ISERROR(IF(MOD(IF(AND(B99&gt;='Energy margins'!$AA$47,B99&lt;='Energy margins'!$AB$47),B99-'Energy margins'!$AA$47,""),'Energy margins'!$AC$47)=0,'Energy margins'!$Z$47,0)),0,IF(MOD(IF(AND(B99&gt;='Energy margins'!$AA$47,B99&lt;='Energy margins'!$AB$47),B99-'Energy margins'!$AA$47,""),'Energy margins'!$AC$47)=0,'Energy margins'!$Z$47,0))</f>
        <v>16.07</v>
      </c>
      <c r="N99" s="897">
        <f>IF(ISERROR(IF(MOD(IF(AND(B99&gt;='Energy margins'!$AA$50,B99&lt;='Energy margins'!$AB$50),B99-'Energy margins'!$AA$50,""),'Energy margins'!$AC$50)=0,'Energy margins'!$Z$50,0)),0,IF(MOD(IF(AND(B99&gt;='Energy margins'!$AA$50,B99&lt;='Energy margins'!$AB$50),B99-'Energy margins'!$AA$50,""),'Energy margins'!$AC$50)=0,'Energy margins'!$Z$50,0))</f>
        <v>78.240000000000009</v>
      </c>
      <c r="O99" s="897">
        <f>IF(ISERROR(IF(MOD(IF(AND(B99&gt;='Energy margins'!$AA$53,B99&lt;='Energy margins'!$AB$53),B99-'Energy margins'!$AA$53,""),'Energy margins'!$AC$53)=0,'Energy margins'!$Z$53,0)),0,IF(MOD(IF(AND(B99&gt;='Energy margins'!$AA$53,B99&lt;='Energy margins'!$AB$53),B99-'Energy margins'!$AA$53,""),'Energy margins'!$AC$53)=0,'Energy margins'!$Z$53,0))</f>
        <v>58.972000000000001</v>
      </c>
      <c r="P99" s="897">
        <f>IF(ISERROR(IF(MOD(IF(AND(B99&gt;='Energy margins'!$AA$56,B99&lt;='Energy margins'!$AB$56),B99-'Energy margins'!$AA$56,""),'Energy margins'!$AC$56)=0,'Energy margins'!$Z$56,0)),0,IF(MOD(IF(AND(B99&gt;='Energy margins'!$AA$56,B99&lt;='Energy margins'!$AB$56),B99-'Energy margins'!$AA$56,""),'Energy margins'!$AC$56)=0,'Energy margins'!$Z$56,0))</f>
        <v>40.5</v>
      </c>
      <c r="Q99" s="897">
        <f>IF(ISERROR(IF(MOD(IF(AND(B99&gt;='Energy margins'!$AA$59,B99&lt;='Energy margins'!$AB$59),B99-'Energy margins'!$AA$59,""),'Energy margins'!$AC$59)=0,'Energy margins'!$Z$59,0)),0,IF(MOD(IF(AND(B99&gt;='Energy margins'!$AA$59,B99&lt;='Energy margins'!$AB$59),B99-'Energy margins'!$AA$59,""),'Energy margins'!$AC$59)=0,'Energy margins'!$Z$59,0))</f>
        <v>0</v>
      </c>
      <c r="R99" s="897">
        <f>IF(ISERROR(IF(MOD(IF(AND(B99&gt;='Energy margins'!$AA$60,B99&lt;='Energy margins'!$AB$60),B99-'Energy margins'!$AA$60,""),'Energy margins'!$AC$60)=0,'Energy margins'!$Z$60,0)),0,IF(MOD(IF(AND(B99&gt;='Energy margins'!$AA$60,B99&lt;='Energy margins'!$AB$60),B99-'Energy margins'!$AA$60,""),'Energy margins'!$AC$60)=0,'Energy margins'!$Z$60,0))</f>
        <v>0</v>
      </c>
      <c r="S99" s="897">
        <f>IF(ISERROR(IF(MOD(IF(AND(B99&gt;='Energy margins'!$AA$61,B99&lt;='Energy margins'!$AB$61),B99-'Energy margins'!$AA$61,""),'Energy margins'!$AC$61)=0,'Energy margins'!$Z$61,0)),0,IF(MOD(IF(AND(B99&gt;='Energy margins'!$AA$61,B99&lt;='Energy margins'!$AB$61),B99-'Energy margins'!$AA$61,""),'Energy margins'!$AC$61)=0,'Energy margins'!$Z$61,0))</f>
        <v>175</v>
      </c>
      <c r="T99" s="897">
        <f>IF(ISERROR(IF(MOD(IF(AND(B99&gt;='Energy margins'!$AA$62,B99&lt;='Energy margins'!$AB$62),B99-'Energy margins'!$AA$62,""),'Energy margins'!$AC$62)=0,'Energy margins'!$Z$62,0)),0,IF(MOD(IF(AND(B99&gt;='Energy margins'!$AA$62,B99&lt;='Energy margins'!$AB$62),B99-'Energy margins'!$AA$62,""),'Energy margins'!$AC$62)=0,'Energy margins'!$Z$62,0))</f>
        <v>0</v>
      </c>
      <c r="U99" s="923">
        <f t="shared" si="46"/>
        <v>368.78200000000004</v>
      </c>
      <c r="V99" s="197"/>
      <c r="W99" s="197">
        <f t="shared" si="51"/>
        <v>368.78200000000004</v>
      </c>
      <c r="X99" s="197">
        <f t="shared" si="47"/>
        <v>527.71799999999996</v>
      </c>
      <c r="Y99" s="197">
        <f t="shared" si="48"/>
        <v>747.71799999999996</v>
      </c>
      <c r="Z99" s="952">
        <f t="shared" si="52"/>
        <v>655.06376878427841</v>
      </c>
      <c r="AA99" s="953">
        <f t="shared" si="53"/>
        <v>160.75184510043644</v>
      </c>
      <c r="AB99" s="953">
        <f t="shared" si="54"/>
        <v>269.46539518104163</v>
      </c>
      <c r="AC99" s="1019">
        <f t="shared" si="55"/>
        <v>385.59837360323684</v>
      </c>
      <c r="AD99" s="1019">
        <f t="shared" si="56"/>
        <v>546.35021870367325</v>
      </c>
      <c r="AE99" s="952">
        <f t="shared" si="62"/>
        <v>5590.1390625201748</v>
      </c>
      <c r="AF99" s="953">
        <f t="shared" si="57"/>
        <v>1701.2038724890876</v>
      </c>
      <c r="AG99" s="953">
        <f t="shared" si="58"/>
        <v>4778.8583630775083</v>
      </c>
      <c r="AH99" s="1019">
        <f t="shared" si="59"/>
        <v>811.2806994426669</v>
      </c>
      <c r="AI99" s="1020">
        <f t="shared" si="60"/>
        <v>2512.4845719317545</v>
      </c>
    </row>
    <row r="100" spans="2:35" x14ac:dyDescent="0.3">
      <c r="B100" s="881">
        <v>10</v>
      </c>
      <c r="C100" s="901">
        <f>'Energy Inputs'!G39</f>
        <v>1</v>
      </c>
      <c r="D100" s="897">
        <f>C100*'Energy Inputs'!$G$24</f>
        <v>16.3</v>
      </c>
      <c r="E100" s="197">
        <f>'Energy margins'!$Z$12</f>
        <v>55</v>
      </c>
      <c r="F100" s="197">
        <f t="shared" si="61"/>
        <v>896.5</v>
      </c>
      <c r="G100" s="897">
        <f>'Energy Inputs'!$D$10</f>
        <v>220</v>
      </c>
      <c r="H100" s="197">
        <f t="shared" si="50"/>
        <v>1116.5</v>
      </c>
      <c r="I100" s="197"/>
      <c r="J100" s="926">
        <f>IF(ISERROR(IF(MOD(IF(AND(B100&gt;='Energy margins'!$AA$44,B100&lt;='Energy margins'!$AB$44),B100-'Energy margins'!$AA$44,""),'Energy margins'!$AC$44)=0,'Energy margins'!$Z$44,0)),0,IF(MOD(IF(AND(B100&gt;='Energy margins'!$AA$44,B100&lt;='Energy margins'!$AB$44),B100-'Energy margins'!$AA$44,""),'Energy margins'!$AC$44)=0,'Energy margins'!$Z$44,0))</f>
        <v>0</v>
      </c>
      <c r="K100" s="897">
        <f>IF(ISERROR(IF(MOD(IF(AND(B100&gt;='Energy margins'!$AA$45,B100&lt;='Energy margins'!$AB$45),B100-'Energy margins'!$AA$45,""),'Energy margins'!$AC$45)=0,'Energy margins'!$Z$45,0)),0,IF(MOD(IF(AND(B100&gt;='Energy margins'!$AA$45,B100&lt;='Energy margins'!$AB$45),B100-'Energy margins'!$AA$45,""),'Energy margins'!$AC$45)=0,'Energy margins'!$Z$45,0))</f>
        <v>0</v>
      </c>
      <c r="L100" s="897">
        <f>IF(ISERROR(IF(MOD(IF(AND(B100&gt;='Energy margins'!$AA$46,B100&lt;='Energy margins'!$AB$46),B100-'Energy margins'!$AA$46,""),'Energy margins'!$AC$46)=0,'Energy margins'!$Z$46,0)),0,IF(MOD(IF(AND(B100&gt;='Energy margins'!$AA$46,B100&lt;='Energy margins'!$AB$46),B100-'Energy margins'!$AA$46,""),'Energy margins'!$AC$46)=0,'Energy margins'!$Z$46,0))</f>
        <v>0</v>
      </c>
      <c r="M100" s="897">
        <f>IF(ISERROR(IF(MOD(IF(AND(B100&gt;='Energy margins'!$AA$47,B100&lt;='Energy margins'!$AB$47),B100-'Energy margins'!$AA$47,""),'Energy margins'!$AC$47)=0,'Energy margins'!$Z$47,0)),0,IF(MOD(IF(AND(B100&gt;='Energy margins'!$AA$47,B100&lt;='Energy margins'!$AB$47),B100-'Energy margins'!$AA$47,""),'Energy margins'!$AC$47)=0,'Energy margins'!$Z$47,0))</f>
        <v>16.07</v>
      </c>
      <c r="N100" s="897">
        <f>IF(ISERROR(IF(MOD(IF(AND(B100&gt;='Energy margins'!$AA$50,B100&lt;='Energy margins'!$AB$50),B100-'Energy margins'!$AA$50,""),'Energy margins'!$AC$50)=0,'Energy margins'!$Z$50,0)),0,IF(MOD(IF(AND(B100&gt;='Energy margins'!$AA$50,B100&lt;='Energy margins'!$AB$50),B100-'Energy margins'!$AA$50,""),'Energy margins'!$AC$50)=0,'Energy margins'!$Z$50,0))</f>
        <v>78.240000000000009</v>
      </c>
      <c r="O100" s="897">
        <f>IF(ISERROR(IF(MOD(IF(AND(B100&gt;='Energy margins'!$AA$53,B100&lt;='Energy margins'!$AB$53),B100-'Energy margins'!$AA$53,""),'Energy margins'!$AC$53)=0,'Energy margins'!$Z$53,0)),0,IF(MOD(IF(AND(B100&gt;='Energy margins'!$AA$53,B100&lt;='Energy margins'!$AB$53),B100-'Energy margins'!$AA$53,""),'Energy margins'!$AC$53)=0,'Energy margins'!$Z$53,0))</f>
        <v>58.972000000000001</v>
      </c>
      <c r="P100" s="897">
        <f>IF(ISERROR(IF(MOD(IF(AND(B100&gt;='Energy margins'!$AA$56,B100&lt;='Energy margins'!$AB$56),B100-'Energy margins'!$AA$56,""),'Energy margins'!$AC$56)=0,'Energy margins'!$Z$56,0)),0,IF(MOD(IF(AND(B100&gt;='Energy margins'!$AA$56,B100&lt;='Energy margins'!$AB$56),B100-'Energy margins'!$AA$56,""),'Energy margins'!$AC$56)=0,'Energy margins'!$Z$56,0))</f>
        <v>40.5</v>
      </c>
      <c r="Q100" s="897">
        <f>IF(ISERROR(IF(MOD(IF(AND(B100&gt;='Energy margins'!$AA$59,B100&lt;='Energy margins'!$AB$59),B100-'Energy margins'!$AA$59,""),'Energy margins'!$AC$59)=0,'Energy margins'!$Z$59,0)),0,IF(MOD(IF(AND(B100&gt;='Energy margins'!$AA$59,B100&lt;='Energy margins'!$AB$59),B100-'Energy margins'!$AA$59,""),'Energy margins'!$AC$59)=0,'Energy margins'!$Z$59,0))</f>
        <v>0</v>
      </c>
      <c r="R100" s="897">
        <f>IF(ISERROR(IF(MOD(IF(AND(B100&gt;='Energy margins'!$AA$60,B100&lt;='Energy margins'!$AB$60),B100-'Energy margins'!$AA$60,""),'Energy margins'!$AC$60)=0,'Energy margins'!$Z$60,0)),0,IF(MOD(IF(AND(B100&gt;='Energy margins'!$AA$60,B100&lt;='Energy margins'!$AB$60),B100-'Energy margins'!$AA$60,""),'Energy margins'!$AC$60)=0,'Energy margins'!$Z$60,0))</f>
        <v>0</v>
      </c>
      <c r="S100" s="897">
        <f>IF(ISERROR(IF(MOD(IF(AND(B100&gt;='Energy margins'!$AA$61,B100&lt;='Energy margins'!$AB$61),B100-'Energy margins'!$AA$61,""),'Energy margins'!$AC$61)=0,'Energy margins'!$Z$61,0)),0,IF(MOD(IF(AND(B100&gt;='Energy margins'!$AA$61,B100&lt;='Energy margins'!$AB$61),B100-'Energy margins'!$AA$61,""),'Energy margins'!$AC$61)=0,'Energy margins'!$Z$61,0))</f>
        <v>175</v>
      </c>
      <c r="T100" s="897">
        <f>IF(ISERROR(IF(MOD(IF(AND(B100&gt;='Energy margins'!$AA$62,B100&lt;='Energy margins'!$AB$62),B100-'Energy margins'!$AA$62,""),'Energy margins'!$AC$62)=0,'Energy margins'!$Z$62,0)),0,IF(MOD(IF(AND(B100&gt;='Energy margins'!$AA$62,B100&lt;='Energy margins'!$AB$62),B100-'Energy margins'!$AA$62,""),'Energy margins'!$AC$62)=0,'Energy margins'!$Z$62,0))</f>
        <v>0</v>
      </c>
      <c r="U100" s="923">
        <f t="shared" si="46"/>
        <v>368.78200000000004</v>
      </c>
      <c r="V100" s="197"/>
      <c r="W100" s="197">
        <f t="shared" si="51"/>
        <v>368.78200000000004</v>
      </c>
      <c r="X100" s="197">
        <f t="shared" si="47"/>
        <v>527.71799999999996</v>
      </c>
      <c r="Y100" s="197">
        <f t="shared" si="48"/>
        <v>747.71799999999996</v>
      </c>
      <c r="Z100" s="952">
        <f t="shared" si="52"/>
        <v>629.8690084464215</v>
      </c>
      <c r="AA100" s="953">
        <f t="shared" si="53"/>
        <v>154.5690818273427</v>
      </c>
      <c r="AB100" s="953">
        <f t="shared" si="54"/>
        <v>259.10134152023227</v>
      </c>
      <c r="AC100" s="1019">
        <f t="shared" si="55"/>
        <v>370.76766692618924</v>
      </c>
      <c r="AD100" s="1019">
        <f t="shared" si="56"/>
        <v>525.33674875353199</v>
      </c>
      <c r="AE100" s="952">
        <f t="shared" si="62"/>
        <v>6220.0080709665963</v>
      </c>
      <c r="AF100" s="953">
        <f t="shared" si="57"/>
        <v>1855.7729543164303</v>
      </c>
      <c r="AG100" s="953">
        <f t="shared" si="58"/>
        <v>5037.9597045977407</v>
      </c>
      <c r="AH100" s="1019">
        <f t="shared" si="59"/>
        <v>1182.048366368856</v>
      </c>
      <c r="AI100" s="1020">
        <f t="shared" si="60"/>
        <v>3037.8213206852865</v>
      </c>
    </row>
    <row r="101" spans="2:35" x14ac:dyDescent="0.3">
      <c r="B101" s="881">
        <v>11</v>
      </c>
      <c r="C101" s="901">
        <f>'Energy Inputs'!G40</f>
        <v>1</v>
      </c>
      <c r="D101" s="897">
        <f>C101*'Energy Inputs'!$G$24</f>
        <v>16.3</v>
      </c>
      <c r="E101" s="197">
        <f>'Energy margins'!$Z$12</f>
        <v>55</v>
      </c>
      <c r="F101" s="197">
        <f t="shared" si="61"/>
        <v>896.5</v>
      </c>
      <c r="G101" s="897">
        <f>'Energy Inputs'!$D$10</f>
        <v>220</v>
      </c>
      <c r="H101" s="197">
        <f t="shared" si="50"/>
        <v>1116.5</v>
      </c>
      <c r="I101" s="197"/>
      <c r="J101" s="926">
        <f>IF(ISERROR(IF(MOD(IF(AND(B101&gt;='Energy margins'!$AA$44,B101&lt;='Energy margins'!$AB$44),B101-'Energy margins'!$AA$44,""),'Energy margins'!$AC$44)=0,'Energy margins'!$Z$44,0)),0,IF(MOD(IF(AND(B101&gt;='Energy margins'!$AA$44,B101&lt;='Energy margins'!$AB$44),B101-'Energy margins'!$AA$44,""),'Energy margins'!$AC$44)=0,'Energy margins'!$Z$44,0))</f>
        <v>0</v>
      </c>
      <c r="K101" s="897">
        <f>IF(ISERROR(IF(MOD(IF(AND(B101&gt;='Energy margins'!$AA$45,B101&lt;='Energy margins'!$AB$45),B101-'Energy margins'!$AA$45,""),'Energy margins'!$AC$45)=0,'Energy margins'!$Z$45,0)),0,IF(MOD(IF(AND(B101&gt;='Energy margins'!$AA$45,B101&lt;='Energy margins'!$AB$45),B101-'Energy margins'!$AA$45,""),'Energy margins'!$AC$45)=0,'Energy margins'!$Z$45,0))</f>
        <v>0</v>
      </c>
      <c r="L101" s="897">
        <f>IF(ISERROR(IF(MOD(IF(AND(B101&gt;='Energy margins'!$AA$46,B101&lt;='Energy margins'!$AB$46),B101-'Energy margins'!$AA$46,""),'Energy margins'!$AC$46)=0,'Energy margins'!$Z$46,0)),0,IF(MOD(IF(AND(B101&gt;='Energy margins'!$AA$46,B101&lt;='Energy margins'!$AB$46),B101-'Energy margins'!$AA$46,""),'Energy margins'!$AC$46)=0,'Energy margins'!$Z$46,0))</f>
        <v>0</v>
      </c>
      <c r="M101" s="897">
        <f>IF(ISERROR(IF(MOD(IF(AND(B101&gt;='Energy margins'!$AA$47,B101&lt;='Energy margins'!$AB$47),B101-'Energy margins'!$AA$47,""),'Energy margins'!$AC$47)=0,'Energy margins'!$Z$47,0)),0,IF(MOD(IF(AND(B101&gt;='Energy margins'!$AA$47,B101&lt;='Energy margins'!$AB$47),B101-'Energy margins'!$AA$47,""),'Energy margins'!$AC$47)=0,'Energy margins'!$Z$47,0))</f>
        <v>16.07</v>
      </c>
      <c r="N101" s="897">
        <f>IF(ISERROR(IF(MOD(IF(AND(B101&gt;='Energy margins'!$AA$50,B101&lt;='Energy margins'!$AB$50),B101-'Energy margins'!$AA$50,""),'Energy margins'!$AC$50)=0,'Energy margins'!$Z$50,0)),0,IF(MOD(IF(AND(B101&gt;='Energy margins'!$AA$50,B101&lt;='Energy margins'!$AB$50),B101-'Energy margins'!$AA$50,""),'Energy margins'!$AC$50)=0,'Energy margins'!$Z$50,0))</f>
        <v>78.240000000000009</v>
      </c>
      <c r="O101" s="897">
        <f>IF(ISERROR(IF(MOD(IF(AND(B101&gt;='Energy margins'!$AA$53,B101&lt;='Energy margins'!$AB$53),B101-'Energy margins'!$AA$53,""),'Energy margins'!$AC$53)=0,'Energy margins'!$Z$53,0)),0,IF(MOD(IF(AND(B101&gt;='Energy margins'!$AA$53,B101&lt;='Energy margins'!$AB$53),B101-'Energy margins'!$AA$53,""),'Energy margins'!$AC$53)=0,'Energy margins'!$Z$53,0))</f>
        <v>58.972000000000001</v>
      </c>
      <c r="P101" s="897">
        <f>IF(ISERROR(IF(MOD(IF(AND(B101&gt;='Energy margins'!$AA$56,B101&lt;='Energy margins'!$AB$56),B101-'Energy margins'!$AA$56,""),'Energy margins'!$AC$56)=0,'Energy margins'!$Z$56,0)),0,IF(MOD(IF(AND(B101&gt;='Energy margins'!$AA$56,B101&lt;='Energy margins'!$AB$56),B101-'Energy margins'!$AA$56,""),'Energy margins'!$AC$56)=0,'Energy margins'!$Z$56,0))</f>
        <v>40.5</v>
      </c>
      <c r="Q101" s="897">
        <f>IF(ISERROR(IF(MOD(IF(AND(B101&gt;='Energy margins'!$AA$59,B101&lt;='Energy margins'!$AB$59),B101-'Energy margins'!$AA$59,""),'Energy margins'!$AC$59)=0,'Energy margins'!$Z$59,0)),0,IF(MOD(IF(AND(B101&gt;='Energy margins'!$AA$59,B101&lt;='Energy margins'!$AB$59),B101-'Energy margins'!$AA$59,""),'Energy margins'!$AC$59)=0,'Energy margins'!$Z$59,0))</f>
        <v>0</v>
      </c>
      <c r="R101" s="897">
        <f>IF(ISERROR(IF(MOD(IF(AND(B101&gt;='Energy margins'!$AA$60,B101&lt;='Energy margins'!$AB$60),B101-'Energy margins'!$AA$60,""),'Energy margins'!$AC$60)=0,'Energy margins'!$Z$60,0)),0,IF(MOD(IF(AND(B101&gt;='Energy margins'!$AA$60,B101&lt;='Energy margins'!$AB$60),B101-'Energy margins'!$AA$60,""),'Energy margins'!$AC$60)=0,'Energy margins'!$Z$60,0))</f>
        <v>0</v>
      </c>
      <c r="S101" s="897">
        <f>IF(ISERROR(IF(MOD(IF(AND(B101&gt;='Energy margins'!$AA$61,B101&lt;='Energy margins'!$AB$61),B101-'Energy margins'!$AA$61,""),'Energy margins'!$AC$61)=0,'Energy margins'!$Z$61,0)),0,IF(MOD(IF(AND(B101&gt;='Energy margins'!$AA$61,B101&lt;='Energy margins'!$AB$61),B101-'Energy margins'!$AA$61,""),'Energy margins'!$AC$61)=0,'Energy margins'!$Z$61,0))</f>
        <v>175</v>
      </c>
      <c r="T101" s="897">
        <f>IF(ISERROR(IF(MOD(IF(AND(B101&gt;='Energy margins'!$AA$62,B101&lt;='Energy margins'!$AB$62),B101-'Energy margins'!$AA$62,""),'Energy margins'!$AC$62)=0,'Energy margins'!$Z$62,0)),0,IF(MOD(IF(AND(B101&gt;='Energy margins'!$AA$62,B101&lt;='Energy margins'!$AB$62),B101-'Energy margins'!$AA$62,""),'Energy margins'!$AC$62)=0,'Energy margins'!$Z$62,0))</f>
        <v>0</v>
      </c>
      <c r="U101" s="923">
        <f t="shared" si="46"/>
        <v>368.78200000000004</v>
      </c>
      <c r="V101" s="197"/>
      <c r="W101" s="197">
        <f t="shared" si="51"/>
        <v>368.78200000000004</v>
      </c>
      <c r="X101" s="197">
        <f t="shared" si="47"/>
        <v>527.71799999999996</v>
      </c>
      <c r="Y101" s="197">
        <f t="shared" si="48"/>
        <v>747.71799999999996</v>
      </c>
      <c r="Z101" s="952">
        <f t="shared" si="52"/>
        <v>605.64327735232837</v>
      </c>
      <c r="AA101" s="953">
        <f t="shared" si="53"/>
        <v>148.62411714167567</v>
      </c>
      <c r="AB101" s="953">
        <f t="shared" si="54"/>
        <v>249.13590530791566</v>
      </c>
      <c r="AC101" s="1019">
        <f t="shared" si="55"/>
        <v>356.50737204441276</v>
      </c>
      <c r="AD101" s="1019">
        <f t="shared" si="56"/>
        <v>505.1314891860884</v>
      </c>
      <c r="AE101" s="952">
        <f t="shared" si="62"/>
        <v>6825.6513483189246</v>
      </c>
      <c r="AF101" s="953">
        <f t="shared" si="57"/>
        <v>2004.397071458106</v>
      </c>
      <c r="AG101" s="953">
        <f t="shared" si="58"/>
        <v>5287.0956099056566</v>
      </c>
      <c r="AH101" s="1019">
        <f t="shared" si="59"/>
        <v>1538.5557384132687</v>
      </c>
      <c r="AI101" s="1020">
        <f t="shared" si="60"/>
        <v>3542.9528098713749</v>
      </c>
    </row>
    <row r="102" spans="2:35" x14ac:dyDescent="0.3">
      <c r="B102" s="881">
        <v>12</v>
      </c>
      <c r="C102" s="901">
        <f>'Energy Inputs'!G41</f>
        <v>1</v>
      </c>
      <c r="D102" s="897">
        <f>C102*'Energy Inputs'!$G$24</f>
        <v>16.3</v>
      </c>
      <c r="E102" s="197">
        <f>'Energy margins'!$Z$12</f>
        <v>55</v>
      </c>
      <c r="F102" s="197">
        <f t="shared" si="61"/>
        <v>896.5</v>
      </c>
      <c r="G102" s="897">
        <f>'Energy Inputs'!$D$10</f>
        <v>220</v>
      </c>
      <c r="H102" s="197">
        <f t="shared" si="50"/>
        <v>1116.5</v>
      </c>
      <c r="I102" s="197"/>
      <c r="J102" s="926">
        <f>IF(ISERROR(IF(MOD(IF(AND(B102&gt;='Energy margins'!$AA$44,B102&lt;='Energy margins'!$AB$44),B102-'Energy margins'!$AA$44,""),'Energy margins'!$AC$44)=0,'Energy margins'!$Z$44,0)),0,IF(MOD(IF(AND(B102&gt;='Energy margins'!$AA$44,B102&lt;='Energy margins'!$AB$44),B102-'Energy margins'!$AA$44,""),'Energy margins'!$AC$44)=0,'Energy margins'!$Z$44,0))</f>
        <v>0</v>
      </c>
      <c r="K102" s="897">
        <f>IF(ISERROR(IF(MOD(IF(AND(B102&gt;='Energy margins'!$AA$45,B102&lt;='Energy margins'!$AB$45),B102-'Energy margins'!$AA$45,""),'Energy margins'!$AC$45)=0,'Energy margins'!$Z$45,0)),0,IF(MOD(IF(AND(B102&gt;='Energy margins'!$AA$45,B102&lt;='Energy margins'!$AB$45),B102-'Energy margins'!$AA$45,""),'Energy margins'!$AC$45)=0,'Energy margins'!$Z$45,0))</f>
        <v>0</v>
      </c>
      <c r="L102" s="897">
        <f>IF(ISERROR(IF(MOD(IF(AND(B102&gt;='Energy margins'!$AA$46,B102&lt;='Energy margins'!$AB$46),B102-'Energy margins'!$AA$46,""),'Energy margins'!$AC$46)=0,'Energy margins'!$Z$46,0)),0,IF(MOD(IF(AND(B102&gt;='Energy margins'!$AA$46,B102&lt;='Energy margins'!$AB$46),B102-'Energy margins'!$AA$46,""),'Energy margins'!$AC$46)=0,'Energy margins'!$Z$46,0))</f>
        <v>0</v>
      </c>
      <c r="M102" s="897">
        <f>IF(ISERROR(IF(MOD(IF(AND(B102&gt;='Energy margins'!$AA$47,B102&lt;='Energy margins'!$AB$47),B102-'Energy margins'!$AA$47,""),'Energy margins'!$AC$47)=0,'Energy margins'!$Z$47,0)),0,IF(MOD(IF(AND(B102&gt;='Energy margins'!$AA$47,B102&lt;='Energy margins'!$AB$47),B102-'Energy margins'!$AA$47,""),'Energy margins'!$AC$47)=0,'Energy margins'!$Z$47,0))</f>
        <v>16.07</v>
      </c>
      <c r="N102" s="897">
        <f>IF(ISERROR(IF(MOD(IF(AND(B102&gt;='Energy margins'!$AA$50,B102&lt;='Energy margins'!$AB$50),B102-'Energy margins'!$AA$50,""),'Energy margins'!$AC$50)=0,'Energy margins'!$Z$50,0)),0,IF(MOD(IF(AND(B102&gt;='Energy margins'!$AA$50,B102&lt;='Energy margins'!$AB$50),B102-'Energy margins'!$AA$50,""),'Energy margins'!$AC$50)=0,'Energy margins'!$Z$50,0))</f>
        <v>78.240000000000009</v>
      </c>
      <c r="O102" s="897">
        <f>IF(ISERROR(IF(MOD(IF(AND(B102&gt;='Energy margins'!$AA$53,B102&lt;='Energy margins'!$AB$53),B102-'Energy margins'!$AA$53,""),'Energy margins'!$AC$53)=0,'Energy margins'!$Z$53,0)),0,IF(MOD(IF(AND(B102&gt;='Energy margins'!$AA$53,B102&lt;='Energy margins'!$AB$53),B102-'Energy margins'!$AA$53,""),'Energy margins'!$AC$53)=0,'Energy margins'!$Z$53,0))</f>
        <v>58.972000000000001</v>
      </c>
      <c r="P102" s="897">
        <f>IF(ISERROR(IF(MOD(IF(AND(B102&gt;='Energy margins'!$AA$56,B102&lt;='Energy margins'!$AB$56),B102-'Energy margins'!$AA$56,""),'Energy margins'!$AC$56)=0,'Energy margins'!$Z$56,0)),0,IF(MOD(IF(AND(B102&gt;='Energy margins'!$AA$56,B102&lt;='Energy margins'!$AB$56),B102-'Energy margins'!$AA$56,""),'Energy margins'!$AC$56)=0,'Energy margins'!$Z$56,0))</f>
        <v>40.5</v>
      </c>
      <c r="Q102" s="897">
        <f>IF(ISERROR(IF(MOD(IF(AND(B102&gt;='Energy margins'!$AA$59,B102&lt;='Energy margins'!$AB$59),B102-'Energy margins'!$AA$59,""),'Energy margins'!$AC$59)=0,'Energy margins'!$Z$59,0)),0,IF(MOD(IF(AND(B102&gt;='Energy margins'!$AA$59,B102&lt;='Energy margins'!$AB$59),B102-'Energy margins'!$AA$59,""),'Energy margins'!$AC$59)=0,'Energy margins'!$Z$59,0))</f>
        <v>0</v>
      </c>
      <c r="R102" s="897">
        <f>IF(ISERROR(IF(MOD(IF(AND(B102&gt;='Energy margins'!$AA$60,B102&lt;='Energy margins'!$AB$60),B102-'Energy margins'!$AA$60,""),'Energy margins'!$AC$60)=0,'Energy margins'!$Z$60,0)),0,IF(MOD(IF(AND(B102&gt;='Energy margins'!$AA$60,B102&lt;='Energy margins'!$AB$60),B102-'Energy margins'!$AA$60,""),'Energy margins'!$AC$60)=0,'Energy margins'!$Z$60,0))</f>
        <v>0</v>
      </c>
      <c r="S102" s="897">
        <f>IF(ISERROR(IF(MOD(IF(AND(B102&gt;='Energy margins'!$AA$61,B102&lt;='Energy margins'!$AB$61),B102-'Energy margins'!$AA$61,""),'Energy margins'!$AC$61)=0,'Energy margins'!$Z$61,0)),0,IF(MOD(IF(AND(B102&gt;='Energy margins'!$AA$61,B102&lt;='Energy margins'!$AB$61),B102-'Energy margins'!$AA$61,""),'Energy margins'!$AC$61)=0,'Energy margins'!$Z$61,0))</f>
        <v>175</v>
      </c>
      <c r="T102" s="897">
        <f>IF(ISERROR(IF(MOD(IF(AND(B102&gt;='Energy margins'!$AA$62,B102&lt;='Energy margins'!$AB$62),B102-'Energy margins'!$AA$62,""),'Energy margins'!$AC$62)=0,'Energy margins'!$Z$62,0)),0,IF(MOD(IF(AND(B102&gt;='Energy margins'!$AA$62,B102&lt;='Energy margins'!$AB$62),B102-'Energy margins'!$AA$62,""),'Energy margins'!$AC$62)=0,'Energy margins'!$Z$62,0))</f>
        <v>0</v>
      </c>
      <c r="U102" s="923">
        <f t="shared" si="46"/>
        <v>368.78200000000004</v>
      </c>
      <c r="V102" s="197"/>
      <c r="W102" s="197">
        <f t="shared" si="51"/>
        <v>368.78200000000004</v>
      </c>
      <c r="X102" s="197">
        <f t="shared" si="47"/>
        <v>527.71799999999996</v>
      </c>
      <c r="Y102" s="197">
        <f t="shared" si="48"/>
        <v>747.71799999999996</v>
      </c>
      <c r="Z102" s="952">
        <f t="shared" si="52"/>
        <v>582.34930514646965</v>
      </c>
      <c r="AA102" s="953">
        <f t="shared" si="53"/>
        <v>142.90780494391893</v>
      </c>
      <c r="AB102" s="953">
        <f t="shared" si="54"/>
        <v>239.55375510376507</v>
      </c>
      <c r="AC102" s="1019">
        <f t="shared" si="55"/>
        <v>342.79555004270458</v>
      </c>
      <c r="AD102" s="1019">
        <f t="shared" si="56"/>
        <v>485.70335498662354</v>
      </c>
      <c r="AE102" s="952">
        <f t="shared" si="62"/>
        <v>7408.000653465394</v>
      </c>
      <c r="AF102" s="953">
        <f t="shared" si="57"/>
        <v>2147.304876402025</v>
      </c>
      <c r="AG102" s="953">
        <f t="shared" si="58"/>
        <v>5526.6493650094217</v>
      </c>
      <c r="AH102" s="1019">
        <f t="shared" si="59"/>
        <v>1881.3512884559732</v>
      </c>
      <c r="AI102" s="1020">
        <f t="shared" si="60"/>
        <v>4028.6561648579986</v>
      </c>
    </row>
    <row r="103" spans="2:35" x14ac:dyDescent="0.3">
      <c r="B103" s="881">
        <v>13</v>
      </c>
      <c r="C103" s="901">
        <f>'Energy Inputs'!G42</f>
        <v>1</v>
      </c>
      <c r="D103" s="897">
        <f>C103*'Energy Inputs'!$G$24</f>
        <v>16.3</v>
      </c>
      <c r="E103" s="197">
        <f>'Energy margins'!$Z$12</f>
        <v>55</v>
      </c>
      <c r="F103" s="197">
        <f t="shared" si="61"/>
        <v>896.5</v>
      </c>
      <c r="G103" s="897">
        <f>'Energy Inputs'!$D$10</f>
        <v>220</v>
      </c>
      <c r="H103" s="197">
        <f t="shared" si="50"/>
        <v>1116.5</v>
      </c>
      <c r="I103" s="197"/>
      <c r="J103" s="926">
        <f>IF(ISERROR(IF(MOD(IF(AND(B103&gt;='Energy margins'!$AA$44,B103&lt;='Energy margins'!$AB$44),B103-'Energy margins'!$AA$44,""),'Energy margins'!$AC$44)=0,'Energy margins'!$Z$44,0)),0,IF(MOD(IF(AND(B103&gt;='Energy margins'!$AA$44,B103&lt;='Energy margins'!$AB$44),B103-'Energy margins'!$AA$44,""),'Energy margins'!$AC$44)=0,'Energy margins'!$Z$44,0))</f>
        <v>0</v>
      </c>
      <c r="K103" s="897">
        <f>IF(ISERROR(IF(MOD(IF(AND(B103&gt;='Energy margins'!$AA$45,B103&lt;='Energy margins'!$AB$45),B103-'Energy margins'!$AA$45,""),'Energy margins'!$AC$45)=0,'Energy margins'!$Z$45,0)),0,IF(MOD(IF(AND(B103&gt;='Energy margins'!$AA$45,B103&lt;='Energy margins'!$AB$45),B103-'Energy margins'!$AA$45,""),'Energy margins'!$AC$45)=0,'Energy margins'!$Z$45,0))</f>
        <v>0</v>
      </c>
      <c r="L103" s="897">
        <f>IF(ISERROR(IF(MOD(IF(AND(B103&gt;='Energy margins'!$AA$46,B103&lt;='Energy margins'!$AB$46),B103-'Energy margins'!$AA$46,""),'Energy margins'!$AC$46)=0,'Energy margins'!$Z$46,0)),0,IF(MOD(IF(AND(B103&gt;='Energy margins'!$AA$46,B103&lt;='Energy margins'!$AB$46),B103-'Energy margins'!$AA$46,""),'Energy margins'!$AC$46)=0,'Energy margins'!$Z$46,0))</f>
        <v>0</v>
      </c>
      <c r="M103" s="897">
        <f>IF(ISERROR(IF(MOD(IF(AND(B103&gt;='Energy margins'!$AA$47,B103&lt;='Energy margins'!$AB$47),B103-'Energy margins'!$AA$47,""),'Energy margins'!$AC$47)=0,'Energy margins'!$Z$47,0)),0,IF(MOD(IF(AND(B103&gt;='Energy margins'!$AA$47,B103&lt;='Energy margins'!$AB$47),B103-'Energy margins'!$AA$47,""),'Energy margins'!$AC$47)=0,'Energy margins'!$Z$47,0))</f>
        <v>16.07</v>
      </c>
      <c r="N103" s="897">
        <f>IF(ISERROR(IF(MOD(IF(AND(B103&gt;='Energy margins'!$AA$50,B103&lt;='Energy margins'!$AB$50),B103-'Energy margins'!$AA$50,""),'Energy margins'!$AC$50)=0,'Energy margins'!$Z$50,0)),0,IF(MOD(IF(AND(B103&gt;='Energy margins'!$AA$50,B103&lt;='Energy margins'!$AB$50),B103-'Energy margins'!$AA$50,""),'Energy margins'!$AC$50)=0,'Energy margins'!$Z$50,0))</f>
        <v>78.240000000000009</v>
      </c>
      <c r="O103" s="897">
        <f>IF(ISERROR(IF(MOD(IF(AND(B103&gt;='Energy margins'!$AA$53,B103&lt;='Energy margins'!$AB$53),B103-'Energy margins'!$AA$53,""),'Energy margins'!$AC$53)=0,'Energy margins'!$Z$53,0)),0,IF(MOD(IF(AND(B103&gt;='Energy margins'!$AA$53,B103&lt;='Energy margins'!$AB$53),B103-'Energy margins'!$AA$53,""),'Energy margins'!$AC$53)=0,'Energy margins'!$Z$53,0))</f>
        <v>58.972000000000001</v>
      </c>
      <c r="P103" s="897">
        <f>IF(ISERROR(IF(MOD(IF(AND(B103&gt;='Energy margins'!$AA$56,B103&lt;='Energy margins'!$AB$56),B103-'Energy margins'!$AA$56,""),'Energy margins'!$AC$56)=0,'Energy margins'!$Z$56,0)),0,IF(MOD(IF(AND(B103&gt;='Energy margins'!$AA$56,B103&lt;='Energy margins'!$AB$56),B103-'Energy margins'!$AA$56,""),'Energy margins'!$AC$56)=0,'Energy margins'!$Z$56,0))</f>
        <v>40.5</v>
      </c>
      <c r="Q103" s="897">
        <f>IF(ISERROR(IF(MOD(IF(AND(B103&gt;='Energy margins'!$AA$59,B103&lt;='Energy margins'!$AB$59),B103-'Energy margins'!$AA$59,""),'Energy margins'!$AC$59)=0,'Energy margins'!$Z$59,0)),0,IF(MOD(IF(AND(B103&gt;='Energy margins'!$AA$59,B103&lt;='Energy margins'!$AB$59),B103-'Energy margins'!$AA$59,""),'Energy margins'!$AC$59)=0,'Energy margins'!$Z$59,0))</f>
        <v>0</v>
      </c>
      <c r="R103" s="897">
        <f>IF(ISERROR(IF(MOD(IF(AND(B103&gt;='Energy margins'!$AA$60,B103&lt;='Energy margins'!$AB$60),B103-'Energy margins'!$AA$60,""),'Energy margins'!$AC$60)=0,'Energy margins'!$Z$60,0)),0,IF(MOD(IF(AND(B103&gt;='Energy margins'!$AA$60,B103&lt;='Energy margins'!$AB$60),B103-'Energy margins'!$AA$60,""),'Energy margins'!$AC$60)=0,'Energy margins'!$Z$60,0))</f>
        <v>0</v>
      </c>
      <c r="S103" s="897">
        <f>IF(ISERROR(IF(MOD(IF(AND(B103&gt;='Energy margins'!$AA$61,B103&lt;='Energy margins'!$AB$61),B103-'Energy margins'!$AA$61,""),'Energy margins'!$AC$61)=0,'Energy margins'!$Z$61,0)),0,IF(MOD(IF(AND(B103&gt;='Energy margins'!$AA$61,B103&lt;='Energy margins'!$AB$61),B103-'Energy margins'!$AA$61,""),'Energy margins'!$AC$61)=0,'Energy margins'!$Z$61,0))</f>
        <v>175</v>
      </c>
      <c r="T103" s="897">
        <f>IF(ISERROR(IF(MOD(IF(AND(B103&gt;='Energy margins'!$AA$62,B103&lt;='Energy margins'!$AB$62),B103-'Energy margins'!$AA$62,""),'Energy margins'!$AC$62)=0,'Energy margins'!$Z$62,0)),0,IF(MOD(IF(AND(B103&gt;='Energy margins'!$AA$62,B103&lt;='Energy margins'!$AB$62),B103-'Energy margins'!$AA$62,""),'Energy margins'!$AC$62)=0,'Energy margins'!$Z$62,0))</f>
        <v>0</v>
      </c>
      <c r="U103" s="923">
        <f t="shared" si="46"/>
        <v>368.78200000000004</v>
      </c>
      <c r="V103" s="197"/>
      <c r="W103" s="197">
        <f t="shared" si="51"/>
        <v>368.78200000000004</v>
      </c>
      <c r="X103" s="197">
        <f t="shared" si="47"/>
        <v>527.71799999999996</v>
      </c>
      <c r="Y103" s="197">
        <f t="shared" si="48"/>
        <v>747.71799999999996</v>
      </c>
      <c r="Z103" s="952">
        <f t="shared" si="52"/>
        <v>559.95125494852834</v>
      </c>
      <c r="AA103" s="953">
        <f t="shared" si="53"/>
        <v>137.41135090761432</v>
      </c>
      <c r="AB103" s="953">
        <f t="shared" si="54"/>
        <v>230.3401491382356</v>
      </c>
      <c r="AC103" s="1019">
        <f t="shared" si="55"/>
        <v>329.61110581029277</v>
      </c>
      <c r="AD103" s="1019">
        <f t="shared" si="56"/>
        <v>467.02245671790712</v>
      </c>
      <c r="AE103" s="952">
        <f t="shared" si="62"/>
        <v>7967.951908413922</v>
      </c>
      <c r="AF103" s="953">
        <f t="shared" si="57"/>
        <v>2284.7162273096392</v>
      </c>
      <c r="AG103" s="953">
        <f t="shared" si="58"/>
        <v>5756.9895141476572</v>
      </c>
      <c r="AH103" s="1019">
        <f t="shared" si="59"/>
        <v>2210.9623942662661</v>
      </c>
      <c r="AI103" s="1020">
        <f t="shared" si="60"/>
        <v>4495.6786215759057</v>
      </c>
    </row>
    <row r="104" spans="2:35" x14ac:dyDescent="0.3">
      <c r="B104" s="881">
        <v>14</v>
      </c>
      <c r="C104" s="901">
        <f>'Energy Inputs'!G43</f>
        <v>1</v>
      </c>
      <c r="D104" s="897">
        <f>C104*'Energy Inputs'!$G$24</f>
        <v>16.3</v>
      </c>
      <c r="E104" s="197">
        <f>'Energy margins'!$Z$12</f>
        <v>55</v>
      </c>
      <c r="F104" s="197">
        <f t="shared" si="61"/>
        <v>896.5</v>
      </c>
      <c r="G104" s="897">
        <f>'Energy Inputs'!$D$10</f>
        <v>220</v>
      </c>
      <c r="H104" s="197">
        <f t="shared" si="50"/>
        <v>1116.5</v>
      </c>
      <c r="I104" s="197"/>
      <c r="J104" s="926">
        <f>IF(ISERROR(IF(MOD(IF(AND(B104&gt;='Energy margins'!$AA$44,B104&lt;='Energy margins'!$AB$44),B104-'Energy margins'!$AA$44,""),'Energy margins'!$AC$44)=0,'Energy margins'!$Z$44,0)),0,IF(MOD(IF(AND(B104&gt;='Energy margins'!$AA$44,B104&lt;='Energy margins'!$AB$44),B104-'Energy margins'!$AA$44,""),'Energy margins'!$AC$44)=0,'Energy margins'!$Z$44,0))</f>
        <v>0</v>
      </c>
      <c r="K104" s="897">
        <f>IF(ISERROR(IF(MOD(IF(AND(B104&gt;='Energy margins'!$AA$45,B104&lt;='Energy margins'!$AB$45),B104-'Energy margins'!$AA$45,""),'Energy margins'!$AC$45)=0,'Energy margins'!$Z$45,0)),0,IF(MOD(IF(AND(B104&gt;='Energy margins'!$AA$45,B104&lt;='Energy margins'!$AB$45),B104-'Energy margins'!$AA$45,""),'Energy margins'!$AC$45)=0,'Energy margins'!$Z$45,0))</f>
        <v>0</v>
      </c>
      <c r="L104" s="897">
        <f>IF(ISERROR(IF(MOD(IF(AND(B104&gt;='Energy margins'!$AA$46,B104&lt;='Energy margins'!$AB$46),B104-'Energy margins'!$AA$46,""),'Energy margins'!$AC$46)=0,'Energy margins'!$Z$46,0)),0,IF(MOD(IF(AND(B104&gt;='Energy margins'!$AA$46,B104&lt;='Energy margins'!$AB$46),B104-'Energy margins'!$AA$46,""),'Energy margins'!$AC$46)=0,'Energy margins'!$Z$46,0))</f>
        <v>0</v>
      </c>
      <c r="M104" s="897">
        <f>IF(ISERROR(IF(MOD(IF(AND(B104&gt;='Energy margins'!$AA$47,B104&lt;='Energy margins'!$AB$47),B104-'Energy margins'!$AA$47,""),'Energy margins'!$AC$47)=0,'Energy margins'!$Z$47,0)),0,IF(MOD(IF(AND(B104&gt;='Energy margins'!$AA$47,B104&lt;='Energy margins'!$AB$47),B104-'Energy margins'!$AA$47,""),'Energy margins'!$AC$47)=0,'Energy margins'!$Z$47,0))</f>
        <v>16.07</v>
      </c>
      <c r="N104" s="897">
        <f>IF(ISERROR(IF(MOD(IF(AND(B104&gt;='Energy margins'!$AA$50,B104&lt;='Energy margins'!$AB$50),B104-'Energy margins'!$AA$50,""),'Energy margins'!$AC$50)=0,'Energy margins'!$Z$50,0)),0,IF(MOD(IF(AND(B104&gt;='Energy margins'!$AA$50,B104&lt;='Energy margins'!$AB$50),B104-'Energy margins'!$AA$50,""),'Energy margins'!$AC$50)=0,'Energy margins'!$Z$50,0))</f>
        <v>78.240000000000009</v>
      </c>
      <c r="O104" s="897">
        <f>IF(ISERROR(IF(MOD(IF(AND(B104&gt;='Energy margins'!$AA$53,B104&lt;='Energy margins'!$AB$53),B104-'Energy margins'!$AA$53,""),'Energy margins'!$AC$53)=0,'Energy margins'!$Z$53,0)),0,IF(MOD(IF(AND(B104&gt;='Energy margins'!$AA$53,B104&lt;='Energy margins'!$AB$53),B104-'Energy margins'!$AA$53,""),'Energy margins'!$AC$53)=0,'Energy margins'!$Z$53,0))</f>
        <v>58.972000000000001</v>
      </c>
      <c r="P104" s="897">
        <f>IF(ISERROR(IF(MOD(IF(AND(B104&gt;='Energy margins'!$AA$56,B104&lt;='Energy margins'!$AB$56),B104-'Energy margins'!$AA$56,""),'Energy margins'!$AC$56)=0,'Energy margins'!$Z$56,0)),0,IF(MOD(IF(AND(B104&gt;='Energy margins'!$AA$56,B104&lt;='Energy margins'!$AB$56),B104-'Energy margins'!$AA$56,""),'Energy margins'!$AC$56)=0,'Energy margins'!$Z$56,0))</f>
        <v>40.5</v>
      </c>
      <c r="Q104" s="897">
        <f>IF(ISERROR(IF(MOD(IF(AND(B104&gt;='Energy margins'!$AA$59,B104&lt;='Energy margins'!$AB$59),B104-'Energy margins'!$AA$59,""),'Energy margins'!$AC$59)=0,'Energy margins'!$Z$59,0)),0,IF(MOD(IF(AND(B104&gt;='Energy margins'!$AA$59,B104&lt;='Energy margins'!$AB$59),B104-'Energy margins'!$AA$59,""),'Energy margins'!$AC$59)=0,'Energy margins'!$Z$59,0))</f>
        <v>0</v>
      </c>
      <c r="R104" s="897">
        <f>IF(ISERROR(IF(MOD(IF(AND(B104&gt;='Energy margins'!$AA$60,B104&lt;='Energy margins'!$AB$60),B104-'Energy margins'!$AA$60,""),'Energy margins'!$AC$60)=0,'Energy margins'!$Z$60,0)),0,IF(MOD(IF(AND(B104&gt;='Energy margins'!$AA$60,B104&lt;='Energy margins'!$AB$60),B104-'Energy margins'!$AA$60,""),'Energy margins'!$AC$60)=0,'Energy margins'!$Z$60,0))</f>
        <v>0</v>
      </c>
      <c r="S104" s="897">
        <f>IF(ISERROR(IF(MOD(IF(AND(B104&gt;='Energy margins'!$AA$61,B104&lt;='Energy margins'!$AB$61),B104-'Energy margins'!$AA$61,""),'Energy margins'!$AC$61)=0,'Energy margins'!$Z$61,0)),0,IF(MOD(IF(AND(B104&gt;='Energy margins'!$AA$61,B104&lt;='Energy margins'!$AB$61),B104-'Energy margins'!$AA$61,""),'Energy margins'!$AC$61)=0,'Energy margins'!$Z$61,0))</f>
        <v>175</v>
      </c>
      <c r="T104" s="897">
        <f>IF(ISERROR(IF(MOD(IF(AND(B104&gt;='Energy margins'!$AA$62,B104&lt;='Energy margins'!$AB$62),B104-'Energy margins'!$AA$62,""),'Energy margins'!$AC$62)=0,'Energy margins'!$Z$62,0)),0,IF(MOD(IF(AND(B104&gt;='Energy margins'!$AA$62,B104&lt;='Energy margins'!$AB$62),B104-'Energy margins'!$AA$62,""),'Energy margins'!$AC$62)=0,'Energy margins'!$Z$62,0))</f>
        <v>0</v>
      </c>
      <c r="U104" s="923">
        <f t="shared" si="46"/>
        <v>368.78200000000004</v>
      </c>
      <c r="V104" s="197"/>
      <c r="W104" s="197">
        <f t="shared" si="51"/>
        <v>368.78200000000004</v>
      </c>
      <c r="X104" s="197">
        <f t="shared" si="47"/>
        <v>527.71799999999996</v>
      </c>
      <c r="Y104" s="197">
        <f t="shared" si="48"/>
        <v>747.71799999999996</v>
      </c>
      <c r="Z104" s="952">
        <f t="shared" si="52"/>
        <v>538.41466821973881</v>
      </c>
      <c r="AA104" s="953">
        <f t="shared" si="53"/>
        <v>132.12629894962916</v>
      </c>
      <c r="AB104" s="953">
        <f t="shared" si="54"/>
        <v>221.48091263291886</v>
      </c>
      <c r="AC104" s="1019">
        <f t="shared" si="55"/>
        <v>316.93375558681998</v>
      </c>
      <c r="AD104" s="1019">
        <f t="shared" si="56"/>
        <v>449.06005453644912</v>
      </c>
      <c r="AE104" s="952">
        <f t="shared" si="62"/>
        <v>8506.3665766336599</v>
      </c>
      <c r="AF104" s="953">
        <f t="shared" si="57"/>
        <v>2416.8425262592682</v>
      </c>
      <c r="AG104" s="953">
        <f t="shared" si="58"/>
        <v>5978.4704267805764</v>
      </c>
      <c r="AH104" s="1019">
        <f t="shared" si="59"/>
        <v>2527.8961498530862</v>
      </c>
      <c r="AI104" s="1020">
        <f t="shared" si="60"/>
        <v>4944.7386761123544</v>
      </c>
    </row>
    <row r="105" spans="2:35" x14ac:dyDescent="0.3">
      <c r="B105" s="881">
        <v>15</v>
      </c>
      <c r="C105" s="901">
        <f>'Energy Inputs'!G44</f>
        <v>1</v>
      </c>
      <c r="D105" s="897">
        <f>C105*'Energy Inputs'!$G$24</f>
        <v>16.3</v>
      </c>
      <c r="E105" s="197">
        <f>'Energy margins'!$Z$12</f>
        <v>55</v>
      </c>
      <c r="F105" s="197">
        <f t="shared" si="61"/>
        <v>896.5</v>
      </c>
      <c r="G105" s="897">
        <f>'Energy Inputs'!$D$10</f>
        <v>220</v>
      </c>
      <c r="H105" s="197">
        <f t="shared" si="50"/>
        <v>1116.5</v>
      </c>
      <c r="I105" s="197"/>
      <c r="J105" s="926">
        <f>IF(ISERROR(IF(MOD(IF(AND(B105&gt;='Energy margins'!$AA$44,B105&lt;='Energy margins'!$AB$44),B105-'Energy margins'!$AA$44,""),'Energy margins'!$AC$44)=0,'Energy margins'!$Z$44,0)),0,IF(MOD(IF(AND(B105&gt;='Energy margins'!$AA$44,B105&lt;='Energy margins'!$AB$44),B105-'Energy margins'!$AA$44,""),'Energy margins'!$AC$44)=0,'Energy margins'!$Z$44,0))</f>
        <v>0</v>
      </c>
      <c r="K105" s="897">
        <f>IF(ISERROR(IF(MOD(IF(AND(B105&gt;='Energy margins'!$AA$45,B105&lt;='Energy margins'!$AB$45),B105-'Energy margins'!$AA$45,""),'Energy margins'!$AC$45)=0,'Energy margins'!$Z$45,0)),0,IF(MOD(IF(AND(B105&gt;='Energy margins'!$AA$45,B105&lt;='Energy margins'!$AB$45),B105-'Energy margins'!$AA$45,""),'Energy margins'!$AC$45)=0,'Energy margins'!$Z$45,0))</f>
        <v>0</v>
      </c>
      <c r="L105" s="897">
        <f>IF(ISERROR(IF(MOD(IF(AND(B105&gt;='Energy margins'!$AA$46,B105&lt;='Energy margins'!$AB$46),B105-'Energy margins'!$AA$46,""),'Energy margins'!$AC$46)=0,'Energy margins'!$Z$46,0)),0,IF(MOD(IF(AND(B105&gt;='Energy margins'!$AA$46,B105&lt;='Energy margins'!$AB$46),B105-'Energy margins'!$AA$46,""),'Energy margins'!$AC$46)=0,'Energy margins'!$Z$46,0))</f>
        <v>0</v>
      </c>
      <c r="M105" s="897">
        <f>IF(ISERROR(IF(MOD(IF(AND(B105&gt;='Energy margins'!$AA$47,B105&lt;='Energy margins'!$AB$47),B105-'Energy margins'!$AA$47,""),'Energy margins'!$AC$47)=0,'Energy margins'!$Z$47,0)),0,IF(MOD(IF(AND(B105&gt;='Energy margins'!$AA$47,B105&lt;='Energy margins'!$AB$47),B105-'Energy margins'!$AA$47,""),'Energy margins'!$AC$47)=0,'Energy margins'!$Z$47,0))</f>
        <v>16.07</v>
      </c>
      <c r="N105" s="897">
        <f>IF(ISERROR(IF(MOD(IF(AND(B105&gt;='Energy margins'!$AA$50,B105&lt;='Energy margins'!$AB$50),B105-'Energy margins'!$AA$50,""),'Energy margins'!$AC$50)=0,'Energy margins'!$Z$50,0)),0,IF(MOD(IF(AND(B105&gt;='Energy margins'!$AA$50,B105&lt;='Energy margins'!$AB$50),B105-'Energy margins'!$AA$50,""),'Energy margins'!$AC$50)=0,'Energy margins'!$Z$50,0))</f>
        <v>78.240000000000009</v>
      </c>
      <c r="O105" s="897">
        <f>IF(ISERROR(IF(MOD(IF(AND(B105&gt;='Energy margins'!$AA$53,B105&lt;='Energy margins'!$AB$53),B105-'Energy margins'!$AA$53,""),'Energy margins'!$AC$53)=0,'Energy margins'!$Z$53,0)),0,IF(MOD(IF(AND(B105&gt;='Energy margins'!$AA$53,B105&lt;='Energy margins'!$AB$53),B105-'Energy margins'!$AA$53,""),'Energy margins'!$AC$53)=0,'Energy margins'!$Z$53,0))</f>
        <v>58.972000000000001</v>
      </c>
      <c r="P105" s="897">
        <f>IF(ISERROR(IF(MOD(IF(AND(B105&gt;='Energy margins'!$AA$56,B105&lt;='Energy margins'!$AB$56),B105-'Energy margins'!$AA$56,""),'Energy margins'!$AC$56)=0,'Energy margins'!$Z$56,0)),0,IF(MOD(IF(AND(B105&gt;='Energy margins'!$AA$56,B105&lt;='Energy margins'!$AB$56),B105-'Energy margins'!$AA$56,""),'Energy margins'!$AC$56)=0,'Energy margins'!$Z$56,0))</f>
        <v>40.5</v>
      </c>
      <c r="Q105" s="897">
        <f>IF(ISERROR(IF(MOD(IF(AND(B105&gt;='Energy margins'!$AA$59,B105&lt;='Energy margins'!$AB$59),B105-'Energy margins'!$AA$59,""),'Energy margins'!$AC$59)=0,'Energy margins'!$Z$59,0)),0,IF(MOD(IF(AND(B105&gt;='Energy margins'!$AA$59,B105&lt;='Energy margins'!$AB$59),B105-'Energy margins'!$AA$59,""),'Energy margins'!$AC$59)=0,'Energy margins'!$Z$59,0))</f>
        <v>0</v>
      </c>
      <c r="R105" s="897">
        <f>IF(ISERROR(IF(MOD(IF(AND(B105&gt;='Energy margins'!$AA$60,B105&lt;='Energy margins'!$AB$60),B105-'Energy margins'!$AA$60,""),'Energy margins'!$AC$60)=0,'Energy margins'!$Z$60,0)),0,IF(MOD(IF(AND(B105&gt;='Energy margins'!$AA$60,B105&lt;='Energy margins'!$AB$60),B105-'Energy margins'!$AA$60,""),'Energy margins'!$AC$60)=0,'Energy margins'!$Z$60,0))</f>
        <v>0</v>
      </c>
      <c r="S105" s="897">
        <f>IF(ISERROR(IF(MOD(IF(AND(B105&gt;='Energy margins'!$AA$61,B105&lt;='Energy margins'!$AB$61),B105-'Energy margins'!$AA$61,""),'Energy margins'!$AC$61)=0,'Energy margins'!$Z$61,0)),0,IF(MOD(IF(AND(B105&gt;='Energy margins'!$AA$61,B105&lt;='Energy margins'!$AB$61),B105-'Energy margins'!$AA$61,""),'Energy margins'!$AC$61)=0,'Energy margins'!$Z$61,0))</f>
        <v>175</v>
      </c>
      <c r="T105" s="897">
        <f>IF(ISERROR(IF(MOD(IF(AND(B105&gt;='Energy margins'!$AA$62,B105&lt;='Energy margins'!$AB$62),B105-'Energy margins'!$AA$62,""),'Energy margins'!$AC$62)=0,'Energy margins'!$Z$62,0)),0,IF(MOD(IF(AND(B105&gt;='Energy margins'!$AA$62,B105&lt;='Energy margins'!$AB$62),B105-'Energy margins'!$AA$62,""),'Energy margins'!$AC$62)=0,'Energy margins'!$Z$62,0))</f>
        <v>0</v>
      </c>
      <c r="U105" s="923">
        <f t="shared" si="46"/>
        <v>368.78200000000004</v>
      </c>
      <c r="V105" s="197"/>
      <c r="W105" s="197">
        <f t="shared" si="51"/>
        <v>368.78200000000004</v>
      </c>
      <c r="X105" s="197">
        <f t="shared" si="47"/>
        <v>527.71799999999996</v>
      </c>
      <c r="Y105" s="197">
        <f t="shared" si="48"/>
        <v>747.71799999999996</v>
      </c>
      <c r="Z105" s="952">
        <f t="shared" si="52"/>
        <v>517.7064117497489</v>
      </c>
      <c r="AA105" s="953">
        <f t="shared" si="53"/>
        <v>127.04451822079727</v>
      </c>
      <c r="AB105" s="953">
        <f t="shared" si="54"/>
        <v>212.9624159931912</v>
      </c>
      <c r="AC105" s="1019">
        <f t="shared" si="55"/>
        <v>304.74399575655769</v>
      </c>
      <c r="AD105" s="1019">
        <f t="shared" si="56"/>
        <v>431.78851397735497</v>
      </c>
      <c r="AE105" s="952">
        <f t="shared" si="62"/>
        <v>9024.0729883834083</v>
      </c>
      <c r="AF105" s="953">
        <f t="shared" si="57"/>
        <v>2543.8870444800655</v>
      </c>
      <c r="AG105" s="953">
        <f t="shared" si="58"/>
        <v>6191.4328427737673</v>
      </c>
      <c r="AH105" s="1019">
        <f t="shared" si="59"/>
        <v>2832.6401456096437</v>
      </c>
      <c r="AI105" s="1020">
        <f t="shared" si="60"/>
        <v>5376.5271900897096</v>
      </c>
    </row>
    <row r="106" spans="2:35" x14ac:dyDescent="0.3">
      <c r="B106" s="882">
        <v>16</v>
      </c>
      <c r="C106" s="898">
        <f>'Energy Inputs'!G45</f>
        <v>1</v>
      </c>
      <c r="D106" s="898">
        <f>C106*'Energy Inputs'!$G$24</f>
        <v>16.3</v>
      </c>
      <c r="E106" s="207">
        <f>'Energy margins'!$Z$12</f>
        <v>55</v>
      </c>
      <c r="F106" s="207">
        <f t="shared" si="61"/>
        <v>896.5</v>
      </c>
      <c r="G106" s="898">
        <f>'Energy Inputs'!$D$10</f>
        <v>220</v>
      </c>
      <c r="H106" s="207">
        <f t="shared" si="50"/>
        <v>1116.5</v>
      </c>
      <c r="I106" s="207"/>
      <c r="J106" s="927">
        <f>IF(ISERROR(IF(MOD(IF(AND(B106&gt;='Energy margins'!$AA$44,B106&lt;='Energy margins'!$AB$44),B106-'Energy margins'!$AA$44,""),'Energy margins'!$AC$44)=0,'Energy margins'!$Z$44,0)),0,IF(MOD(IF(AND(B106&gt;='Energy margins'!$AA$44,B106&lt;='Energy margins'!$AB$44),B106-'Energy margins'!$AA$44,""),'Energy margins'!$AC$44)=0,'Energy margins'!$Z$44,0))</f>
        <v>0</v>
      </c>
      <c r="K106" s="898">
        <f>IF(ISERROR(IF(MOD(IF(AND(B106&gt;='Energy margins'!$AA$45,B106&lt;='Energy margins'!$AB$45),B106-'Energy margins'!$AA$45,""),'Energy margins'!$AC$45)=0,'Energy margins'!$Z$45,0)),0,IF(MOD(IF(AND(B106&gt;='Energy margins'!$AA$45,B106&lt;='Energy margins'!$AB$45),B106-'Energy margins'!$AA$45,""),'Energy margins'!$AC$45)=0,'Energy margins'!$Z$45,0))</f>
        <v>0</v>
      </c>
      <c r="L106" s="898">
        <f>IF(ISERROR(IF(MOD(IF(AND(B106&gt;='Energy margins'!$AA$46,B106&lt;='Energy margins'!$AB$46),B106-'Energy margins'!$AA$46,""),'Energy margins'!$AC$46)=0,'Energy margins'!$Z$46,0)),0,IF(MOD(IF(AND(B106&gt;='Energy margins'!$AA$46,B106&lt;='Energy margins'!$AB$46),B106-'Energy margins'!$AA$46,""),'Energy margins'!$AC$46)=0,'Energy margins'!$Z$46,0))</f>
        <v>0</v>
      </c>
      <c r="M106" s="898">
        <f>IF(ISERROR(IF(MOD(IF(AND(B106&gt;='Energy margins'!$AA$47,B106&lt;='Energy margins'!$AB$47),B106-'Energy margins'!$AA$47,""),'Energy margins'!$AC$47)=0,'Energy margins'!$Z$47,0)),0,IF(MOD(IF(AND(B106&gt;='Energy margins'!$AA$47,B106&lt;='Energy margins'!$AB$47),B106-'Energy margins'!$AA$47,""),'Energy margins'!$AC$47)=0,'Energy margins'!$Z$47,0))</f>
        <v>16.07</v>
      </c>
      <c r="N106" s="898">
        <f>IF(ISERROR(IF(MOD(IF(AND(B106&gt;='Energy margins'!$AA$50,B106&lt;='Energy margins'!$AB$50),B106-'Energy margins'!$AA$50,""),'Energy margins'!$AC$50)=0,'Energy margins'!$Z$50,0)),0,IF(MOD(IF(AND(B106&gt;='Energy margins'!$AA$50,B106&lt;='Energy margins'!$AB$50),B106-'Energy margins'!$AA$50,""),'Energy margins'!$AC$50)=0,'Energy margins'!$Z$50,0))</f>
        <v>78.240000000000009</v>
      </c>
      <c r="O106" s="898">
        <f>IF(ISERROR(IF(MOD(IF(AND(B106&gt;='Energy margins'!$AA$53,B106&lt;='Energy margins'!$AB$53),B106-'Energy margins'!$AA$53,""),'Energy margins'!$AC$53)=0,'Energy margins'!$Z$53,0)),0,IF(MOD(IF(AND(B106&gt;='Energy margins'!$AA$53,B106&lt;='Energy margins'!$AB$53),B106-'Energy margins'!$AA$53,""),'Energy margins'!$AC$53)=0,'Energy margins'!$Z$53,0))</f>
        <v>58.972000000000001</v>
      </c>
      <c r="P106" s="898">
        <f>IF(ISERROR(IF(MOD(IF(AND(B106&gt;='Energy margins'!$AA$56,B106&lt;='Energy margins'!$AB$56),B106-'Energy margins'!$AA$56,""),'Energy margins'!$AC$56)=0,'Energy margins'!$Z$56,0)),0,IF(MOD(IF(AND(B106&gt;='Energy margins'!$AA$56,B106&lt;='Energy margins'!$AB$56),B106-'Energy margins'!$AA$56,""),'Energy margins'!$AC$56)=0,'Energy margins'!$Z$56,0))</f>
        <v>40.5</v>
      </c>
      <c r="Q106" s="898">
        <f>IF(ISERROR(IF(MOD(IF(AND(B106&gt;='Energy margins'!$AA$59,B106&lt;='Energy margins'!$AB$59),B106-'Energy margins'!$AA$59,""),'Energy margins'!$AC$59)=0,'Energy margins'!$Z$59,0)),0,IF(MOD(IF(AND(B106&gt;='Energy margins'!$AA$59,B106&lt;='Energy margins'!$AB$59),B106-'Energy margins'!$AA$59,""),'Energy margins'!$AC$59)=0,'Energy margins'!$Z$59,0))</f>
        <v>0</v>
      </c>
      <c r="R106" s="898">
        <f>IF(ISERROR(IF(MOD(IF(AND(B106&gt;='Energy margins'!$AA$60,B106&lt;='Energy margins'!$AB$60),B106-'Energy margins'!$AA$60,""),'Energy margins'!$AC$60)=0,'Energy margins'!$Z$60,0)),0,IF(MOD(IF(AND(B106&gt;='Energy margins'!$AA$60,B106&lt;='Energy margins'!$AB$60),B106-'Energy margins'!$AA$60,""),'Energy margins'!$AC$60)=0,'Energy margins'!$Z$60,0))</f>
        <v>0</v>
      </c>
      <c r="S106" s="898">
        <f>IF(ISERROR(IF(MOD(IF(AND(B106&gt;='Energy margins'!$AA$61,B106&lt;='Energy margins'!$AB$61),B106-'Energy margins'!$AA$61,""),'Energy margins'!$AC$61)=0,'Energy margins'!$Z$61,0)),0,IF(MOD(IF(AND(B106&gt;='Energy margins'!$AA$61,B106&lt;='Energy margins'!$AB$61),B106-'Energy margins'!$AA$61,""),'Energy margins'!$AC$61)=0,'Energy margins'!$Z$61,0))</f>
        <v>175</v>
      </c>
      <c r="T106" s="898">
        <f>IF(ISERROR(IF(MOD(IF(AND(B106&gt;='Energy margins'!$AA$62,B106&lt;='Energy margins'!$AB$62),B106-'Energy margins'!$AA$62,""),'Energy margins'!$AC$62)=0,'Energy margins'!$Z$62,0)),0,IF(MOD(IF(AND(B106&gt;='Energy margins'!$AA$62,B106&lt;='Energy margins'!$AB$62),B106-'Energy margins'!$AA$62,""),'Energy margins'!$AC$62)=0,'Energy margins'!$Z$62,0))</f>
        <v>0</v>
      </c>
      <c r="U106" s="925">
        <f t="shared" si="46"/>
        <v>368.78200000000004</v>
      </c>
      <c r="V106" s="207">
        <f>'Energy margins'!AE67</f>
        <v>170</v>
      </c>
      <c r="W106" s="207">
        <f t="shared" si="51"/>
        <v>538.78200000000004</v>
      </c>
      <c r="X106" s="207">
        <f t="shared" si="47"/>
        <v>357.71799999999996</v>
      </c>
      <c r="Y106" s="207">
        <f t="shared" si="48"/>
        <v>577.71799999999996</v>
      </c>
      <c r="Z106" s="955">
        <f t="shared" si="52"/>
        <v>497.79462668245088</v>
      </c>
      <c r="AA106" s="956">
        <f t="shared" si="53"/>
        <v>122.15819059692046</v>
      </c>
      <c r="AB106" s="956">
        <f t="shared" si="54"/>
        <v>299.16651930086363</v>
      </c>
      <c r="AC106" s="1021">
        <f t="shared" si="55"/>
        <v>198.62810738158723</v>
      </c>
      <c r="AD106" s="1022">
        <f>Y106/((1+$C$6)^($B106-1))</f>
        <v>320.78629797850766</v>
      </c>
      <c r="AE106" s="955">
        <f t="shared" si="62"/>
        <v>9521.8676150658594</v>
      </c>
      <c r="AF106" s="956">
        <f t="shared" si="57"/>
        <v>2666.045235076986</v>
      </c>
      <c r="AG106" s="956">
        <f t="shared" si="58"/>
        <v>6490.5993620746312</v>
      </c>
      <c r="AH106" s="1021">
        <f t="shared" si="59"/>
        <v>3031.2682529912308</v>
      </c>
      <c r="AI106" s="1022">
        <f t="shared" si="60"/>
        <v>5697.3134880682173</v>
      </c>
    </row>
  </sheetData>
  <mergeCells count="16">
    <mergeCell ref="F88:H88"/>
    <mergeCell ref="V88:W88"/>
    <mergeCell ref="Z88:AD88"/>
    <mergeCell ref="AE88:AI88"/>
    <mergeCell ref="F62:H62"/>
    <mergeCell ref="V62:W62"/>
    <mergeCell ref="Z62:AD62"/>
    <mergeCell ref="AE62:AI62"/>
    <mergeCell ref="F10:H10"/>
    <mergeCell ref="V10:W10"/>
    <mergeCell ref="Z10:AD10"/>
    <mergeCell ref="AE10:AI10"/>
    <mergeCell ref="F36:H36"/>
    <mergeCell ref="V36:W36"/>
    <mergeCell ref="Z36:AD36"/>
    <mergeCell ref="AE36:AI3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M15"/>
  <sheetViews>
    <sheetView topLeftCell="B2" workbookViewId="0">
      <selection activeCell="B22" sqref="B22"/>
    </sheetView>
  </sheetViews>
  <sheetFormatPr defaultColWidth="9" defaultRowHeight="14" x14ac:dyDescent="0.3"/>
  <cols>
    <col min="2" max="2" width="42.33203125" customWidth="1"/>
    <col min="3" max="3" width="7.75" customWidth="1"/>
    <col min="4" max="13" width="10.58203125" customWidth="1"/>
  </cols>
  <sheetData>
    <row r="2" spans="2:13" x14ac:dyDescent="0.3">
      <c r="B2" s="772" t="s">
        <v>478</v>
      </c>
      <c r="C2" s="352">
        <v>0.04</v>
      </c>
      <c r="D2" s="24" t="s">
        <v>317</v>
      </c>
    </row>
    <row r="5" spans="2:13" x14ac:dyDescent="0.3">
      <c r="B5" s="236"/>
      <c r="C5" s="237"/>
      <c r="D5" s="773" t="s">
        <v>4</v>
      </c>
      <c r="E5" s="774" t="s">
        <v>5</v>
      </c>
      <c r="F5" s="774" t="s">
        <v>6</v>
      </c>
      <c r="G5" s="774" t="s">
        <v>302</v>
      </c>
      <c r="H5" s="774" t="s">
        <v>260</v>
      </c>
      <c r="I5" s="774" t="s">
        <v>303</v>
      </c>
      <c r="J5" s="775" t="s">
        <v>94</v>
      </c>
      <c r="K5" s="776" t="s">
        <v>95</v>
      </c>
      <c r="L5" s="777" t="s">
        <v>96</v>
      </c>
      <c r="M5" s="777" t="s">
        <v>498</v>
      </c>
    </row>
    <row r="6" spans="2:13" ht="14.5" x14ac:dyDescent="0.3">
      <c r="B6" s="238" t="s">
        <v>314</v>
      </c>
      <c r="C6" s="239" t="s">
        <v>479</v>
      </c>
      <c r="D6" s="235">
        <f>'Arable NPV'!P28</f>
        <v>19268.236017147305</v>
      </c>
      <c r="E6" s="233">
        <f>'Arable NPV'!P54</f>
        <v>13657.42263605347</v>
      </c>
      <c r="F6" s="233">
        <f>'Arable NPV'!P80</f>
        <v>15390.352038853509</v>
      </c>
      <c r="G6" s="233">
        <f>'Arable NPV'!P106</f>
        <v>25672.561407299519</v>
      </c>
      <c r="H6" s="233">
        <f>'Arable NPV'!P132</f>
        <v>15574.551527822465</v>
      </c>
      <c r="I6" s="233">
        <f>'Arable NPV'!Q158</f>
        <v>18134.61458036309</v>
      </c>
      <c r="J6" s="233">
        <f>'Energy NPV'!AE28</f>
        <v>5876.9026342508314</v>
      </c>
      <c r="K6" s="233">
        <f>'Energy NPV'!AE54</f>
        <v>7172.5259983568831</v>
      </c>
      <c r="L6" s="233">
        <f>'Energy NPV'!AE80</f>
        <v>7004.3848744654333</v>
      </c>
      <c r="M6" s="233">
        <f>'Energy NPV'!AE106</f>
        <v>9521.8676150658594</v>
      </c>
    </row>
    <row r="7" spans="2:13" ht="14.5" x14ac:dyDescent="0.3">
      <c r="B7" s="240" t="s">
        <v>313</v>
      </c>
      <c r="C7" s="241" t="s">
        <v>479</v>
      </c>
      <c r="D7" s="235">
        <f>'Arable NPV'!Q28</f>
        <v>2666.045235076986</v>
      </c>
      <c r="E7" s="233">
        <f>'Arable NPV'!Q54</f>
        <v>2666.045235076986</v>
      </c>
      <c r="F7" s="233">
        <f>'Arable NPV'!Q80</f>
        <v>2666.045235076986</v>
      </c>
      <c r="G7" s="233">
        <f>'Arable NPV'!Q106</f>
        <v>2666.045235076986</v>
      </c>
      <c r="H7" s="233">
        <f>'Arable NPV'!Q132</f>
        <v>2666.045235076986</v>
      </c>
      <c r="I7" s="233">
        <f>'Arable NPV'!R158</f>
        <v>2666.045235076986</v>
      </c>
      <c r="J7" s="233">
        <f>'Energy NPV'!AF28</f>
        <v>2666.045235076986</v>
      </c>
      <c r="K7" s="233">
        <f>'Energy NPV'!AF54</f>
        <v>2666.045235076986</v>
      </c>
      <c r="L7" s="233">
        <f>'Energy NPV'!AF80</f>
        <v>2666.045235076986</v>
      </c>
      <c r="M7" s="233">
        <f>'Energy NPV'!AF106</f>
        <v>2666.045235076986</v>
      </c>
    </row>
    <row r="8" spans="2:13" ht="14.5" x14ac:dyDescent="0.3">
      <c r="B8" s="242" t="s">
        <v>312</v>
      </c>
      <c r="C8" s="243" t="s">
        <v>479</v>
      </c>
      <c r="D8" s="235">
        <f>'Arable NPV'!R28</f>
        <v>18490.044498642172</v>
      </c>
      <c r="E8" s="233">
        <f>'Arable NPV'!R54</f>
        <v>14447.647847874889</v>
      </c>
      <c r="F8" s="233">
        <f>'Arable NPV'!R80</f>
        <v>14096.51187174105</v>
      </c>
      <c r="G8" s="233">
        <f>'Arable NPV'!R106</f>
        <v>19811.936403364176</v>
      </c>
      <c r="H8" s="233">
        <f>'Arable NPV'!R132</f>
        <v>13098.946751242</v>
      </c>
      <c r="I8" s="233">
        <f>'Arable NPV'!S158</f>
        <v>16207.665363247013</v>
      </c>
      <c r="J8" s="233">
        <f>'Energy NPV'!AG28</f>
        <v>4111.4229907520166</v>
      </c>
      <c r="K8" s="233">
        <f>'Energy NPV'!AG54</f>
        <v>4876.9946636093364</v>
      </c>
      <c r="L8" s="233">
        <f>'Energy NPV'!AG80</f>
        <v>8595.5268864796944</v>
      </c>
      <c r="M8" s="233">
        <f>'Energy NPV'!AG106</f>
        <v>6490.5993620746312</v>
      </c>
    </row>
    <row r="9" spans="2:13" ht="15" x14ac:dyDescent="0.3">
      <c r="B9" s="781" t="s">
        <v>345</v>
      </c>
      <c r="C9" s="782" t="s">
        <v>499</v>
      </c>
      <c r="D9" s="270">
        <f>D6-D8</f>
        <v>778.19151850513299</v>
      </c>
      <c r="E9" s="270">
        <f t="shared" ref="E9:M9" si="0">E6-E8</f>
        <v>-790.22521182141827</v>
      </c>
      <c r="F9" s="270">
        <f t="shared" si="0"/>
        <v>1293.8401671124593</v>
      </c>
      <c r="G9" s="270">
        <f t="shared" si="0"/>
        <v>5860.6250039353436</v>
      </c>
      <c r="H9" s="270">
        <f t="shared" si="0"/>
        <v>2475.6047765804651</v>
      </c>
      <c r="I9" s="270">
        <f t="shared" si="0"/>
        <v>1926.9492171160764</v>
      </c>
      <c r="J9" s="270">
        <f t="shared" si="0"/>
        <v>1765.4796434988148</v>
      </c>
      <c r="K9" s="270">
        <f t="shared" si="0"/>
        <v>2295.5313347475467</v>
      </c>
      <c r="L9" s="270">
        <f t="shared" si="0"/>
        <v>-1591.1420120142611</v>
      </c>
      <c r="M9" s="270">
        <f t="shared" si="0"/>
        <v>3031.2682529912281</v>
      </c>
    </row>
    <row r="10" spans="2:13" ht="15" x14ac:dyDescent="0.3">
      <c r="B10" s="778" t="s">
        <v>500</v>
      </c>
      <c r="C10" s="779" t="s">
        <v>499</v>
      </c>
      <c r="D10" s="780">
        <f>D6+D7-D8</f>
        <v>3444.2367535821177</v>
      </c>
      <c r="E10" s="780">
        <f t="shared" ref="E10:M10" si="1">E6+E7-E8</f>
        <v>1875.8200232555682</v>
      </c>
      <c r="F10" s="780">
        <f>F6+F7-F8</f>
        <v>3959.8854021894458</v>
      </c>
      <c r="G10" s="780">
        <f t="shared" si="1"/>
        <v>8526.6702390123282</v>
      </c>
      <c r="H10" s="780">
        <f t="shared" si="1"/>
        <v>5141.6500116574516</v>
      </c>
      <c r="I10" s="780">
        <f t="shared" si="1"/>
        <v>4592.9944521930611</v>
      </c>
      <c r="J10" s="780">
        <f t="shared" si="1"/>
        <v>4431.5248785758013</v>
      </c>
      <c r="K10" s="780">
        <f t="shared" si="1"/>
        <v>4961.5765698245332</v>
      </c>
      <c r="L10" s="780">
        <f t="shared" si="1"/>
        <v>1074.9032230627254</v>
      </c>
      <c r="M10" s="780">
        <f t="shared" si="1"/>
        <v>5697.3134880682146</v>
      </c>
    </row>
    <row r="11" spans="2:13" ht="15.5" x14ac:dyDescent="0.4">
      <c r="B11" s="244" t="s">
        <v>310</v>
      </c>
      <c r="C11" s="239" t="s">
        <v>479</v>
      </c>
      <c r="D11" s="247">
        <f>D9*((1+$C$2)^16)/(((1+$C$2)^16)-1)</f>
        <v>1669.6098878160328</v>
      </c>
      <c r="E11" s="247">
        <f t="shared" ref="E11:M11" si="2">E9*((1+$C$2)^16)/(((1+$C$2)^16)-1)</f>
        <v>-1695.4281765920537</v>
      </c>
      <c r="F11" s="247">
        <f t="shared" si="2"/>
        <v>2775.9340533730856</v>
      </c>
      <c r="G11" s="247">
        <f t="shared" si="2"/>
        <v>12573.970831947307</v>
      </c>
      <c r="H11" s="247">
        <f t="shared" si="2"/>
        <v>5311.4099999999962</v>
      </c>
      <c r="I11" s="247">
        <f t="shared" si="2"/>
        <v>4134.2695078411389</v>
      </c>
      <c r="J11" s="247">
        <f t="shared" si="2"/>
        <v>3787.8365407860747</v>
      </c>
      <c r="K11" s="247">
        <f t="shared" si="2"/>
        <v>4925.0624340501081</v>
      </c>
      <c r="L11" s="247">
        <f t="shared" si="2"/>
        <v>-3413.7951558270352</v>
      </c>
      <c r="M11" s="247">
        <f t="shared" si="2"/>
        <v>6503.5859778309868</v>
      </c>
    </row>
    <row r="12" spans="2:13" ht="15.5" x14ac:dyDescent="0.4">
      <c r="B12" s="245" t="s">
        <v>311</v>
      </c>
      <c r="C12" s="243" t="s">
        <v>479</v>
      </c>
      <c r="D12" s="234">
        <f>D10*((1+$C$2)^16)/(((1+$C$2)^16)-1)</f>
        <v>7389.6098878160237</v>
      </c>
      <c r="E12" s="234">
        <f t="shared" ref="E12:M12" si="3">E10*((1+$C$2)^16)/(((1+$C$2)^16)-1)</f>
        <v>4024.5718234079409</v>
      </c>
      <c r="F12" s="234">
        <f t="shared" si="3"/>
        <v>8495.9340533730792</v>
      </c>
      <c r="G12" s="234">
        <f t="shared" si="3"/>
        <v>18293.970831947299</v>
      </c>
      <c r="H12" s="234">
        <f t="shared" si="3"/>
        <v>11031.409999999991</v>
      </c>
      <c r="I12" s="234">
        <f t="shared" si="3"/>
        <v>9854.2695078411307</v>
      </c>
      <c r="J12" s="234">
        <f t="shared" si="3"/>
        <v>9507.8365407860692</v>
      </c>
      <c r="K12" s="234">
        <f t="shared" si="3"/>
        <v>10645.062434050102</v>
      </c>
      <c r="L12" s="234">
        <f t="shared" si="3"/>
        <v>2306.2048441729598</v>
      </c>
      <c r="M12" s="234">
        <f t="shared" si="3"/>
        <v>12223.585977830982</v>
      </c>
    </row>
    <row r="13" spans="2:13" ht="14.5" x14ac:dyDescent="0.3">
      <c r="B13" s="244" t="s">
        <v>318</v>
      </c>
      <c r="C13" s="239" t="s">
        <v>480</v>
      </c>
      <c r="D13" s="247">
        <f>D11*$C$2</f>
        <v>66.784395512641311</v>
      </c>
      <c r="E13" s="247">
        <f t="shared" ref="E13:M13" si="4">E11*$C$2</f>
        <v>-67.81712706368215</v>
      </c>
      <c r="F13" s="247">
        <f t="shared" si="4"/>
        <v>111.03736213492343</v>
      </c>
      <c r="G13" s="247">
        <f t="shared" si="4"/>
        <v>502.95883327789227</v>
      </c>
      <c r="H13" s="247">
        <f t="shared" si="4"/>
        <v>212.45639999999986</v>
      </c>
      <c r="I13" s="247">
        <f t="shared" si="4"/>
        <v>165.37078031364555</v>
      </c>
      <c r="J13" s="247">
        <f t="shared" si="4"/>
        <v>151.51346163144299</v>
      </c>
      <c r="K13" s="247">
        <f t="shared" si="4"/>
        <v>197.00249736200433</v>
      </c>
      <c r="L13" s="247">
        <f t="shared" si="4"/>
        <v>-136.55180623308141</v>
      </c>
      <c r="M13" s="247">
        <f t="shared" si="4"/>
        <v>260.14343911323948</v>
      </c>
    </row>
    <row r="14" spans="2:13" ht="14.5" x14ac:dyDescent="0.3">
      <c r="B14" s="246" t="s">
        <v>319</v>
      </c>
      <c r="C14" s="243" t="s">
        <v>480</v>
      </c>
      <c r="D14" s="248">
        <f>D12*$C$2</f>
        <v>295.58439551264098</v>
      </c>
      <c r="E14" s="248">
        <f t="shared" ref="E14:M14" si="5">E12*$C$2</f>
        <v>160.98287293631765</v>
      </c>
      <c r="F14" s="248">
        <f t="shared" si="5"/>
        <v>339.83736213492318</v>
      </c>
      <c r="G14" s="248">
        <f t="shared" si="5"/>
        <v>731.75883327789199</v>
      </c>
      <c r="H14" s="248">
        <f t="shared" si="5"/>
        <v>441.25639999999964</v>
      </c>
      <c r="I14" s="248">
        <f t="shared" si="5"/>
        <v>394.17078031364525</v>
      </c>
      <c r="J14" s="248">
        <f t="shared" si="5"/>
        <v>380.31346163144275</v>
      </c>
      <c r="K14" s="248">
        <f t="shared" si="5"/>
        <v>425.80249736200409</v>
      </c>
      <c r="L14" s="248">
        <f t="shared" si="5"/>
        <v>92.248193766918391</v>
      </c>
      <c r="M14" s="248">
        <f t="shared" si="5"/>
        <v>488.94343911323932</v>
      </c>
    </row>
    <row r="15" spans="2:13" x14ac:dyDescent="0.3">
      <c r="B15" s="783" t="s">
        <v>322</v>
      </c>
      <c r="C15" s="784"/>
      <c r="D15" s="785">
        <f t="shared" ref="D15:M15" si="6">RANK(D10,$D$10:$M$10)</f>
        <v>8</v>
      </c>
      <c r="E15" s="785">
        <f t="shared" si="6"/>
        <v>9</v>
      </c>
      <c r="F15" s="785">
        <f t="shared" si="6"/>
        <v>7</v>
      </c>
      <c r="G15" s="785">
        <f t="shared" si="6"/>
        <v>1</v>
      </c>
      <c r="H15" s="785">
        <f t="shared" si="6"/>
        <v>3</v>
      </c>
      <c r="I15" s="785">
        <f t="shared" si="6"/>
        <v>5</v>
      </c>
      <c r="J15" s="785">
        <f t="shared" si="6"/>
        <v>6</v>
      </c>
      <c r="K15" s="785">
        <f t="shared" si="6"/>
        <v>4</v>
      </c>
      <c r="L15" s="785">
        <f t="shared" si="6"/>
        <v>10</v>
      </c>
      <c r="M15" s="785">
        <f t="shared" si="6"/>
        <v>2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FV168"/>
  <sheetViews>
    <sheetView topLeftCell="A61" zoomScaleNormal="100" workbookViewId="0">
      <selection activeCell="H64" sqref="H64"/>
    </sheetView>
  </sheetViews>
  <sheetFormatPr defaultColWidth="9" defaultRowHeight="14" x14ac:dyDescent="0.3"/>
  <cols>
    <col min="3" max="3" width="10.08203125" bestFit="1" customWidth="1"/>
    <col min="38" max="38" width="10.83203125" bestFit="1" customWidth="1"/>
    <col min="74" max="74" width="9.33203125" bestFit="1" customWidth="1"/>
    <col min="110" max="110" width="9.33203125" bestFit="1" customWidth="1"/>
    <col min="145" max="145" width="10.08203125" bestFit="1" customWidth="1"/>
  </cols>
  <sheetData>
    <row r="2" spans="1:177" x14ac:dyDescent="0.3">
      <c r="B2" s="1132" t="s">
        <v>363</v>
      </c>
      <c r="C2" s="1133"/>
      <c r="D2" s="1133"/>
      <c r="E2" s="1134"/>
    </row>
    <row r="4" spans="1:177" x14ac:dyDescent="0.3">
      <c r="A4" t="s">
        <v>432</v>
      </c>
      <c r="B4" s="744">
        <f>'Energy NPV'!C6</f>
        <v>0.04</v>
      </c>
      <c r="C4" s="744"/>
    </row>
    <row r="8" spans="1:177" x14ac:dyDescent="0.3">
      <c r="B8" s="227" t="s">
        <v>96</v>
      </c>
      <c r="C8" s="750" t="s">
        <v>407</v>
      </c>
      <c r="D8" s="269" t="s">
        <v>418</v>
      </c>
      <c r="E8" s="887">
        <v>1</v>
      </c>
      <c r="G8" s="193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227" t="s">
        <v>96</v>
      </c>
      <c r="AA8" s="211" t="s">
        <v>327</v>
      </c>
      <c r="AB8" s="886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W8" s="102"/>
      <c r="AX8" s="227" t="s">
        <v>96</v>
      </c>
      <c r="AY8" s="211" t="s">
        <v>333</v>
      </c>
      <c r="AZ8" s="886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96</v>
      </c>
      <c r="BW8" s="211" t="s">
        <v>334</v>
      </c>
      <c r="BX8" s="886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96</v>
      </c>
      <c r="CU8" s="211" t="s">
        <v>335</v>
      </c>
      <c r="CV8" s="886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</row>
    <row r="9" spans="1:177" x14ac:dyDescent="0.3">
      <c r="B9" s="203"/>
      <c r="C9" s="148"/>
      <c r="D9" s="148"/>
      <c r="E9" s="970"/>
      <c r="F9" s="970"/>
      <c r="G9" s="970"/>
      <c r="H9" s="148"/>
      <c r="I9" s="910"/>
      <c r="J9" s="970"/>
      <c r="K9" s="970"/>
      <c r="L9" s="148"/>
      <c r="M9" s="148"/>
      <c r="N9" s="971" t="s">
        <v>279</v>
      </c>
      <c r="O9" s="972"/>
      <c r="P9" s="972"/>
      <c r="Q9" s="972"/>
      <c r="R9" s="973"/>
      <c r="S9" s="971" t="s">
        <v>280</v>
      </c>
      <c r="T9" s="972"/>
      <c r="U9" s="972"/>
      <c r="V9" s="972"/>
      <c r="W9" s="973"/>
      <c r="Z9" s="203"/>
      <c r="AA9" s="148"/>
      <c r="AB9" s="148"/>
      <c r="AC9" s="970"/>
      <c r="AD9" s="970"/>
      <c r="AE9" s="970"/>
      <c r="AF9" s="148"/>
      <c r="AG9" s="910"/>
      <c r="AH9" s="970"/>
      <c r="AI9" s="970"/>
      <c r="AJ9" s="148"/>
      <c r="AK9" s="148"/>
      <c r="AL9" s="971" t="s">
        <v>326</v>
      </c>
      <c r="AM9" s="972"/>
      <c r="AN9" s="972"/>
      <c r="AO9" s="972"/>
      <c r="AP9" s="973"/>
      <c r="AQ9" s="971" t="s">
        <v>280</v>
      </c>
      <c r="AR9" s="972"/>
      <c r="AS9" s="972"/>
      <c r="AT9" s="972"/>
      <c r="AU9" s="973"/>
      <c r="AX9" s="203"/>
      <c r="AY9" s="148"/>
      <c r="AZ9" s="148"/>
      <c r="BA9" s="970"/>
      <c r="BB9" s="970"/>
      <c r="BC9" s="970"/>
      <c r="BD9" s="148"/>
      <c r="BE9" s="910"/>
      <c r="BF9" s="970"/>
      <c r="BG9" s="970"/>
      <c r="BH9" s="148"/>
      <c r="BI9" s="148"/>
      <c r="BJ9" s="971" t="s">
        <v>279</v>
      </c>
      <c r="BK9" s="972"/>
      <c r="BL9" s="972"/>
      <c r="BM9" s="972"/>
      <c r="BN9" s="973"/>
      <c r="BO9" s="971" t="s">
        <v>280</v>
      </c>
      <c r="BP9" s="972"/>
      <c r="BQ9" s="972"/>
      <c r="BR9" s="972"/>
      <c r="BS9" s="973"/>
      <c r="BV9" s="203"/>
      <c r="BW9" s="148"/>
      <c r="BX9" s="148"/>
      <c r="BY9" s="970"/>
      <c r="BZ9" s="970"/>
      <c r="CA9" s="970"/>
      <c r="CB9" s="148"/>
      <c r="CC9" s="910"/>
      <c r="CD9" s="970"/>
      <c r="CE9" s="970"/>
      <c r="CF9" s="148"/>
      <c r="CG9" s="148"/>
      <c r="CH9" s="971" t="s">
        <v>279</v>
      </c>
      <c r="CI9" s="972"/>
      <c r="CJ9" s="972"/>
      <c r="CK9" s="972"/>
      <c r="CL9" s="973"/>
      <c r="CM9" s="971" t="s">
        <v>280</v>
      </c>
      <c r="CN9" s="972"/>
      <c r="CO9" s="972"/>
      <c r="CP9" s="972"/>
      <c r="CQ9" s="973"/>
      <c r="CT9" s="203"/>
      <c r="CU9" s="148"/>
      <c r="CV9" s="148"/>
      <c r="CW9" s="970"/>
      <c r="CX9" s="970"/>
      <c r="CY9" s="970"/>
      <c r="CZ9" s="148"/>
      <c r="DA9" s="910"/>
      <c r="DB9" s="970"/>
      <c r="DC9" s="970"/>
      <c r="DD9" s="148"/>
      <c r="DE9" s="148"/>
      <c r="DF9" s="971" t="s">
        <v>279</v>
      </c>
      <c r="DG9" s="972"/>
      <c r="DH9" s="972"/>
      <c r="DI9" s="972"/>
      <c r="DJ9" s="973"/>
      <c r="DK9" s="971" t="s">
        <v>280</v>
      </c>
      <c r="DL9" s="972"/>
      <c r="DM9" s="972"/>
      <c r="DN9" s="972"/>
      <c r="DO9" s="973"/>
    </row>
    <row r="10" spans="1:177" ht="51" x14ac:dyDescent="0.3">
      <c r="B10" s="204" t="s">
        <v>281</v>
      </c>
      <c r="C10" s="205" t="str">
        <f>'Energy NPV'!D63</f>
        <v xml:space="preserve">Yield               </v>
      </c>
      <c r="D10" s="205" t="s">
        <v>308</v>
      </c>
      <c r="E10" s="171" t="s">
        <v>283</v>
      </c>
      <c r="F10" s="171" t="s">
        <v>10</v>
      </c>
      <c r="G10" s="171" t="s">
        <v>284</v>
      </c>
      <c r="H10" s="205" t="s">
        <v>305</v>
      </c>
      <c r="I10" s="914" t="str">
        <f>'Energy NPV'!U63</f>
        <v>Total Recurring Costs</v>
      </c>
      <c r="J10" s="205" t="s">
        <v>309</v>
      </c>
      <c r="K10" s="171" t="s">
        <v>287</v>
      </c>
      <c r="L10" s="171" t="s">
        <v>288</v>
      </c>
      <c r="M10" s="171" t="s">
        <v>289</v>
      </c>
      <c r="N10" s="195" t="s">
        <v>290</v>
      </c>
      <c r="O10" s="171" t="s">
        <v>291</v>
      </c>
      <c r="P10" s="171" t="s">
        <v>292</v>
      </c>
      <c r="Q10" s="171" t="s">
        <v>293</v>
      </c>
      <c r="R10" s="198" t="s">
        <v>294</v>
      </c>
      <c r="S10" s="195" t="s">
        <v>295</v>
      </c>
      <c r="T10" s="171" t="s">
        <v>296</v>
      </c>
      <c r="U10" s="171" t="s">
        <v>297</v>
      </c>
      <c r="V10" s="171" t="s">
        <v>298</v>
      </c>
      <c r="W10" s="198" t="s">
        <v>299</v>
      </c>
      <c r="Z10" s="204" t="s">
        <v>281</v>
      </c>
      <c r="AA10" s="205" t="s">
        <v>307</v>
      </c>
      <c r="AB10" s="205" t="s">
        <v>308</v>
      </c>
      <c r="AC10" s="171" t="s">
        <v>283</v>
      </c>
      <c r="AD10" s="171" t="s">
        <v>10</v>
      </c>
      <c r="AE10" s="171" t="s">
        <v>284</v>
      </c>
      <c r="AF10" s="205" t="s">
        <v>305</v>
      </c>
      <c r="AG10" s="914" t="str">
        <f>I10</f>
        <v>Total Recurring Costs</v>
      </c>
      <c r="AH10" s="205" t="s">
        <v>309</v>
      </c>
      <c r="AI10" s="171" t="s">
        <v>287</v>
      </c>
      <c r="AJ10" s="171" t="s">
        <v>288</v>
      </c>
      <c r="AK10" s="171" t="s">
        <v>289</v>
      </c>
      <c r="AL10" s="195" t="s">
        <v>290</v>
      </c>
      <c r="AM10" s="171" t="s">
        <v>291</v>
      </c>
      <c r="AN10" s="171" t="s">
        <v>292</v>
      </c>
      <c r="AO10" s="171" t="s">
        <v>293</v>
      </c>
      <c r="AP10" s="198" t="s">
        <v>294</v>
      </c>
      <c r="AQ10" s="195" t="s">
        <v>295</v>
      </c>
      <c r="AR10" s="171" t="s">
        <v>296</v>
      </c>
      <c r="AS10" s="171" t="s">
        <v>297</v>
      </c>
      <c r="AT10" s="171" t="s">
        <v>298</v>
      </c>
      <c r="AU10" s="198" t="s">
        <v>299</v>
      </c>
      <c r="AX10" s="204" t="s">
        <v>281</v>
      </c>
      <c r="AY10" s="205" t="s">
        <v>307</v>
      </c>
      <c r="AZ10" s="205" t="s">
        <v>308</v>
      </c>
      <c r="BA10" s="171" t="s">
        <v>283</v>
      </c>
      <c r="BB10" s="171" t="s">
        <v>10</v>
      </c>
      <c r="BC10" s="171" t="s">
        <v>284</v>
      </c>
      <c r="BD10" s="205" t="s">
        <v>305</v>
      </c>
      <c r="BE10" s="914" t="str">
        <f>AG10</f>
        <v>Total Recurring Costs</v>
      </c>
      <c r="BF10" s="205" t="s">
        <v>309</v>
      </c>
      <c r="BG10" s="171" t="s">
        <v>287</v>
      </c>
      <c r="BH10" s="171" t="s">
        <v>288</v>
      </c>
      <c r="BI10" s="171" t="s">
        <v>289</v>
      </c>
      <c r="BJ10" s="195" t="s">
        <v>290</v>
      </c>
      <c r="BK10" s="171" t="s">
        <v>291</v>
      </c>
      <c r="BL10" s="171" t="s">
        <v>292</v>
      </c>
      <c r="BM10" s="171" t="s">
        <v>293</v>
      </c>
      <c r="BN10" s="198" t="s">
        <v>294</v>
      </c>
      <c r="BO10" s="195" t="s">
        <v>295</v>
      </c>
      <c r="BP10" s="171" t="s">
        <v>296</v>
      </c>
      <c r="BQ10" s="171" t="s">
        <v>297</v>
      </c>
      <c r="BR10" s="171" t="s">
        <v>298</v>
      </c>
      <c r="BS10" s="198" t="s">
        <v>299</v>
      </c>
      <c r="BV10" s="204" t="s">
        <v>281</v>
      </c>
      <c r="BW10" s="205" t="s">
        <v>307</v>
      </c>
      <c r="BX10" s="205" t="s">
        <v>308</v>
      </c>
      <c r="BY10" s="171" t="s">
        <v>283</v>
      </c>
      <c r="BZ10" s="171" t="s">
        <v>10</v>
      </c>
      <c r="CA10" s="171" t="s">
        <v>284</v>
      </c>
      <c r="CB10" s="205" t="s">
        <v>305</v>
      </c>
      <c r="CC10" s="914" t="str">
        <f>AG10</f>
        <v>Total Recurring Costs</v>
      </c>
      <c r="CD10" s="205" t="s">
        <v>309</v>
      </c>
      <c r="CE10" s="171" t="s">
        <v>287</v>
      </c>
      <c r="CF10" s="171" t="s">
        <v>288</v>
      </c>
      <c r="CG10" s="171" t="s">
        <v>289</v>
      </c>
      <c r="CH10" s="195" t="s">
        <v>290</v>
      </c>
      <c r="CI10" s="171" t="s">
        <v>291</v>
      </c>
      <c r="CJ10" s="171" t="s">
        <v>292</v>
      </c>
      <c r="CK10" s="171" t="s">
        <v>293</v>
      </c>
      <c r="CL10" s="198" t="s">
        <v>294</v>
      </c>
      <c r="CM10" s="195" t="s">
        <v>295</v>
      </c>
      <c r="CN10" s="171" t="s">
        <v>296</v>
      </c>
      <c r="CO10" s="171" t="s">
        <v>297</v>
      </c>
      <c r="CP10" s="171" t="s">
        <v>298</v>
      </c>
      <c r="CQ10" s="198" t="s">
        <v>299</v>
      </c>
      <c r="CT10" s="204" t="s">
        <v>281</v>
      </c>
      <c r="CU10" s="205" t="s">
        <v>307</v>
      </c>
      <c r="CV10" s="205" t="s">
        <v>308</v>
      </c>
      <c r="CW10" s="171" t="s">
        <v>283</v>
      </c>
      <c r="CX10" s="171" t="s">
        <v>10</v>
      </c>
      <c r="CY10" s="171" t="s">
        <v>284</v>
      </c>
      <c r="CZ10" s="205" t="s">
        <v>305</v>
      </c>
      <c r="DA10" s="914" t="str">
        <f>CC10</f>
        <v>Total Recurring Costs</v>
      </c>
      <c r="DB10" s="205" t="s">
        <v>309</v>
      </c>
      <c r="DC10" s="171" t="s">
        <v>287</v>
      </c>
      <c r="DD10" s="171" t="s">
        <v>288</v>
      </c>
      <c r="DE10" s="171" t="s">
        <v>289</v>
      </c>
      <c r="DF10" s="195" t="s">
        <v>290</v>
      </c>
      <c r="DG10" s="171" t="s">
        <v>291</v>
      </c>
      <c r="DH10" s="171" t="s">
        <v>292</v>
      </c>
      <c r="DI10" s="171" t="s">
        <v>293</v>
      </c>
      <c r="DJ10" s="198" t="s">
        <v>294</v>
      </c>
      <c r="DK10" s="195" t="s">
        <v>295</v>
      </c>
      <c r="DL10" s="171" t="s">
        <v>296</v>
      </c>
      <c r="DM10" s="171" t="s">
        <v>297</v>
      </c>
      <c r="DN10" s="171" t="s">
        <v>298</v>
      </c>
      <c r="DO10" s="198" t="s">
        <v>299</v>
      </c>
    </row>
    <row r="11" spans="1:177" x14ac:dyDescent="0.3">
      <c r="B11" s="173"/>
      <c r="C11" s="226" t="str">
        <f>'Energy NPV'!D64</f>
        <v>(t ha-1)</v>
      </c>
      <c r="D11" s="226" t="s">
        <v>476</v>
      </c>
      <c r="E11" s="201" t="s">
        <v>474</v>
      </c>
      <c r="F11" s="201" t="s">
        <v>474</v>
      </c>
      <c r="G11" s="201" t="s">
        <v>474</v>
      </c>
      <c r="H11" s="201" t="s">
        <v>474</v>
      </c>
      <c r="I11" s="948" t="str">
        <f>'Energy NPV'!U64</f>
        <v>(£ ha-1)</v>
      </c>
      <c r="J11" s="201" t="s">
        <v>474</v>
      </c>
      <c r="K11" s="201" t="s">
        <v>474</v>
      </c>
      <c r="L11" s="201" t="s">
        <v>474</v>
      </c>
      <c r="M11" s="202" t="s">
        <v>474</v>
      </c>
      <c r="N11" s="201" t="s">
        <v>474</v>
      </c>
      <c r="O11" s="201" t="s">
        <v>474</v>
      </c>
      <c r="P11" s="201" t="s">
        <v>474</v>
      </c>
      <c r="Q11" s="201" t="s">
        <v>474</v>
      </c>
      <c r="R11" s="202" t="s">
        <v>474</v>
      </c>
      <c r="S11" s="201" t="s">
        <v>474</v>
      </c>
      <c r="T11" s="201" t="s">
        <v>474</v>
      </c>
      <c r="U11" s="201" t="s">
        <v>474</v>
      </c>
      <c r="V11" s="201" t="s">
        <v>474</v>
      </c>
      <c r="W11" s="202" t="s">
        <v>474</v>
      </c>
      <c r="Z11" s="173"/>
      <c r="AA11" s="226" t="s">
        <v>356</v>
      </c>
      <c r="AB11" s="226" t="s">
        <v>476</v>
      </c>
      <c r="AC11" s="201" t="s">
        <v>474</v>
      </c>
      <c r="AD11" s="201" t="s">
        <v>474</v>
      </c>
      <c r="AE11" s="201" t="s">
        <v>474</v>
      </c>
      <c r="AF11" s="201" t="s">
        <v>474</v>
      </c>
      <c r="AG11" s="948" t="str">
        <f>I11</f>
        <v>(£ ha-1)</v>
      </c>
      <c r="AH11" s="201" t="s">
        <v>474</v>
      </c>
      <c r="AI11" s="201" t="s">
        <v>474</v>
      </c>
      <c r="AJ11" s="201" t="s">
        <v>474</v>
      </c>
      <c r="AK11" s="202" t="s">
        <v>474</v>
      </c>
      <c r="AL11" s="201" t="s">
        <v>474</v>
      </c>
      <c r="AM11" s="201" t="s">
        <v>474</v>
      </c>
      <c r="AN11" s="201" t="s">
        <v>474</v>
      </c>
      <c r="AO11" s="201" t="s">
        <v>474</v>
      </c>
      <c r="AP11" s="202" t="s">
        <v>474</v>
      </c>
      <c r="AQ11" s="201" t="s">
        <v>474</v>
      </c>
      <c r="AR11" s="201" t="s">
        <v>474</v>
      </c>
      <c r="AS11" s="201" t="s">
        <v>474</v>
      </c>
      <c r="AT11" s="201" t="s">
        <v>474</v>
      </c>
      <c r="AU11" s="202" t="s">
        <v>474</v>
      </c>
      <c r="AX11" s="173"/>
      <c r="AY11" s="226" t="s">
        <v>356</v>
      </c>
      <c r="AZ11" s="226" t="s">
        <v>476</v>
      </c>
      <c r="BA11" s="201" t="s">
        <v>474</v>
      </c>
      <c r="BB11" s="201" t="s">
        <v>474</v>
      </c>
      <c r="BC11" s="201" t="s">
        <v>474</v>
      </c>
      <c r="BD11" s="201" t="s">
        <v>474</v>
      </c>
      <c r="BE11" s="948" t="str">
        <f>AG11</f>
        <v>(£ ha-1)</v>
      </c>
      <c r="BF11" s="201" t="s">
        <v>474</v>
      </c>
      <c r="BG11" s="201" t="s">
        <v>474</v>
      </c>
      <c r="BH11" s="201" t="s">
        <v>474</v>
      </c>
      <c r="BI11" s="202" t="s">
        <v>474</v>
      </c>
      <c r="BJ11" s="201" t="s">
        <v>474</v>
      </c>
      <c r="BK11" s="201" t="s">
        <v>474</v>
      </c>
      <c r="BL11" s="201" t="s">
        <v>474</v>
      </c>
      <c r="BM11" s="201" t="s">
        <v>474</v>
      </c>
      <c r="BN11" s="202" t="s">
        <v>474</v>
      </c>
      <c r="BO11" s="201" t="s">
        <v>474</v>
      </c>
      <c r="BP11" s="201" t="s">
        <v>474</v>
      </c>
      <c r="BQ11" s="201" t="s">
        <v>474</v>
      </c>
      <c r="BR11" s="201" t="s">
        <v>474</v>
      </c>
      <c r="BS11" s="202" t="s">
        <v>474</v>
      </c>
      <c r="BV11" s="173"/>
      <c r="BW11" s="226" t="s">
        <v>356</v>
      </c>
      <c r="BX11" s="226" t="s">
        <v>476</v>
      </c>
      <c r="BY11" s="201" t="s">
        <v>474</v>
      </c>
      <c r="BZ11" s="201" t="s">
        <v>474</v>
      </c>
      <c r="CA11" s="201" t="s">
        <v>474</v>
      </c>
      <c r="CB11" s="201" t="s">
        <v>474</v>
      </c>
      <c r="CC11" s="948" t="str">
        <f>AG11</f>
        <v>(£ ha-1)</v>
      </c>
      <c r="CD11" s="201" t="s">
        <v>474</v>
      </c>
      <c r="CE11" s="201" t="s">
        <v>474</v>
      </c>
      <c r="CF11" s="201" t="s">
        <v>474</v>
      </c>
      <c r="CG11" s="202" t="s">
        <v>474</v>
      </c>
      <c r="CH11" s="201" t="s">
        <v>474</v>
      </c>
      <c r="CI11" s="201" t="s">
        <v>474</v>
      </c>
      <c r="CJ11" s="201" t="s">
        <v>474</v>
      </c>
      <c r="CK11" s="201" t="s">
        <v>474</v>
      </c>
      <c r="CL11" s="202" t="s">
        <v>474</v>
      </c>
      <c r="CM11" s="201" t="s">
        <v>474</v>
      </c>
      <c r="CN11" s="201" t="s">
        <v>474</v>
      </c>
      <c r="CO11" s="201" t="s">
        <v>474</v>
      </c>
      <c r="CP11" s="201" t="s">
        <v>474</v>
      </c>
      <c r="CQ11" s="202" t="s">
        <v>474</v>
      </c>
      <c r="CT11" s="173"/>
      <c r="CU11" s="226" t="s">
        <v>356</v>
      </c>
      <c r="CV11" s="226" t="s">
        <v>476</v>
      </c>
      <c r="CW11" s="201" t="s">
        <v>474</v>
      </c>
      <c r="CX11" s="201" t="s">
        <v>474</v>
      </c>
      <c r="CY11" s="201" t="s">
        <v>474</v>
      </c>
      <c r="CZ11" s="201" t="s">
        <v>474</v>
      </c>
      <c r="DA11" s="948" t="str">
        <f>CC11</f>
        <v>(£ ha-1)</v>
      </c>
      <c r="DB11" s="201" t="s">
        <v>474</v>
      </c>
      <c r="DC11" s="201" t="s">
        <v>474</v>
      </c>
      <c r="DD11" s="201" t="s">
        <v>474</v>
      </c>
      <c r="DE11" s="202" t="s">
        <v>474</v>
      </c>
      <c r="DF11" s="201" t="s">
        <v>474</v>
      </c>
      <c r="DG11" s="201" t="s">
        <v>474</v>
      </c>
      <c r="DH11" s="201" t="s">
        <v>474</v>
      </c>
      <c r="DI11" s="201" t="s">
        <v>474</v>
      </c>
      <c r="DJ11" s="202" t="s">
        <v>474</v>
      </c>
      <c r="DK11" s="201" t="s">
        <v>474</v>
      </c>
      <c r="DL11" s="201" t="s">
        <v>474</v>
      </c>
      <c r="DM11" s="201" t="s">
        <v>474</v>
      </c>
      <c r="DN11" s="201" t="s">
        <v>474</v>
      </c>
      <c r="DO11" s="202" t="s">
        <v>474</v>
      </c>
    </row>
    <row r="12" spans="1:177" x14ac:dyDescent="0.3">
      <c r="B12" s="204">
        <v>1</v>
      </c>
      <c r="C12" s="197">
        <f>'Energy NPV'!D65</f>
        <v>2.0466666666666664</v>
      </c>
      <c r="D12" s="197">
        <f>'Energy Inputs'!$F$58*$E$8</f>
        <v>55</v>
      </c>
      <c r="E12" s="197">
        <f>C12*D12</f>
        <v>112.56666666666665</v>
      </c>
      <c r="F12" s="197">
        <f>'Margins summary'!$U$14</f>
        <v>220</v>
      </c>
      <c r="G12" s="197">
        <f>E12+F12</f>
        <v>332.56666666666666</v>
      </c>
      <c r="H12" s="197">
        <f>'Margins summary'!$T$20</f>
        <v>5106.0919999999996</v>
      </c>
      <c r="I12" s="897">
        <f>'Energy NPV'!U65</f>
        <v>0</v>
      </c>
      <c r="J12" s="197"/>
      <c r="K12" s="197">
        <f t="shared" ref="K12:K27" si="0">H12+I12+J12</f>
        <v>5106.0919999999996</v>
      </c>
      <c r="L12" s="197">
        <f t="shared" ref="L12:L27" si="1">E12-K12</f>
        <v>-4993.525333333333</v>
      </c>
      <c r="M12" s="197">
        <f t="shared" ref="M12:M27" si="2">G12-K12</f>
        <v>-4773.525333333333</v>
      </c>
      <c r="N12" s="1016">
        <f>E12/((1+$B$4)^(B12-1))</f>
        <v>112.56666666666665</v>
      </c>
      <c r="O12" s="213">
        <f>F12/((1+$B$4)^(B12-1))</f>
        <v>220</v>
      </c>
      <c r="P12" s="213">
        <f>K12/((1+$B$4)^(B12-1))</f>
        <v>5106.0919999999996</v>
      </c>
      <c r="Q12" s="213">
        <f>L12/((1+$B$4)^(B12-1))</f>
        <v>-4993.525333333333</v>
      </c>
      <c r="R12" s="908">
        <f>M12/((1+$B$4)^(B12-1))</f>
        <v>-4773.525333333333</v>
      </c>
      <c r="S12" s="196">
        <f>N12</f>
        <v>112.56666666666665</v>
      </c>
      <c r="T12" s="197">
        <f>O12</f>
        <v>220</v>
      </c>
      <c r="U12" s="197">
        <f>P12</f>
        <v>5106.0919999999996</v>
      </c>
      <c r="V12" s="197">
        <f>Q12</f>
        <v>-4993.525333333333</v>
      </c>
      <c r="W12" s="199">
        <f>R12</f>
        <v>-4773.525333333333</v>
      </c>
      <c r="Z12" s="880">
        <v>1</v>
      </c>
      <c r="AA12" s="197">
        <f t="shared" ref="AA12:AA27" si="3">$C12</f>
        <v>2.0466666666666664</v>
      </c>
      <c r="AB12" s="197">
        <f>'Energy Inputs'!$F$58*$AB$8</f>
        <v>82.5</v>
      </c>
      <c r="AC12" s="197">
        <f>AA12*AB12</f>
        <v>168.84999999999997</v>
      </c>
      <c r="AD12" s="197">
        <f>'Margins summary'!$U$14</f>
        <v>220</v>
      </c>
      <c r="AE12" s="197">
        <f>AC12+AD12</f>
        <v>388.84999999999997</v>
      </c>
      <c r="AF12" s="197">
        <f>'Margins summary'!$T$20</f>
        <v>5106.0919999999996</v>
      </c>
      <c r="AG12" s="897">
        <f>'Energy NPV'!U65</f>
        <v>0</v>
      </c>
      <c r="AH12" s="197"/>
      <c r="AI12" s="197">
        <f t="shared" ref="AI12:AI27" si="4">AF12+AG12+AH12</f>
        <v>5106.0919999999996</v>
      </c>
      <c r="AJ12" s="197">
        <f t="shared" ref="AJ12:AJ27" si="5">AC12-AI12</f>
        <v>-4937.2419999999993</v>
      </c>
      <c r="AK12" s="197">
        <f t="shared" ref="AK12:AK27" si="6">AE12-AI12</f>
        <v>-4717.2419999999993</v>
      </c>
      <c r="AL12" s="1016">
        <f>AC12/((1+$B$4)^(Z12-1))</f>
        <v>168.84999999999997</v>
      </c>
      <c r="AM12" s="213">
        <f>AD12/((1+$B$4)^(Z12-1))</f>
        <v>220</v>
      </c>
      <c r="AN12" s="213">
        <f>AI12/((1+$B$4)^(Z12-1))</f>
        <v>5106.0919999999996</v>
      </c>
      <c r="AO12" s="213">
        <f>AJ12/((1+$B$4)^(Z12-1))</f>
        <v>-4937.2419999999993</v>
      </c>
      <c r="AP12" s="908">
        <f>AK12/((1+$B$4)^(Z12-1))</f>
        <v>-4717.2419999999993</v>
      </c>
      <c r="AQ12" s="196">
        <f>AL12</f>
        <v>168.84999999999997</v>
      </c>
      <c r="AR12" s="197">
        <f>AM12</f>
        <v>220</v>
      </c>
      <c r="AS12" s="197">
        <f>AN12</f>
        <v>5106.0919999999996</v>
      </c>
      <c r="AT12" s="197">
        <f>AO12</f>
        <v>-4937.2419999999993</v>
      </c>
      <c r="AU12" s="199">
        <f>AP12</f>
        <v>-4717.2419999999993</v>
      </c>
      <c r="AX12" s="880">
        <v>1</v>
      </c>
      <c r="AY12" s="197">
        <f t="shared" ref="AY12:AY27" si="7">$C12</f>
        <v>2.0466666666666664</v>
      </c>
      <c r="AZ12" s="197">
        <f>'Energy Inputs'!$F$58*$AZ$8</f>
        <v>27.5</v>
      </c>
      <c r="BA12" s="197">
        <f>AY12*AZ12</f>
        <v>56.283333333333324</v>
      </c>
      <c r="BB12" s="197">
        <f>'Margins summary'!$U$14</f>
        <v>220</v>
      </c>
      <c r="BC12" s="197">
        <f>BA12+BB12</f>
        <v>276.2833333333333</v>
      </c>
      <c r="BD12" s="197">
        <f>'Margins summary'!$T$20</f>
        <v>5106.0919999999996</v>
      </c>
      <c r="BE12" s="897">
        <f>'Energy NPV'!U65</f>
        <v>0</v>
      </c>
      <c r="BF12" s="197"/>
      <c r="BG12" s="197">
        <f>BD12+BE12+BF12</f>
        <v>5106.0919999999996</v>
      </c>
      <c r="BH12" s="197">
        <f t="shared" ref="BH12:BH27" si="8">BA12-BG12</f>
        <v>-5049.8086666666659</v>
      </c>
      <c r="BI12" s="197">
        <f t="shared" ref="BI12:BI27" si="9">BC12-BG12</f>
        <v>-4829.8086666666659</v>
      </c>
      <c r="BJ12" s="1016">
        <f>BA12/((1+$B$4)^(AX12-1))</f>
        <v>56.283333333333324</v>
      </c>
      <c r="BK12" s="213">
        <f>BB12/((1+$B$4)^(AX12-1))</f>
        <v>220</v>
      </c>
      <c r="BL12" s="213">
        <f>BG12/((1+$B$4)^(AX12-1))</f>
        <v>5106.0919999999996</v>
      </c>
      <c r="BM12" s="213">
        <f>BH12/((1+$B$4)^(AX12-1))</f>
        <v>-5049.8086666666659</v>
      </c>
      <c r="BN12" s="908">
        <f>BI12/((1+$B$4)^(AX12-1))</f>
        <v>-4829.8086666666659</v>
      </c>
      <c r="BO12" s="196">
        <f>BJ12</f>
        <v>56.283333333333324</v>
      </c>
      <c r="BP12" s="197">
        <f>BK12</f>
        <v>220</v>
      </c>
      <c r="BQ12" s="197">
        <f>BL12</f>
        <v>5106.0919999999996</v>
      </c>
      <c r="BR12" s="197">
        <f>BM12</f>
        <v>-5049.8086666666659</v>
      </c>
      <c r="BS12" s="199">
        <f>BN12</f>
        <v>-4829.8086666666659</v>
      </c>
      <c r="BV12" s="880">
        <v>1</v>
      </c>
      <c r="BW12" s="197">
        <f t="shared" ref="BW12:BW27" si="10">$C12</f>
        <v>2.0466666666666664</v>
      </c>
      <c r="BX12" s="197">
        <f>'Energy Inputs'!$F$58*$BX$8</f>
        <v>110</v>
      </c>
      <c r="BY12" s="197">
        <f>BW12*BX12</f>
        <v>225.1333333333333</v>
      </c>
      <c r="BZ12" s="197">
        <f>'Margins summary'!$U$14</f>
        <v>220</v>
      </c>
      <c r="CA12" s="197">
        <f>BY12+BZ12</f>
        <v>445.13333333333333</v>
      </c>
      <c r="CB12" s="197">
        <f>'Margins summary'!$T$20</f>
        <v>5106.0919999999996</v>
      </c>
      <c r="CC12" s="897">
        <f>'Energy NPV'!U65</f>
        <v>0</v>
      </c>
      <c r="CD12" s="197"/>
      <c r="CE12" s="197">
        <f t="shared" ref="CE12:CE27" si="11">CB12+CC12+CD12</f>
        <v>5106.0919999999996</v>
      </c>
      <c r="CF12" s="197">
        <f t="shared" ref="CF12:CF27" si="12">BY12-CE12</f>
        <v>-4880.9586666666664</v>
      </c>
      <c r="CG12" s="197">
        <f t="shared" ref="CG12:CG27" si="13">CA12-CE12</f>
        <v>-4660.9586666666664</v>
      </c>
      <c r="CH12" s="1016">
        <f>BY12/((1+$B$4)^(BV12-1))</f>
        <v>225.1333333333333</v>
      </c>
      <c r="CI12" s="213">
        <f>BZ12/((1+$B$4)^(BV12-1))</f>
        <v>220</v>
      </c>
      <c r="CJ12" s="213">
        <f>CE12/((1+$B$4)^(BV12-1))</f>
        <v>5106.0919999999996</v>
      </c>
      <c r="CK12" s="213">
        <f>CF12/((1+$B$4)^(BV12-1))</f>
        <v>-4880.9586666666664</v>
      </c>
      <c r="CL12" s="908">
        <f>CG12/((1+$B$4)^(BV12-1))</f>
        <v>-4660.9586666666664</v>
      </c>
      <c r="CM12" s="196">
        <f>CH12</f>
        <v>225.1333333333333</v>
      </c>
      <c r="CN12" s="197">
        <f>CI12</f>
        <v>220</v>
      </c>
      <c r="CO12" s="197">
        <f>CJ12</f>
        <v>5106.0919999999996</v>
      </c>
      <c r="CP12" s="197">
        <f>CK12</f>
        <v>-4880.9586666666664</v>
      </c>
      <c r="CQ12" s="199">
        <f>CL12</f>
        <v>-4660.9586666666664</v>
      </c>
      <c r="CT12" s="204">
        <v>1</v>
      </c>
      <c r="CU12" s="197">
        <f t="shared" ref="CU12:CU27" si="14">$C12</f>
        <v>2.0466666666666664</v>
      </c>
      <c r="CV12" s="197">
        <f>'Energy Inputs'!$F$58*$CV$8</f>
        <v>0</v>
      </c>
      <c r="CW12" s="197">
        <f>CU12*CV12</f>
        <v>0</v>
      </c>
      <c r="CX12" s="197">
        <f>'Margins summary'!$U$14</f>
        <v>220</v>
      </c>
      <c r="CY12" s="197">
        <f>CW12+CX12</f>
        <v>220</v>
      </c>
      <c r="CZ12" s="197">
        <f>'Margins summary'!$T$20</f>
        <v>5106.0919999999996</v>
      </c>
      <c r="DA12" s="897">
        <f>'Energy NPV'!U65</f>
        <v>0</v>
      </c>
      <c r="DB12" s="197"/>
      <c r="DC12" s="197">
        <f t="shared" ref="DC12:DC27" si="15">CZ12+DA12+DB12</f>
        <v>5106.0919999999996</v>
      </c>
      <c r="DD12" s="197">
        <f t="shared" ref="DD12:DD27" si="16">CW12-DC12</f>
        <v>-5106.0919999999996</v>
      </c>
      <c r="DE12" s="197">
        <f t="shared" ref="DE12:DE27" si="17">CY12-DC12</f>
        <v>-4886.0919999999996</v>
      </c>
      <c r="DF12" s="1016">
        <f>CW12/((1+$B$4)^(CT12-1))</f>
        <v>0</v>
      </c>
      <c r="DG12" s="213">
        <f>CX12/((1+$B$4)^(CT12-1))</f>
        <v>220</v>
      </c>
      <c r="DH12" s="213">
        <f>DC12/((1+$B$4)^(CT12-1))</f>
        <v>5106.0919999999996</v>
      </c>
      <c r="DI12" s="213">
        <f>DD12/((1+$B$4)^(CT12-1))</f>
        <v>-5106.0919999999996</v>
      </c>
      <c r="DJ12" s="908">
        <f>DE12/((1+$B$4)^(CT12-1))</f>
        <v>-4886.0919999999996</v>
      </c>
      <c r="DK12" s="196">
        <f>DF12</f>
        <v>0</v>
      </c>
      <c r="DL12" s="197">
        <f>DG12</f>
        <v>220</v>
      </c>
      <c r="DM12" s="197">
        <f>DH12</f>
        <v>5106.0919999999996</v>
      </c>
      <c r="DN12" s="197">
        <f>DI12</f>
        <v>-5106.0919999999996</v>
      </c>
      <c r="DO12" s="199">
        <f>DJ12</f>
        <v>-4886.0919999999996</v>
      </c>
    </row>
    <row r="13" spans="1:177" x14ac:dyDescent="0.3">
      <c r="B13" s="204">
        <v>2</v>
      </c>
      <c r="C13" s="197">
        <f>'Energy NPV'!D66</f>
        <v>8.27</v>
      </c>
      <c r="D13" s="197">
        <f>'Energy Inputs'!$F$58*$E$8</f>
        <v>55</v>
      </c>
      <c r="E13" s="197">
        <f t="shared" ref="E13:E27" si="18">C13*D13</f>
        <v>454.84999999999997</v>
      </c>
      <c r="F13" s="197">
        <f>'Margins summary'!$U$14</f>
        <v>220</v>
      </c>
      <c r="G13" s="197">
        <f t="shared" ref="G13:G27" si="19">E13+F13</f>
        <v>674.84999999999991</v>
      </c>
      <c r="H13" s="197"/>
      <c r="I13" s="897">
        <f>'Energy NPV'!U66</f>
        <v>439.04199999999997</v>
      </c>
      <c r="J13" s="197"/>
      <c r="K13" s="197">
        <f t="shared" si="0"/>
        <v>439.04199999999997</v>
      </c>
      <c r="L13" s="197">
        <f t="shared" si="1"/>
        <v>15.807999999999993</v>
      </c>
      <c r="M13" s="197">
        <f t="shared" si="2"/>
        <v>235.80799999999994</v>
      </c>
      <c r="N13" s="196">
        <f t="shared" ref="N13:N27" si="20">E13/((1+$B$4)^(B13-1))</f>
        <v>437.35576923076917</v>
      </c>
      <c r="O13" s="197">
        <f t="shared" ref="O13:O27" si="21">F13/((1+$B$4)^(B13-1))</f>
        <v>211.53846153846152</v>
      </c>
      <c r="P13" s="197">
        <f t="shared" ref="P13:P27" si="22">K13/((1+$B$4)^(B13-1))</f>
        <v>422.15576923076918</v>
      </c>
      <c r="Q13" s="197">
        <f t="shared" ref="Q13:Q27" si="23">L13/((1+$B$4)^(B13-1))</f>
        <v>15.199999999999992</v>
      </c>
      <c r="R13" s="199">
        <f t="shared" ref="R13:R27" si="24">M13/((1+$B$4)^(B13-1))</f>
        <v>226.73846153846148</v>
      </c>
      <c r="S13" s="196">
        <f>S12+N13</f>
        <v>549.92243589743578</v>
      </c>
      <c r="T13" s="197">
        <f>T12+O13</f>
        <v>431.53846153846155</v>
      </c>
      <c r="U13" s="197">
        <f>U12+P13</f>
        <v>5528.2477692307684</v>
      </c>
      <c r="V13" s="197">
        <f>V12+Q13</f>
        <v>-4978.3253333333332</v>
      </c>
      <c r="W13" s="199">
        <f>W12+R13</f>
        <v>-4546.7868717948713</v>
      </c>
      <c r="Z13" s="881">
        <v>2</v>
      </c>
      <c r="AA13" s="197">
        <f t="shared" si="3"/>
        <v>8.27</v>
      </c>
      <c r="AB13" s="197">
        <f>'Energy Inputs'!$F$58*$AB$8</f>
        <v>82.5</v>
      </c>
      <c r="AC13" s="197">
        <f t="shared" ref="AC13:AC26" si="25">AA13*AB13</f>
        <v>682.27499999999998</v>
      </c>
      <c r="AD13" s="197">
        <f>'Margins summary'!$U$14</f>
        <v>220</v>
      </c>
      <c r="AE13" s="197">
        <f t="shared" ref="AE13:AE27" si="26">AC13+AD13</f>
        <v>902.27499999999998</v>
      </c>
      <c r="AF13" s="197"/>
      <c r="AG13" s="897">
        <f>'Energy NPV'!U66</f>
        <v>439.04199999999997</v>
      </c>
      <c r="AH13" s="197"/>
      <c r="AI13" s="197">
        <f t="shared" si="4"/>
        <v>439.04199999999997</v>
      </c>
      <c r="AJ13" s="197">
        <f t="shared" si="5"/>
        <v>243.233</v>
      </c>
      <c r="AK13" s="197">
        <f t="shared" si="6"/>
        <v>463.233</v>
      </c>
      <c r="AL13" s="196">
        <f t="shared" ref="AL13:AL27" si="27">AC13/((1+$B$4)^(Z13-1))</f>
        <v>656.03365384615381</v>
      </c>
      <c r="AM13" s="197">
        <f t="shared" ref="AM13:AM27" si="28">AD13/((1+$B$4)^(Z13-1))</f>
        <v>211.53846153846152</v>
      </c>
      <c r="AN13" s="197">
        <f t="shared" ref="AN13:AN27" si="29">AI13/((1+$B$4)^(Z13-1))</f>
        <v>422.15576923076918</v>
      </c>
      <c r="AO13" s="197">
        <f t="shared" ref="AO13:AO27" si="30">AJ13/((1+$B$4)^(Z13-1))</f>
        <v>233.8778846153846</v>
      </c>
      <c r="AP13" s="199">
        <f t="shared" ref="AP13:AP27" si="31">AK13/((1+$B$4)^(Z13-1))</f>
        <v>445.41634615384612</v>
      </c>
      <c r="AQ13" s="196">
        <f>AQ12+AL13</f>
        <v>824.88365384615372</v>
      </c>
      <c r="AR13" s="197">
        <f t="shared" ref="AR13:AR27" si="32">AR12+AM13</f>
        <v>431.53846153846155</v>
      </c>
      <c r="AS13" s="197">
        <f t="shared" ref="AS13:AS27" si="33">AS12+AN13</f>
        <v>5528.2477692307684</v>
      </c>
      <c r="AT13" s="197">
        <f t="shared" ref="AT13:AT27" si="34">AT12+AO13</f>
        <v>-4703.3641153846147</v>
      </c>
      <c r="AU13" s="199">
        <f t="shared" ref="AU13:AU27" si="35">AU12+AP13</f>
        <v>-4271.8256538461528</v>
      </c>
      <c r="AX13" s="881">
        <v>2</v>
      </c>
      <c r="AY13" s="197">
        <f t="shared" si="7"/>
        <v>8.27</v>
      </c>
      <c r="AZ13" s="197">
        <f>'Energy Inputs'!$F$58*$AZ$8</f>
        <v>27.5</v>
      </c>
      <c r="BA13" s="197">
        <f t="shared" ref="BA13:BA27" si="36">AY13*AZ13</f>
        <v>227.42499999999998</v>
      </c>
      <c r="BB13" s="197">
        <f>'Margins summary'!$U$14</f>
        <v>220</v>
      </c>
      <c r="BC13" s="197">
        <f t="shared" ref="BC13:BC27" si="37">BA13+BB13</f>
        <v>447.42499999999995</v>
      </c>
      <c r="BD13" s="197"/>
      <c r="BE13" s="897">
        <f>'Energy NPV'!U66</f>
        <v>439.04199999999997</v>
      </c>
      <c r="BF13" s="197"/>
      <c r="BG13" s="197">
        <f t="shared" ref="BG13:BG27" si="38">BD13+BE13+BF13</f>
        <v>439.04199999999997</v>
      </c>
      <c r="BH13" s="197">
        <f t="shared" si="8"/>
        <v>-211.61699999999999</v>
      </c>
      <c r="BI13" s="197">
        <f t="shared" si="9"/>
        <v>8.3829999999999814</v>
      </c>
      <c r="BJ13" s="196">
        <f t="shared" ref="BJ13:BJ27" si="39">BA13/((1+$B$4)^(AX13-1))</f>
        <v>218.67788461538458</v>
      </c>
      <c r="BK13" s="197">
        <f t="shared" ref="BK13:BK27" si="40">BB13/((1+$B$4)^(AX13-1))</f>
        <v>211.53846153846152</v>
      </c>
      <c r="BL13" s="197">
        <f t="shared" ref="BL13:BL27" si="41">BG13/((1+$B$4)^(AX13-1))</f>
        <v>422.15576923076918</v>
      </c>
      <c r="BM13" s="197">
        <f t="shared" ref="BM13:BM27" si="42">BH13/((1+$B$4)^(AX13-1))</f>
        <v>-203.4778846153846</v>
      </c>
      <c r="BN13" s="199">
        <f t="shared" ref="BN13:BN27" si="43">BI13/((1+$B$4)^(AX13-1))</f>
        <v>8.0605769230769049</v>
      </c>
      <c r="BO13" s="196">
        <f>BO12+BJ13</f>
        <v>274.96121794871789</v>
      </c>
      <c r="BP13" s="197">
        <f t="shared" ref="BP13:BP27" si="44">BP12+BK13</f>
        <v>431.53846153846155</v>
      </c>
      <c r="BQ13" s="197">
        <f t="shared" ref="BQ13:BQ27" si="45">BQ12+BL13</f>
        <v>5528.2477692307684</v>
      </c>
      <c r="BR13" s="197">
        <f t="shared" ref="BR13:BR27" si="46">BR12+BM13</f>
        <v>-5253.2865512820508</v>
      </c>
      <c r="BS13" s="199">
        <f t="shared" ref="BS13:BS27" si="47">BS12+BN13</f>
        <v>-4821.7480897435889</v>
      </c>
      <c r="BV13" s="881">
        <v>2</v>
      </c>
      <c r="BW13" s="197">
        <f t="shared" si="10"/>
        <v>8.27</v>
      </c>
      <c r="BX13" s="197">
        <f>'Energy Inputs'!$F$58*$BX$8</f>
        <v>110</v>
      </c>
      <c r="BY13" s="197">
        <f t="shared" ref="BY13:BY27" si="48">BW13*BX13</f>
        <v>909.69999999999993</v>
      </c>
      <c r="BZ13" s="197">
        <f>'Margins summary'!$U$14</f>
        <v>220</v>
      </c>
      <c r="CA13" s="197">
        <f t="shared" ref="CA13:CA27" si="49">BY13+BZ13</f>
        <v>1129.6999999999998</v>
      </c>
      <c r="CB13" s="197"/>
      <c r="CC13" s="897">
        <f>'Energy NPV'!U66</f>
        <v>439.04199999999997</v>
      </c>
      <c r="CD13" s="197"/>
      <c r="CE13" s="197">
        <f t="shared" si="11"/>
        <v>439.04199999999997</v>
      </c>
      <c r="CF13" s="197">
        <f t="shared" si="12"/>
        <v>470.65799999999996</v>
      </c>
      <c r="CG13" s="197">
        <f t="shared" si="13"/>
        <v>690.6579999999999</v>
      </c>
      <c r="CH13" s="196">
        <f t="shared" ref="CH13:CH27" si="50">BY13/((1+$B$4)^(BV13-1))</f>
        <v>874.71153846153834</v>
      </c>
      <c r="CI13" s="197">
        <f t="shared" ref="CI13:CI27" si="51">BZ13/((1+$B$4)^(BV13-1))</f>
        <v>211.53846153846152</v>
      </c>
      <c r="CJ13" s="197">
        <f t="shared" ref="CJ13:CJ27" si="52">CE13/((1+$B$4)^(BV13-1))</f>
        <v>422.15576923076918</v>
      </c>
      <c r="CK13" s="197">
        <f t="shared" ref="CK13:CK27" si="53">CF13/((1+$B$4)^(BV13-1))</f>
        <v>452.55576923076916</v>
      </c>
      <c r="CL13" s="199">
        <f t="shared" ref="CL13:CL27" si="54">CG13/((1+$B$4)^(BV13-1))</f>
        <v>664.09423076923065</v>
      </c>
      <c r="CM13" s="196">
        <f>CM12+CH13</f>
        <v>1099.8448717948716</v>
      </c>
      <c r="CN13" s="197">
        <f t="shared" ref="CN13:CN27" si="55">CN12+CI13</f>
        <v>431.53846153846155</v>
      </c>
      <c r="CO13" s="197">
        <f t="shared" ref="CO13:CO27" si="56">CO12+CJ13</f>
        <v>5528.2477692307684</v>
      </c>
      <c r="CP13" s="197">
        <f t="shared" ref="CP13:CP27" si="57">CP12+CK13</f>
        <v>-4428.4028974358971</v>
      </c>
      <c r="CQ13" s="199">
        <f t="shared" ref="CQ13:CQ27" si="58">CQ12+CL13</f>
        <v>-3996.8644358974357</v>
      </c>
      <c r="CT13" s="204">
        <v>2</v>
      </c>
      <c r="CU13" s="197">
        <f t="shared" si="14"/>
        <v>8.27</v>
      </c>
      <c r="CV13" s="197">
        <f>'Energy Inputs'!$F$58*$CV$8</f>
        <v>0</v>
      </c>
      <c r="CW13" s="197">
        <f t="shared" ref="CW13:CW27" si="59">CU13*CV13</f>
        <v>0</v>
      </c>
      <c r="CX13" s="197">
        <f>'Margins summary'!$U$14</f>
        <v>220</v>
      </c>
      <c r="CY13" s="197">
        <f t="shared" ref="CY13:CY27" si="60">CW13+CX13</f>
        <v>220</v>
      </c>
      <c r="CZ13" s="197"/>
      <c r="DA13" s="897">
        <f>'Energy NPV'!U66</f>
        <v>439.04199999999997</v>
      </c>
      <c r="DB13" s="197"/>
      <c r="DC13" s="197">
        <f t="shared" si="15"/>
        <v>439.04199999999997</v>
      </c>
      <c r="DD13" s="197">
        <f t="shared" si="16"/>
        <v>-439.04199999999997</v>
      </c>
      <c r="DE13" s="197">
        <f t="shared" si="17"/>
        <v>-219.04199999999997</v>
      </c>
      <c r="DF13" s="196">
        <f t="shared" ref="DF13:DF27" si="61">CW13/((1+$B$4)^(CT13-1))</f>
        <v>0</v>
      </c>
      <c r="DG13" s="197">
        <f t="shared" ref="DG13:DG27" si="62">CX13/((1+$B$4)^(CT13-1))</f>
        <v>211.53846153846152</v>
      </c>
      <c r="DH13" s="197">
        <f t="shared" ref="DH13:DH27" si="63">DC13/((1+$B$4)^(CT13-1))</f>
        <v>422.15576923076918</v>
      </c>
      <c r="DI13" s="197">
        <f t="shared" ref="DI13:DI27" si="64">DD13/((1+$B$4)^(CT13-1))</f>
        <v>-422.15576923076918</v>
      </c>
      <c r="DJ13" s="199">
        <f t="shared" ref="DJ13:DJ26" si="65">DE13/((1+$B$4)^(CT13-1))</f>
        <v>-210.61730769230766</v>
      </c>
      <c r="DK13" s="196">
        <f>DK12+DF13</f>
        <v>0</v>
      </c>
      <c r="DL13" s="197">
        <f t="shared" ref="DL13:DL27" si="66">DL12+DG13</f>
        <v>431.53846153846155</v>
      </c>
      <c r="DM13" s="197">
        <f t="shared" ref="DM13:DM27" si="67">DM12+DH13</f>
        <v>5528.2477692307684</v>
      </c>
      <c r="DN13" s="197">
        <f t="shared" ref="DN13:DN27" si="68">DN12+DI13</f>
        <v>-5528.2477692307684</v>
      </c>
      <c r="DO13" s="199">
        <f t="shared" ref="DO13:DO27" si="69">DO12+DJ13</f>
        <v>-5096.7093076923074</v>
      </c>
    </row>
    <row r="14" spans="1:177" x14ac:dyDescent="0.3">
      <c r="B14" s="204">
        <f t="shared" ref="B14:B27" si="70">B13+1</f>
        <v>3</v>
      </c>
      <c r="C14" s="197">
        <f>'Energy NPV'!D67</f>
        <v>10.926666666666668</v>
      </c>
      <c r="D14" s="197">
        <f>'Energy Inputs'!$F$58*$E$8</f>
        <v>55</v>
      </c>
      <c r="E14" s="197">
        <f t="shared" si="18"/>
        <v>600.9666666666667</v>
      </c>
      <c r="F14" s="197">
        <f>'Margins summary'!$U$14</f>
        <v>220</v>
      </c>
      <c r="G14" s="197">
        <f t="shared" si="19"/>
        <v>820.9666666666667</v>
      </c>
      <c r="H14" s="197"/>
      <c r="I14" s="897">
        <f>'Energy NPV'!U67</f>
        <v>439.04199999999997</v>
      </c>
      <c r="J14" s="197"/>
      <c r="K14" s="197">
        <f t="shared" si="0"/>
        <v>439.04199999999997</v>
      </c>
      <c r="L14" s="197">
        <f t="shared" si="1"/>
        <v>161.92466666666672</v>
      </c>
      <c r="M14" s="197">
        <f t="shared" si="2"/>
        <v>381.92466666666672</v>
      </c>
      <c r="N14" s="196">
        <f t="shared" si="20"/>
        <v>555.62746548323469</v>
      </c>
      <c r="O14" s="197">
        <f t="shared" si="21"/>
        <v>203.40236686390531</v>
      </c>
      <c r="P14" s="197">
        <f t="shared" si="22"/>
        <v>405.91900887573956</v>
      </c>
      <c r="Q14" s="197">
        <f t="shared" si="23"/>
        <v>149.70845660749509</v>
      </c>
      <c r="R14" s="199">
        <f t="shared" si="24"/>
        <v>353.11082347140041</v>
      </c>
      <c r="S14" s="196">
        <f t="shared" ref="S14:S27" si="71">S13+N14</f>
        <v>1105.5499013806705</v>
      </c>
      <c r="T14" s="197">
        <f t="shared" ref="T14:W27" si="72">T13+O14</f>
        <v>634.94082840236683</v>
      </c>
      <c r="U14" s="197">
        <f t="shared" si="72"/>
        <v>5934.166778106508</v>
      </c>
      <c r="V14" s="197">
        <f t="shared" si="72"/>
        <v>-4828.6168767258378</v>
      </c>
      <c r="W14" s="199">
        <f t="shared" si="72"/>
        <v>-4193.6760483234712</v>
      </c>
      <c r="Z14" s="881">
        <v>3</v>
      </c>
      <c r="AA14" s="197">
        <f t="shared" si="3"/>
        <v>10.926666666666668</v>
      </c>
      <c r="AB14" s="197">
        <f>'Energy Inputs'!$F$58*$AB$8</f>
        <v>82.5</v>
      </c>
      <c r="AC14" s="197">
        <f t="shared" si="25"/>
        <v>901.45</v>
      </c>
      <c r="AD14" s="197">
        <f>'Margins summary'!$U$14</f>
        <v>220</v>
      </c>
      <c r="AE14" s="197">
        <f t="shared" si="26"/>
        <v>1121.45</v>
      </c>
      <c r="AF14" s="197"/>
      <c r="AG14" s="897">
        <f>'Energy NPV'!U67</f>
        <v>439.04199999999997</v>
      </c>
      <c r="AH14" s="197"/>
      <c r="AI14" s="197">
        <f t="shared" si="4"/>
        <v>439.04199999999997</v>
      </c>
      <c r="AJ14" s="197">
        <f t="shared" si="5"/>
        <v>462.40800000000007</v>
      </c>
      <c r="AK14" s="197">
        <f t="shared" si="6"/>
        <v>682.40800000000013</v>
      </c>
      <c r="AL14" s="196">
        <f t="shared" si="27"/>
        <v>833.44119822485197</v>
      </c>
      <c r="AM14" s="197">
        <f t="shared" si="28"/>
        <v>203.40236686390531</v>
      </c>
      <c r="AN14" s="197">
        <f t="shared" si="29"/>
        <v>405.91900887573956</v>
      </c>
      <c r="AO14" s="197">
        <f t="shared" si="30"/>
        <v>427.52218934911247</v>
      </c>
      <c r="AP14" s="199">
        <f t="shared" si="31"/>
        <v>630.92455621301781</v>
      </c>
      <c r="AQ14" s="196">
        <f t="shared" ref="AQ14:AQ27" si="73">AQ13+AL14</f>
        <v>1658.3248520710058</v>
      </c>
      <c r="AR14" s="197">
        <f t="shared" si="32"/>
        <v>634.94082840236683</v>
      </c>
      <c r="AS14" s="197">
        <f t="shared" si="33"/>
        <v>5934.166778106508</v>
      </c>
      <c r="AT14" s="197">
        <f t="shared" si="34"/>
        <v>-4275.8419260355022</v>
      </c>
      <c r="AU14" s="199">
        <f t="shared" si="35"/>
        <v>-3640.9010976331351</v>
      </c>
      <c r="AX14" s="881">
        <v>3</v>
      </c>
      <c r="AY14" s="197">
        <f t="shared" si="7"/>
        <v>10.926666666666668</v>
      </c>
      <c r="AZ14" s="197">
        <f>'Energy Inputs'!$F$58*$AZ$8</f>
        <v>27.5</v>
      </c>
      <c r="BA14" s="197">
        <f t="shared" si="36"/>
        <v>300.48333333333335</v>
      </c>
      <c r="BB14" s="197">
        <f>'Margins summary'!$U$14</f>
        <v>220</v>
      </c>
      <c r="BC14" s="197">
        <f t="shared" si="37"/>
        <v>520.48333333333335</v>
      </c>
      <c r="BD14" s="197"/>
      <c r="BE14" s="897">
        <f>'Energy NPV'!U67</f>
        <v>439.04199999999997</v>
      </c>
      <c r="BF14" s="197"/>
      <c r="BG14" s="197">
        <f t="shared" si="38"/>
        <v>439.04199999999997</v>
      </c>
      <c r="BH14" s="197">
        <f t="shared" si="8"/>
        <v>-138.55866666666662</v>
      </c>
      <c r="BI14" s="197">
        <f t="shared" si="9"/>
        <v>81.441333333333375</v>
      </c>
      <c r="BJ14" s="196">
        <f t="shared" si="39"/>
        <v>277.81373274161734</v>
      </c>
      <c r="BK14" s="197">
        <f t="shared" si="40"/>
        <v>203.40236686390531</v>
      </c>
      <c r="BL14" s="197">
        <f t="shared" si="41"/>
        <v>405.91900887573956</v>
      </c>
      <c r="BM14" s="197">
        <f t="shared" si="42"/>
        <v>-128.10527613412225</v>
      </c>
      <c r="BN14" s="199">
        <f t="shared" si="43"/>
        <v>75.297090729783065</v>
      </c>
      <c r="BO14" s="196">
        <f t="shared" ref="BO14:BO27" si="74">BO13+BJ14</f>
        <v>552.77495069033523</v>
      </c>
      <c r="BP14" s="197">
        <f t="shared" si="44"/>
        <v>634.94082840236683</v>
      </c>
      <c r="BQ14" s="197">
        <f t="shared" si="45"/>
        <v>5934.166778106508</v>
      </c>
      <c r="BR14" s="197">
        <f t="shared" si="46"/>
        <v>-5381.3918274161733</v>
      </c>
      <c r="BS14" s="199">
        <f t="shared" si="47"/>
        <v>-4746.4509990138058</v>
      </c>
      <c r="BV14" s="881">
        <v>3</v>
      </c>
      <c r="BW14" s="197">
        <f t="shared" si="10"/>
        <v>10.926666666666668</v>
      </c>
      <c r="BX14" s="197">
        <f>'Energy Inputs'!$F$58*$BX$8</f>
        <v>110</v>
      </c>
      <c r="BY14" s="197">
        <f t="shared" si="48"/>
        <v>1201.9333333333334</v>
      </c>
      <c r="BZ14" s="197">
        <f>'Margins summary'!$U$14</f>
        <v>220</v>
      </c>
      <c r="CA14" s="197">
        <f t="shared" si="49"/>
        <v>1421.9333333333334</v>
      </c>
      <c r="CB14" s="197"/>
      <c r="CC14" s="897">
        <f>'Energy NPV'!U67</f>
        <v>439.04199999999997</v>
      </c>
      <c r="CD14" s="197"/>
      <c r="CE14" s="197">
        <f t="shared" si="11"/>
        <v>439.04199999999997</v>
      </c>
      <c r="CF14" s="197">
        <f t="shared" si="12"/>
        <v>762.89133333333348</v>
      </c>
      <c r="CG14" s="197">
        <f t="shared" si="13"/>
        <v>982.89133333333348</v>
      </c>
      <c r="CH14" s="196">
        <f t="shared" si="50"/>
        <v>1111.2549309664694</v>
      </c>
      <c r="CI14" s="197">
        <f t="shared" si="51"/>
        <v>203.40236686390531</v>
      </c>
      <c r="CJ14" s="197">
        <f t="shared" si="52"/>
        <v>405.91900887573956</v>
      </c>
      <c r="CK14" s="197">
        <f t="shared" si="53"/>
        <v>705.33592209072981</v>
      </c>
      <c r="CL14" s="199">
        <f t="shared" si="54"/>
        <v>908.7382889546351</v>
      </c>
      <c r="CM14" s="196">
        <f t="shared" ref="CM14:CM27" si="75">CM13+CH14</f>
        <v>2211.0998027613409</v>
      </c>
      <c r="CN14" s="197">
        <f t="shared" si="55"/>
        <v>634.94082840236683</v>
      </c>
      <c r="CO14" s="197">
        <f t="shared" si="56"/>
        <v>5934.166778106508</v>
      </c>
      <c r="CP14" s="197">
        <f t="shared" si="57"/>
        <v>-3723.0669753451675</v>
      </c>
      <c r="CQ14" s="199">
        <f t="shared" si="58"/>
        <v>-3088.1261469428005</v>
      </c>
      <c r="CT14" s="204">
        <f t="shared" ref="CT14:CT27" si="76">CT13+1</f>
        <v>3</v>
      </c>
      <c r="CU14" s="197">
        <f t="shared" si="14"/>
        <v>10.926666666666668</v>
      </c>
      <c r="CV14" s="197">
        <f>'Energy Inputs'!$F$58*$CV$8</f>
        <v>0</v>
      </c>
      <c r="CW14" s="197">
        <f t="shared" si="59"/>
        <v>0</v>
      </c>
      <c r="CX14" s="197">
        <f>'Margins summary'!$U$14</f>
        <v>220</v>
      </c>
      <c r="CY14" s="197">
        <f t="shared" si="60"/>
        <v>220</v>
      </c>
      <c r="CZ14" s="197"/>
      <c r="DA14" s="897">
        <f>'Energy NPV'!U67</f>
        <v>439.04199999999997</v>
      </c>
      <c r="DB14" s="197"/>
      <c r="DC14" s="197">
        <f t="shared" si="15"/>
        <v>439.04199999999997</v>
      </c>
      <c r="DD14" s="197">
        <f t="shared" si="16"/>
        <v>-439.04199999999997</v>
      </c>
      <c r="DE14" s="197">
        <f t="shared" si="17"/>
        <v>-219.04199999999997</v>
      </c>
      <c r="DF14" s="196">
        <f t="shared" si="61"/>
        <v>0</v>
      </c>
      <c r="DG14" s="197">
        <f t="shared" si="62"/>
        <v>203.40236686390531</v>
      </c>
      <c r="DH14" s="197">
        <f t="shared" si="63"/>
        <v>405.91900887573956</v>
      </c>
      <c r="DI14" s="197">
        <f t="shared" si="64"/>
        <v>-405.91900887573956</v>
      </c>
      <c r="DJ14" s="199">
        <f t="shared" si="65"/>
        <v>-202.51664201183428</v>
      </c>
      <c r="DK14" s="196">
        <f t="shared" ref="DK14:DK27" si="77">DK13+DF14</f>
        <v>0</v>
      </c>
      <c r="DL14" s="197">
        <f t="shared" si="66"/>
        <v>634.94082840236683</v>
      </c>
      <c r="DM14" s="197">
        <f t="shared" si="67"/>
        <v>5934.166778106508</v>
      </c>
      <c r="DN14" s="197">
        <f t="shared" si="68"/>
        <v>-5934.166778106508</v>
      </c>
      <c r="DO14" s="199">
        <f t="shared" si="69"/>
        <v>-5299.2259497041414</v>
      </c>
    </row>
    <row r="15" spans="1:177" x14ac:dyDescent="0.3">
      <c r="B15" s="204">
        <f t="shared" si="70"/>
        <v>4</v>
      </c>
      <c r="C15" s="197">
        <f>'Energy NPV'!D68</f>
        <v>11.617000000000001</v>
      </c>
      <c r="D15" s="197">
        <f>'Energy Inputs'!$F$58*$E$8</f>
        <v>55</v>
      </c>
      <c r="E15" s="197">
        <f t="shared" si="18"/>
        <v>638.93500000000006</v>
      </c>
      <c r="F15" s="197">
        <f>'Margins summary'!$U$14</f>
        <v>220</v>
      </c>
      <c r="G15" s="197">
        <f t="shared" si="19"/>
        <v>858.93500000000006</v>
      </c>
      <c r="H15" s="197"/>
      <c r="I15" s="897">
        <f>'Energy NPV'!U68</f>
        <v>278.04200000000003</v>
      </c>
      <c r="J15" s="197"/>
      <c r="K15" s="197">
        <f t="shared" si="0"/>
        <v>278.04200000000003</v>
      </c>
      <c r="L15" s="197">
        <f t="shared" si="1"/>
        <v>360.89300000000003</v>
      </c>
      <c r="M15" s="197">
        <f t="shared" si="2"/>
        <v>580.89300000000003</v>
      </c>
      <c r="N15" s="196">
        <f t="shared" si="20"/>
        <v>568.01088842740103</v>
      </c>
      <c r="O15" s="197">
        <f t="shared" si="21"/>
        <v>195.57919890760127</v>
      </c>
      <c r="P15" s="197">
        <f t="shared" si="22"/>
        <v>247.17832555757852</v>
      </c>
      <c r="Q15" s="197">
        <f t="shared" si="23"/>
        <v>320.83256286982248</v>
      </c>
      <c r="R15" s="199">
        <f t="shared" si="24"/>
        <v>516.41176177742375</v>
      </c>
      <c r="S15" s="196">
        <f t="shared" si="71"/>
        <v>1673.5607898080716</v>
      </c>
      <c r="T15" s="197">
        <f t="shared" si="72"/>
        <v>830.5200273099681</v>
      </c>
      <c r="U15" s="197">
        <f t="shared" si="72"/>
        <v>6181.3451036640863</v>
      </c>
      <c r="V15" s="197">
        <f t="shared" si="72"/>
        <v>-4507.7843138560156</v>
      </c>
      <c r="W15" s="199">
        <f t="shared" si="72"/>
        <v>-3677.2642865460475</v>
      </c>
      <c r="Z15" s="881">
        <v>4</v>
      </c>
      <c r="AA15" s="197">
        <f t="shared" si="3"/>
        <v>11.617000000000001</v>
      </c>
      <c r="AB15" s="197">
        <f>'Energy Inputs'!$F$58*$AB$8</f>
        <v>82.5</v>
      </c>
      <c r="AC15" s="197">
        <f t="shared" si="25"/>
        <v>958.40250000000003</v>
      </c>
      <c r="AD15" s="197">
        <f>'Margins summary'!$U$14</f>
        <v>220</v>
      </c>
      <c r="AE15" s="197">
        <f t="shared" si="26"/>
        <v>1178.4025000000001</v>
      </c>
      <c r="AF15" s="197"/>
      <c r="AG15" s="897">
        <f>'Energy NPV'!U68</f>
        <v>278.04200000000003</v>
      </c>
      <c r="AH15" s="197"/>
      <c r="AI15" s="197">
        <f t="shared" si="4"/>
        <v>278.04200000000003</v>
      </c>
      <c r="AJ15" s="197">
        <f t="shared" si="5"/>
        <v>680.3605</v>
      </c>
      <c r="AK15" s="197">
        <f t="shared" si="6"/>
        <v>900.36050000000012</v>
      </c>
      <c r="AL15" s="196">
        <f t="shared" si="27"/>
        <v>852.01633264110149</v>
      </c>
      <c r="AM15" s="197">
        <f t="shared" si="28"/>
        <v>195.57919890760127</v>
      </c>
      <c r="AN15" s="197">
        <f t="shared" si="29"/>
        <v>247.17832555757852</v>
      </c>
      <c r="AO15" s="197">
        <f t="shared" si="30"/>
        <v>604.83800708352294</v>
      </c>
      <c r="AP15" s="199">
        <f t="shared" si="31"/>
        <v>800.41720599112432</v>
      </c>
      <c r="AQ15" s="196">
        <f t="shared" si="73"/>
        <v>2510.3411847121074</v>
      </c>
      <c r="AR15" s="197">
        <f t="shared" si="32"/>
        <v>830.5200273099681</v>
      </c>
      <c r="AS15" s="197">
        <f t="shared" si="33"/>
        <v>6181.3451036640863</v>
      </c>
      <c r="AT15" s="197">
        <f t="shared" si="34"/>
        <v>-3671.0039189519794</v>
      </c>
      <c r="AU15" s="199">
        <f t="shared" si="35"/>
        <v>-2840.4838916420108</v>
      </c>
      <c r="AX15" s="881">
        <v>4</v>
      </c>
      <c r="AY15" s="197">
        <f t="shared" si="7"/>
        <v>11.617000000000001</v>
      </c>
      <c r="AZ15" s="197">
        <f>'Energy Inputs'!$F$58*$AZ$8</f>
        <v>27.5</v>
      </c>
      <c r="BA15" s="197">
        <f t="shared" si="36"/>
        <v>319.46750000000003</v>
      </c>
      <c r="BB15" s="197">
        <f>'Margins summary'!$U$14</f>
        <v>220</v>
      </c>
      <c r="BC15" s="197">
        <f t="shared" si="37"/>
        <v>539.46749999999997</v>
      </c>
      <c r="BD15" s="197"/>
      <c r="BE15" s="897">
        <f>'Energy NPV'!U68</f>
        <v>278.04200000000003</v>
      </c>
      <c r="BF15" s="197"/>
      <c r="BG15" s="197">
        <f t="shared" si="38"/>
        <v>278.04200000000003</v>
      </c>
      <c r="BH15" s="197">
        <f t="shared" si="8"/>
        <v>41.4255</v>
      </c>
      <c r="BI15" s="197">
        <f t="shared" si="9"/>
        <v>261.42549999999994</v>
      </c>
      <c r="BJ15" s="196">
        <f t="shared" si="39"/>
        <v>284.00544421370051</v>
      </c>
      <c r="BK15" s="197">
        <f t="shared" si="40"/>
        <v>195.57919890760127</v>
      </c>
      <c r="BL15" s="197">
        <f t="shared" si="41"/>
        <v>247.17832555757852</v>
      </c>
      <c r="BM15" s="197">
        <f t="shared" si="42"/>
        <v>36.827118656121982</v>
      </c>
      <c r="BN15" s="199">
        <f t="shared" si="43"/>
        <v>232.40631756372318</v>
      </c>
      <c r="BO15" s="196">
        <f t="shared" si="74"/>
        <v>836.7803949040358</v>
      </c>
      <c r="BP15" s="197">
        <f t="shared" si="44"/>
        <v>830.5200273099681</v>
      </c>
      <c r="BQ15" s="197">
        <f t="shared" si="45"/>
        <v>6181.3451036640863</v>
      </c>
      <c r="BR15" s="197">
        <f t="shared" si="46"/>
        <v>-5344.564708760051</v>
      </c>
      <c r="BS15" s="199">
        <f t="shared" si="47"/>
        <v>-4514.0446814500829</v>
      </c>
      <c r="BV15" s="881">
        <v>4</v>
      </c>
      <c r="BW15" s="197">
        <f t="shared" si="10"/>
        <v>11.617000000000001</v>
      </c>
      <c r="BX15" s="197">
        <f>'Energy Inputs'!$F$58*$BX$8</f>
        <v>110</v>
      </c>
      <c r="BY15" s="197">
        <f t="shared" si="48"/>
        <v>1277.8700000000001</v>
      </c>
      <c r="BZ15" s="197">
        <f>'Margins summary'!$U$14</f>
        <v>220</v>
      </c>
      <c r="CA15" s="197">
        <f t="shared" si="49"/>
        <v>1497.8700000000001</v>
      </c>
      <c r="CB15" s="197"/>
      <c r="CC15" s="897">
        <f>'Energy NPV'!U68</f>
        <v>278.04200000000003</v>
      </c>
      <c r="CD15" s="197"/>
      <c r="CE15" s="197">
        <f t="shared" si="11"/>
        <v>278.04200000000003</v>
      </c>
      <c r="CF15" s="197">
        <f t="shared" si="12"/>
        <v>999.82800000000009</v>
      </c>
      <c r="CG15" s="197">
        <f t="shared" si="13"/>
        <v>1219.828</v>
      </c>
      <c r="CH15" s="196">
        <f t="shared" si="50"/>
        <v>1136.0217768548021</v>
      </c>
      <c r="CI15" s="197">
        <f t="shared" si="51"/>
        <v>195.57919890760127</v>
      </c>
      <c r="CJ15" s="197">
        <f t="shared" si="52"/>
        <v>247.17832555757852</v>
      </c>
      <c r="CK15" s="197">
        <f t="shared" si="53"/>
        <v>888.84345129722351</v>
      </c>
      <c r="CL15" s="199">
        <f t="shared" si="54"/>
        <v>1084.4226502048245</v>
      </c>
      <c r="CM15" s="196">
        <f t="shared" si="75"/>
        <v>3347.1215796161432</v>
      </c>
      <c r="CN15" s="197">
        <f t="shared" si="55"/>
        <v>830.5200273099681</v>
      </c>
      <c r="CO15" s="197">
        <f t="shared" si="56"/>
        <v>6181.3451036640863</v>
      </c>
      <c r="CP15" s="197">
        <f t="shared" si="57"/>
        <v>-2834.223524047944</v>
      </c>
      <c r="CQ15" s="199">
        <f t="shared" si="58"/>
        <v>-2003.7034967379759</v>
      </c>
      <c r="CT15" s="204">
        <f t="shared" si="76"/>
        <v>4</v>
      </c>
      <c r="CU15" s="197">
        <f t="shared" si="14"/>
        <v>11.617000000000001</v>
      </c>
      <c r="CV15" s="197">
        <f>'Energy Inputs'!$F$58*$CV$8</f>
        <v>0</v>
      </c>
      <c r="CW15" s="197">
        <f t="shared" si="59"/>
        <v>0</v>
      </c>
      <c r="CX15" s="197">
        <f>'Margins summary'!$U$14</f>
        <v>220</v>
      </c>
      <c r="CY15" s="197">
        <f t="shared" si="60"/>
        <v>220</v>
      </c>
      <c r="CZ15" s="197"/>
      <c r="DA15" s="897">
        <f>'Energy NPV'!U68</f>
        <v>278.04200000000003</v>
      </c>
      <c r="DB15" s="197"/>
      <c r="DC15" s="197">
        <f t="shared" si="15"/>
        <v>278.04200000000003</v>
      </c>
      <c r="DD15" s="197">
        <f t="shared" si="16"/>
        <v>-278.04200000000003</v>
      </c>
      <c r="DE15" s="197">
        <f t="shared" si="17"/>
        <v>-58.04200000000003</v>
      </c>
      <c r="DF15" s="196">
        <f t="shared" si="61"/>
        <v>0</v>
      </c>
      <c r="DG15" s="197">
        <f t="shared" si="62"/>
        <v>195.57919890760127</v>
      </c>
      <c r="DH15" s="197">
        <f t="shared" si="63"/>
        <v>247.17832555757852</v>
      </c>
      <c r="DI15" s="197">
        <f t="shared" si="64"/>
        <v>-247.17832555757852</v>
      </c>
      <c r="DJ15" s="199">
        <f t="shared" si="65"/>
        <v>-51.599126649977265</v>
      </c>
      <c r="DK15" s="196">
        <f t="shared" si="77"/>
        <v>0</v>
      </c>
      <c r="DL15" s="197">
        <f t="shared" si="66"/>
        <v>830.5200273099681</v>
      </c>
      <c r="DM15" s="197">
        <f t="shared" si="67"/>
        <v>6181.3451036640863</v>
      </c>
      <c r="DN15" s="197">
        <f t="shared" si="68"/>
        <v>-6181.3451036640863</v>
      </c>
      <c r="DO15" s="199">
        <f t="shared" si="69"/>
        <v>-5350.8250763541182</v>
      </c>
    </row>
    <row r="16" spans="1:177" x14ac:dyDescent="0.3">
      <c r="B16" s="204">
        <f t="shared" si="70"/>
        <v>5</v>
      </c>
      <c r="C16" s="197">
        <f>'Energy NPV'!D69</f>
        <v>11.617000000000001</v>
      </c>
      <c r="D16" s="197">
        <f>'Energy Inputs'!$F$58*$E$8</f>
        <v>55</v>
      </c>
      <c r="E16" s="197">
        <f t="shared" si="18"/>
        <v>638.93500000000006</v>
      </c>
      <c r="F16" s="197">
        <f>'Margins summary'!$U$14</f>
        <v>220</v>
      </c>
      <c r="G16" s="197">
        <f t="shared" si="19"/>
        <v>858.93500000000006</v>
      </c>
      <c r="H16" s="197"/>
      <c r="I16" s="897">
        <f>'Energy NPV'!U69</f>
        <v>278.04200000000003</v>
      </c>
      <c r="J16" s="197"/>
      <c r="K16" s="197">
        <f t="shared" si="0"/>
        <v>278.04200000000003</v>
      </c>
      <c r="L16" s="197">
        <f t="shared" si="1"/>
        <v>360.89300000000003</v>
      </c>
      <c r="M16" s="197">
        <f t="shared" si="2"/>
        <v>580.89300000000003</v>
      </c>
      <c r="N16" s="196">
        <f t="shared" si="20"/>
        <v>546.16431579557786</v>
      </c>
      <c r="O16" s="197">
        <f t="shared" si="21"/>
        <v>188.05692202653967</v>
      </c>
      <c r="P16" s="197">
        <f t="shared" si="22"/>
        <v>237.67146688228701</v>
      </c>
      <c r="Q16" s="197">
        <f t="shared" si="23"/>
        <v>308.4928489132908</v>
      </c>
      <c r="R16" s="199">
        <f t="shared" si="24"/>
        <v>496.54977093983047</v>
      </c>
      <c r="S16" s="196">
        <f t="shared" si="71"/>
        <v>2219.7251056036494</v>
      </c>
      <c r="T16" s="197">
        <f t="shared" si="72"/>
        <v>1018.5769493365078</v>
      </c>
      <c r="U16" s="197">
        <f t="shared" si="72"/>
        <v>6419.0165705463733</v>
      </c>
      <c r="V16" s="197">
        <f t="shared" si="72"/>
        <v>-4199.2914649427248</v>
      </c>
      <c r="W16" s="199">
        <f t="shared" si="72"/>
        <v>-3180.714515606217</v>
      </c>
      <c r="Z16" s="881">
        <v>5</v>
      </c>
      <c r="AA16" s="197">
        <f t="shared" si="3"/>
        <v>11.617000000000001</v>
      </c>
      <c r="AB16" s="197">
        <f>'Energy Inputs'!$F$58*$AB$8</f>
        <v>82.5</v>
      </c>
      <c r="AC16" s="197">
        <f t="shared" si="25"/>
        <v>958.40250000000003</v>
      </c>
      <c r="AD16" s="197">
        <f>'Margins summary'!$U$14</f>
        <v>220</v>
      </c>
      <c r="AE16" s="197">
        <f t="shared" si="26"/>
        <v>1178.4025000000001</v>
      </c>
      <c r="AF16" s="197"/>
      <c r="AG16" s="897">
        <f>'Energy NPV'!U69</f>
        <v>278.04200000000003</v>
      </c>
      <c r="AH16" s="197"/>
      <c r="AI16" s="197">
        <f t="shared" si="4"/>
        <v>278.04200000000003</v>
      </c>
      <c r="AJ16" s="197">
        <f t="shared" si="5"/>
        <v>680.3605</v>
      </c>
      <c r="AK16" s="197">
        <f t="shared" si="6"/>
        <v>900.36050000000012</v>
      </c>
      <c r="AL16" s="196">
        <f t="shared" si="27"/>
        <v>819.24647369336674</v>
      </c>
      <c r="AM16" s="197">
        <f t="shared" si="28"/>
        <v>188.05692202653967</v>
      </c>
      <c r="AN16" s="197">
        <f t="shared" si="29"/>
        <v>237.67146688228701</v>
      </c>
      <c r="AO16" s="197">
        <f t="shared" si="30"/>
        <v>581.57500681107967</v>
      </c>
      <c r="AP16" s="199">
        <f t="shared" si="31"/>
        <v>769.6319288376194</v>
      </c>
      <c r="AQ16" s="196">
        <f t="shared" si="73"/>
        <v>3329.587658405474</v>
      </c>
      <c r="AR16" s="197">
        <f t="shared" si="32"/>
        <v>1018.5769493365078</v>
      </c>
      <c r="AS16" s="197">
        <f t="shared" si="33"/>
        <v>6419.0165705463733</v>
      </c>
      <c r="AT16" s="197">
        <f t="shared" si="34"/>
        <v>-3089.4289121408997</v>
      </c>
      <c r="AU16" s="199">
        <f t="shared" si="35"/>
        <v>-2070.8519628043914</v>
      </c>
      <c r="AX16" s="881">
        <v>5</v>
      </c>
      <c r="AY16" s="197">
        <f t="shared" si="7"/>
        <v>11.617000000000001</v>
      </c>
      <c r="AZ16" s="197">
        <f>'Energy Inputs'!$F$58*$AZ$8</f>
        <v>27.5</v>
      </c>
      <c r="BA16" s="197">
        <f t="shared" si="36"/>
        <v>319.46750000000003</v>
      </c>
      <c r="BB16" s="197">
        <f>'Margins summary'!$U$14</f>
        <v>220</v>
      </c>
      <c r="BC16" s="197">
        <f t="shared" si="37"/>
        <v>539.46749999999997</v>
      </c>
      <c r="BD16" s="197"/>
      <c r="BE16" s="897">
        <f>'Energy NPV'!U69</f>
        <v>278.04200000000003</v>
      </c>
      <c r="BF16" s="197"/>
      <c r="BG16" s="197">
        <f t="shared" si="38"/>
        <v>278.04200000000003</v>
      </c>
      <c r="BH16" s="197">
        <f t="shared" si="8"/>
        <v>41.4255</v>
      </c>
      <c r="BI16" s="197">
        <f t="shared" si="9"/>
        <v>261.42549999999994</v>
      </c>
      <c r="BJ16" s="196">
        <f t="shared" si="39"/>
        <v>273.08215789778893</v>
      </c>
      <c r="BK16" s="197">
        <f t="shared" si="40"/>
        <v>188.05692202653967</v>
      </c>
      <c r="BL16" s="197">
        <f t="shared" si="41"/>
        <v>237.67146688228701</v>
      </c>
      <c r="BM16" s="197">
        <f t="shared" si="42"/>
        <v>35.410691015501904</v>
      </c>
      <c r="BN16" s="199">
        <f t="shared" si="43"/>
        <v>223.46761304204151</v>
      </c>
      <c r="BO16" s="196">
        <f t="shared" si="74"/>
        <v>1109.8625528018247</v>
      </c>
      <c r="BP16" s="197">
        <f t="shared" si="44"/>
        <v>1018.5769493365078</v>
      </c>
      <c r="BQ16" s="197">
        <f t="shared" si="45"/>
        <v>6419.0165705463733</v>
      </c>
      <c r="BR16" s="197">
        <f t="shared" si="46"/>
        <v>-5309.1540177445495</v>
      </c>
      <c r="BS16" s="199">
        <f t="shared" si="47"/>
        <v>-4290.5770684080417</v>
      </c>
      <c r="BV16" s="881">
        <v>5</v>
      </c>
      <c r="BW16" s="197">
        <f t="shared" si="10"/>
        <v>11.617000000000001</v>
      </c>
      <c r="BX16" s="197">
        <f>'Energy Inputs'!$F$58*$BX$8</f>
        <v>110</v>
      </c>
      <c r="BY16" s="197">
        <f t="shared" si="48"/>
        <v>1277.8700000000001</v>
      </c>
      <c r="BZ16" s="197">
        <f>'Margins summary'!$U$14</f>
        <v>220</v>
      </c>
      <c r="CA16" s="197">
        <f t="shared" si="49"/>
        <v>1497.8700000000001</v>
      </c>
      <c r="CB16" s="197"/>
      <c r="CC16" s="897">
        <f>'Energy NPV'!U69</f>
        <v>278.04200000000003</v>
      </c>
      <c r="CD16" s="197"/>
      <c r="CE16" s="197">
        <f t="shared" si="11"/>
        <v>278.04200000000003</v>
      </c>
      <c r="CF16" s="197">
        <f t="shared" si="12"/>
        <v>999.82800000000009</v>
      </c>
      <c r="CG16" s="197">
        <f t="shared" si="13"/>
        <v>1219.828</v>
      </c>
      <c r="CH16" s="196">
        <f t="shared" si="50"/>
        <v>1092.3286315911557</v>
      </c>
      <c r="CI16" s="197">
        <f t="shared" si="51"/>
        <v>188.05692202653967</v>
      </c>
      <c r="CJ16" s="197">
        <f t="shared" si="52"/>
        <v>237.67146688228701</v>
      </c>
      <c r="CK16" s="197">
        <f t="shared" si="53"/>
        <v>854.65716470886866</v>
      </c>
      <c r="CL16" s="199">
        <f t="shared" si="54"/>
        <v>1042.7140867354083</v>
      </c>
      <c r="CM16" s="196">
        <f t="shared" si="75"/>
        <v>4439.4502112072987</v>
      </c>
      <c r="CN16" s="197">
        <f t="shared" si="55"/>
        <v>1018.5769493365078</v>
      </c>
      <c r="CO16" s="197">
        <f t="shared" si="56"/>
        <v>6419.0165705463733</v>
      </c>
      <c r="CP16" s="197">
        <f t="shared" si="57"/>
        <v>-1979.5663593390755</v>
      </c>
      <c r="CQ16" s="199">
        <f t="shared" si="58"/>
        <v>-960.98941000256764</v>
      </c>
      <c r="CT16" s="204">
        <f t="shared" si="76"/>
        <v>5</v>
      </c>
      <c r="CU16" s="197">
        <f t="shared" si="14"/>
        <v>11.617000000000001</v>
      </c>
      <c r="CV16" s="197">
        <f>'Energy Inputs'!$F$58*$CV$8</f>
        <v>0</v>
      </c>
      <c r="CW16" s="197">
        <f t="shared" si="59"/>
        <v>0</v>
      </c>
      <c r="CX16" s="197">
        <f>'Margins summary'!$U$14</f>
        <v>220</v>
      </c>
      <c r="CY16" s="197">
        <f t="shared" si="60"/>
        <v>220</v>
      </c>
      <c r="CZ16" s="197"/>
      <c r="DA16" s="897">
        <f>'Energy NPV'!U69</f>
        <v>278.04200000000003</v>
      </c>
      <c r="DB16" s="197"/>
      <c r="DC16" s="197">
        <f t="shared" si="15"/>
        <v>278.04200000000003</v>
      </c>
      <c r="DD16" s="197">
        <f t="shared" si="16"/>
        <v>-278.04200000000003</v>
      </c>
      <c r="DE16" s="197">
        <f t="shared" si="17"/>
        <v>-58.04200000000003</v>
      </c>
      <c r="DF16" s="196">
        <f t="shared" si="61"/>
        <v>0</v>
      </c>
      <c r="DG16" s="197">
        <f t="shared" si="62"/>
        <v>188.05692202653967</v>
      </c>
      <c r="DH16" s="197">
        <f t="shared" si="63"/>
        <v>237.67146688228701</v>
      </c>
      <c r="DI16" s="197">
        <f t="shared" si="64"/>
        <v>-237.67146688228701</v>
      </c>
      <c r="DJ16" s="199">
        <f t="shared" si="65"/>
        <v>-49.614544855747361</v>
      </c>
      <c r="DK16" s="196">
        <f t="shared" si="77"/>
        <v>0</v>
      </c>
      <c r="DL16" s="197">
        <f t="shared" si="66"/>
        <v>1018.5769493365078</v>
      </c>
      <c r="DM16" s="197">
        <f t="shared" si="67"/>
        <v>6419.0165705463733</v>
      </c>
      <c r="DN16" s="197">
        <f t="shared" si="68"/>
        <v>-6419.0165705463733</v>
      </c>
      <c r="DO16" s="199">
        <f t="shared" si="69"/>
        <v>-5400.4396212098654</v>
      </c>
    </row>
    <row r="17" spans="2:119" x14ac:dyDescent="0.3">
      <c r="B17" s="204">
        <f t="shared" si="70"/>
        <v>6</v>
      </c>
      <c r="C17" s="197">
        <f>'Energy NPV'!D70</f>
        <v>11.617000000000001</v>
      </c>
      <c r="D17" s="197">
        <f>'Energy Inputs'!$F$58*$E$8</f>
        <v>55</v>
      </c>
      <c r="E17" s="197">
        <f t="shared" si="18"/>
        <v>638.93500000000006</v>
      </c>
      <c r="F17" s="197">
        <f>'Margins summary'!$U$14</f>
        <v>220</v>
      </c>
      <c r="G17" s="197">
        <f t="shared" si="19"/>
        <v>858.93500000000006</v>
      </c>
      <c r="H17" s="197"/>
      <c r="I17" s="897">
        <f>'Energy NPV'!U70</f>
        <v>278.04200000000003</v>
      </c>
      <c r="J17" s="197"/>
      <c r="K17" s="197">
        <f t="shared" si="0"/>
        <v>278.04200000000003</v>
      </c>
      <c r="L17" s="197">
        <f t="shared" si="1"/>
        <v>360.89300000000003</v>
      </c>
      <c r="M17" s="197">
        <f t="shared" si="2"/>
        <v>580.89300000000003</v>
      </c>
      <c r="N17" s="196">
        <f t="shared" si="20"/>
        <v>525.15799595728629</v>
      </c>
      <c r="O17" s="197">
        <f t="shared" si="21"/>
        <v>180.82396348705734</v>
      </c>
      <c r="P17" s="197">
        <f t="shared" si="22"/>
        <v>228.53025661758366</v>
      </c>
      <c r="Q17" s="197">
        <f t="shared" si="23"/>
        <v>296.62773933970266</v>
      </c>
      <c r="R17" s="199">
        <f t="shared" si="24"/>
        <v>477.45170282676003</v>
      </c>
      <c r="S17" s="196">
        <f t="shared" si="71"/>
        <v>2744.8831015609358</v>
      </c>
      <c r="T17" s="197">
        <f t="shared" si="72"/>
        <v>1199.4009128235652</v>
      </c>
      <c r="U17" s="197">
        <f t="shared" si="72"/>
        <v>6647.5468271639566</v>
      </c>
      <c r="V17" s="197">
        <f t="shared" si="72"/>
        <v>-3902.6637256030222</v>
      </c>
      <c r="W17" s="199">
        <f t="shared" si="72"/>
        <v>-2703.2628127794569</v>
      </c>
      <c r="Z17" s="881">
        <v>6</v>
      </c>
      <c r="AA17" s="197">
        <f t="shared" si="3"/>
        <v>11.617000000000001</v>
      </c>
      <c r="AB17" s="197">
        <f>'Energy Inputs'!$F$58*$AB$8</f>
        <v>82.5</v>
      </c>
      <c r="AC17" s="197">
        <f t="shared" si="25"/>
        <v>958.40250000000003</v>
      </c>
      <c r="AD17" s="197">
        <f>'Margins summary'!$U$14</f>
        <v>220</v>
      </c>
      <c r="AE17" s="197">
        <f t="shared" si="26"/>
        <v>1178.4025000000001</v>
      </c>
      <c r="AF17" s="197"/>
      <c r="AG17" s="897">
        <f>'Energy NPV'!U70</f>
        <v>278.04200000000003</v>
      </c>
      <c r="AH17" s="197"/>
      <c r="AI17" s="197">
        <f t="shared" si="4"/>
        <v>278.04200000000003</v>
      </c>
      <c r="AJ17" s="197">
        <f t="shared" si="5"/>
        <v>680.3605</v>
      </c>
      <c r="AK17" s="197">
        <f t="shared" si="6"/>
        <v>900.36050000000012</v>
      </c>
      <c r="AL17" s="196">
        <f t="shared" si="27"/>
        <v>787.73699393592949</v>
      </c>
      <c r="AM17" s="197">
        <f t="shared" si="28"/>
        <v>180.82396348705734</v>
      </c>
      <c r="AN17" s="197">
        <f t="shared" si="29"/>
        <v>228.53025661758366</v>
      </c>
      <c r="AO17" s="197">
        <f t="shared" si="30"/>
        <v>559.20673731834574</v>
      </c>
      <c r="AP17" s="199">
        <f t="shared" si="31"/>
        <v>740.03070080540328</v>
      </c>
      <c r="AQ17" s="196">
        <f t="shared" si="73"/>
        <v>4117.3246523414036</v>
      </c>
      <c r="AR17" s="197">
        <f t="shared" si="32"/>
        <v>1199.4009128235652</v>
      </c>
      <c r="AS17" s="197">
        <f t="shared" si="33"/>
        <v>6647.5468271639566</v>
      </c>
      <c r="AT17" s="197">
        <f t="shared" si="34"/>
        <v>-2530.2221748225538</v>
      </c>
      <c r="AU17" s="199">
        <f t="shared" si="35"/>
        <v>-1330.8212619989881</v>
      </c>
      <c r="AX17" s="881">
        <v>6</v>
      </c>
      <c r="AY17" s="197">
        <f t="shared" si="7"/>
        <v>11.617000000000001</v>
      </c>
      <c r="AZ17" s="197">
        <f>'Energy Inputs'!$F$58*$AZ$8</f>
        <v>27.5</v>
      </c>
      <c r="BA17" s="197">
        <f t="shared" si="36"/>
        <v>319.46750000000003</v>
      </c>
      <c r="BB17" s="197">
        <f>'Margins summary'!$U$14</f>
        <v>220</v>
      </c>
      <c r="BC17" s="197">
        <f t="shared" si="37"/>
        <v>539.46749999999997</v>
      </c>
      <c r="BD17" s="197"/>
      <c r="BE17" s="897">
        <f>'Energy NPV'!U70</f>
        <v>278.04200000000003</v>
      </c>
      <c r="BF17" s="197"/>
      <c r="BG17" s="197">
        <f t="shared" si="38"/>
        <v>278.04200000000003</v>
      </c>
      <c r="BH17" s="197">
        <f t="shared" si="8"/>
        <v>41.4255</v>
      </c>
      <c r="BI17" s="197">
        <f t="shared" si="9"/>
        <v>261.42549999999994</v>
      </c>
      <c r="BJ17" s="196">
        <f t="shared" si="39"/>
        <v>262.57899797864314</v>
      </c>
      <c r="BK17" s="197">
        <f t="shared" si="40"/>
        <v>180.82396348705734</v>
      </c>
      <c r="BL17" s="197">
        <f t="shared" si="41"/>
        <v>228.53025661758366</v>
      </c>
      <c r="BM17" s="197">
        <f t="shared" si="42"/>
        <v>34.04874136105952</v>
      </c>
      <c r="BN17" s="199">
        <f t="shared" si="43"/>
        <v>214.8727048481168</v>
      </c>
      <c r="BO17" s="196">
        <f t="shared" si="74"/>
        <v>1372.4415507804679</v>
      </c>
      <c r="BP17" s="197">
        <f t="shared" si="44"/>
        <v>1199.4009128235652</v>
      </c>
      <c r="BQ17" s="197">
        <f t="shared" si="45"/>
        <v>6647.5468271639566</v>
      </c>
      <c r="BR17" s="197">
        <f t="shared" si="46"/>
        <v>-5275.1052763834896</v>
      </c>
      <c r="BS17" s="199">
        <f t="shared" si="47"/>
        <v>-4075.7043635599248</v>
      </c>
      <c r="BV17" s="881">
        <v>6</v>
      </c>
      <c r="BW17" s="197">
        <f t="shared" si="10"/>
        <v>11.617000000000001</v>
      </c>
      <c r="BX17" s="197">
        <f>'Energy Inputs'!$F$58*$BX$8</f>
        <v>110</v>
      </c>
      <c r="BY17" s="197">
        <f t="shared" si="48"/>
        <v>1277.8700000000001</v>
      </c>
      <c r="BZ17" s="197">
        <f>'Margins summary'!$U$14</f>
        <v>220</v>
      </c>
      <c r="CA17" s="197">
        <f t="shared" si="49"/>
        <v>1497.8700000000001</v>
      </c>
      <c r="CB17" s="197"/>
      <c r="CC17" s="897">
        <f>'Energy NPV'!U70</f>
        <v>278.04200000000003</v>
      </c>
      <c r="CD17" s="197"/>
      <c r="CE17" s="197">
        <f t="shared" si="11"/>
        <v>278.04200000000003</v>
      </c>
      <c r="CF17" s="197">
        <f t="shared" si="12"/>
        <v>999.82800000000009</v>
      </c>
      <c r="CG17" s="197">
        <f t="shared" si="13"/>
        <v>1219.828</v>
      </c>
      <c r="CH17" s="196">
        <f t="shared" si="50"/>
        <v>1050.3159919145726</v>
      </c>
      <c r="CI17" s="197">
        <f t="shared" si="51"/>
        <v>180.82396348705734</v>
      </c>
      <c r="CJ17" s="197">
        <f t="shared" si="52"/>
        <v>228.53025661758366</v>
      </c>
      <c r="CK17" s="197">
        <f t="shared" si="53"/>
        <v>821.78573529698906</v>
      </c>
      <c r="CL17" s="199">
        <f t="shared" si="54"/>
        <v>1002.6096987840463</v>
      </c>
      <c r="CM17" s="196">
        <f t="shared" si="75"/>
        <v>5489.7662031218715</v>
      </c>
      <c r="CN17" s="197">
        <f t="shared" si="55"/>
        <v>1199.4009128235652</v>
      </c>
      <c r="CO17" s="197">
        <f t="shared" si="56"/>
        <v>6647.5468271639566</v>
      </c>
      <c r="CP17" s="197">
        <f t="shared" si="57"/>
        <v>-1157.7806240420864</v>
      </c>
      <c r="CQ17" s="199">
        <f t="shared" si="58"/>
        <v>41.620288781478621</v>
      </c>
      <c r="CT17" s="204">
        <f t="shared" si="76"/>
        <v>6</v>
      </c>
      <c r="CU17" s="197">
        <f t="shared" si="14"/>
        <v>11.617000000000001</v>
      </c>
      <c r="CV17" s="197">
        <f>'Energy Inputs'!$F$58*$CV$8</f>
        <v>0</v>
      </c>
      <c r="CW17" s="197">
        <f t="shared" si="59"/>
        <v>0</v>
      </c>
      <c r="CX17" s="197">
        <f>'Margins summary'!$U$14</f>
        <v>220</v>
      </c>
      <c r="CY17" s="197">
        <f t="shared" si="60"/>
        <v>220</v>
      </c>
      <c r="CZ17" s="197"/>
      <c r="DA17" s="897">
        <f>'Energy NPV'!U70</f>
        <v>278.04200000000003</v>
      </c>
      <c r="DB17" s="197"/>
      <c r="DC17" s="197">
        <f t="shared" si="15"/>
        <v>278.04200000000003</v>
      </c>
      <c r="DD17" s="197">
        <f t="shared" si="16"/>
        <v>-278.04200000000003</v>
      </c>
      <c r="DE17" s="197">
        <f t="shared" si="17"/>
        <v>-58.04200000000003</v>
      </c>
      <c r="DF17" s="196">
        <f t="shared" si="61"/>
        <v>0</v>
      </c>
      <c r="DG17" s="197">
        <f t="shared" si="62"/>
        <v>180.82396348705734</v>
      </c>
      <c r="DH17" s="197">
        <f t="shared" si="63"/>
        <v>228.53025661758366</v>
      </c>
      <c r="DI17" s="197">
        <f t="shared" si="64"/>
        <v>-228.53025661758366</v>
      </c>
      <c r="DJ17" s="199">
        <f t="shared" si="65"/>
        <v>-47.706293130526305</v>
      </c>
      <c r="DK17" s="196">
        <f t="shared" si="77"/>
        <v>0</v>
      </c>
      <c r="DL17" s="197">
        <f t="shared" si="66"/>
        <v>1199.4009128235652</v>
      </c>
      <c r="DM17" s="197">
        <f t="shared" si="67"/>
        <v>6647.5468271639566</v>
      </c>
      <c r="DN17" s="197">
        <f t="shared" si="68"/>
        <v>-6647.5468271639566</v>
      </c>
      <c r="DO17" s="199">
        <f t="shared" si="69"/>
        <v>-5448.1459143403918</v>
      </c>
    </row>
    <row r="18" spans="2:119" x14ac:dyDescent="0.3">
      <c r="B18" s="204">
        <f t="shared" si="70"/>
        <v>7</v>
      </c>
      <c r="C18" s="197">
        <f>'Energy NPV'!D71</f>
        <v>11.617000000000001</v>
      </c>
      <c r="D18" s="197">
        <f>'Energy Inputs'!$F$58*$E$8</f>
        <v>55</v>
      </c>
      <c r="E18" s="197">
        <f t="shared" si="18"/>
        <v>638.93500000000006</v>
      </c>
      <c r="F18" s="197">
        <f>'Margins summary'!$U$14</f>
        <v>220</v>
      </c>
      <c r="G18" s="197">
        <f t="shared" si="19"/>
        <v>858.93500000000006</v>
      </c>
      <c r="H18" s="197"/>
      <c r="I18" s="897">
        <f>'Energy NPV'!U71</f>
        <v>278.04200000000003</v>
      </c>
      <c r="J18" s="197"/>
      <c r="K18" s="197">
        <f t="shared" si="0"/>
        <v>278.04200000000003</v>
      </c>
      <c r="L18" s="197">
        <f t="shared" si="1"/>
        <v>360.89300000000003</v>
      </c>
      <c r="M18" s="197">
        <f t="shared" si="2"/>
        <v>580.89300000000003</v>
      </c>
      <c r="N18" s="196">
        <f t="shared" si="20"/>
        <v>504.95961149739071</v>
      </c>
      <c r="O18" s="197">
        <f t="shared" si="21"/>
        <v>173.86919566063204</v>
      </c>
      <c r="P18" s="197">
        <f t="shared" si="22"/>
        <v>219.7406313630612</v>
      </c>
      <c r="Q18" s="197">
        <f t="shared" si="23"/>
        <v>285.21898013432951</v>
      </c>
      <c r="R18" s="199">
        <f t="shared" si="24"/>
        <v>459.08817579496156</v>
      </c>
      <c r="S18" s="196">
        <f t="shared" si="71"/>
        <v>3249.8427130583264</v>
      </c>
      <c r="T18" s="197">
        <f t="shared" si="72"/>
        <v>1373.2701084841974</v>
      </c>
      <c r="U18" s="197">
        <f t="shared" si="72"/>
        <v>6867.2874585270174</v>
      </c>
      <c r="V18" s="197">
        <f t="shared" si="72"/>
        <v>-3617.4447454686924</v>
      </c>
      <c r="W18" s="199">
        <f t="shared" si="72"/>
        <v>-2244.1746369844955</v>
      </c>
      <c r="Z18" s="881">
        <v>7</v>
      </c>
      <c r="AA18" s="197">
        <f t="shared" si="3"/>
        <v>11.617000000000001</v>
      </c>
      <c r="AB18" s="197">
        <f>'Energy Inputs'!$F$58*$AB$8</f>
        <v>82.5</v>
      </c>
      <c r="AC18" s="197">
        <f t="shared" si="25"/>
        <v>958.40250000000003</v>
      </c>
      <c r="AD18" s="197">
        <f>'Margins summary'!$U$14</f>
        <v>220</v>
      </c>
      <c r="AE18" s="197">
        <f t="shared" si="26"/>
        <v>1178.4025000000001</v>
      </c>
      <c r="AF18" s="197"/>
      <c r="AG18" s="897">
        <f>'Energy NPV'!U71</f>
        <v>278.04200000000003</v>
      </c>
      <c r="AH18" s="197"/>
      <c r="AI18" s="197">
        <f t="shared" si="4"/>
        <v>278.04200000000003</v>
      </c>
      <c r="AJ18" s="197">
        <f t="shared" si="5"/>
        <v>680.3605</v>
      </c>
      <c r="AK18" s="197">
        <f t="shared" si="6"/>
        <v>900.36050000000012</v>
      </c>
      <c r="AL18" s="196">
        <f t="shared" si="27"/>
        <v>757.43941724608601</v>
      </c>
      <c r="AM18" s="197">
        <f t="shared" si="28"/>
        <v>173.86919566063204</v>
      </c>
      <c r="AN18" s="197">
        <f t="shared" si="29"/>
        <v>219.7406313630612</v>
      </c>
      <c r="AO18" s="197">
        <f t="shared" si="30"/>
        <v>537.69878588302481</v>
      </c>
      <c r="AP18" s="199">
        <f t="shared" si="31"/>
        <v>711.56798154365697</v>
      </c>
      <c r="AQ18" s="196">
        <f t="shared" si="73"/>
        <v>4874.7640695874898</v>
      </c>
      <c r="AR18" s="197">
        <f t="shared" si="32"/>
        <v>1373.2701084841974</v>
      </c>
      <c r="AS18" s="197">
        <f t="shared" si="33"/>
        <v>6867.2874585270174</v>
      </c>
      <c r="AT18" s="197">
        <f t="shared" si="34"/>
        <v>-1992.523388939529</v>
      </c>
      <c r="AU18" s="199">
        <f t="shared" si="35"/>
        <v>-619.25328045533115</v>
      </c>
      <c r="AX18" s="881">
        <v>7</v>
      </c>
      <c r="AY18" s="197">
        <f t="shared" si="7"/>
        <v>11.617000000000001</v>
      </c>
      <c r="AZ18" s="197">
        <f>'Energy Inputs'!$F$58*$AZ$8</f>
        <v>27.5</v>
      </c>
      <c r="BA18" s="197">
        <f t="shared" si="36"/>
        <v>319.46750000000003</v>
      </c>
      <c r="BB18" s="197">
        <f>'Margins summary'!$U$14</f>
        <v>220</v>
      </c>
      <c r="BC18" s="197">
        <f t="shared" si="37"/>
        <v>539.46749999999997</v>
      </c>
      <c r="BD18" s="197"/>
      <c r="BE18" s="897">
        <f>'Energy NPV'!U71</f>
        <v>278.04200000000003</v>
      </c>
      <c r="BF18" s="197"/>
      <c r="BG18" s="197">
        <f t="shared" si="38"/>
        <v>278.04200000000003</v>
      </c>
      <c r="BH18" s="197">
        <f t="shared" si="8"/>
        <v>41.4255</v>
      </c>
      <c r="BI18" s="197">
        <f t="shared" si="9"/>
        <v>261.42549999999994</v>
      </c>
      <c r="BJ18" s="196">
        <f t="shared" si="39"/>
        <v>252.47980574869536</v>
      </c>
      <c r="BK18" s="197">
        <f t="shared" si="40"/>
        <v>173.86919566063204</v>
      </c>
      <c r="BL18" s="197">
        <f t="shared" si="41"/>
        <v>219.7406313630612</v>
      </c>
      <c r="BM18" s="197">
        <f t="shared" si="42"/>
        <v>32.739174385634151</v>
      </c>
      <c r="BN18" s="199">
        <f t="shared" si="43"/>
        <v>206.60837004626617</v>
      </c>
      <c r="BO18" s="196">
        <f t="shared" si="74"/>
        <v>1624.9213565291632</v>
      </c>
      <c r="BP18" s="197">
        <f t="shared" si="44"/>
        <v>1373.2701084841974</v>
      </c>
      <c r="BQ18" s="197">
        <f t="shared" si="45"/>
        <v>6867.2874585270174</v>
      </c>
      <c r="BR18" s="197">
        <f t="shared" si="46"/>
        <v>-5242.3661019978554</v>
      </c>
      <c r="BS18" s="199">
        <f t="shared" si="47"/>
        <v>-3869.0959935136584</v>
      </c>
      <c r="BV18" s="881">
        <v>7</v>
      </c>
      <c r="BW18" s="197">
        <f t="shared" si="10"/>
        <v>11.617000000000001</v>
      </c>
      <c r="BX18" s="197">
        <f>'Energy Inputs'!$F$58*$BX$8</f>
        <v>110</v>
      </c>
      <c r="BY18" s="197">
        <f t="shared" si="48"/>
        <v>1277.8700000000001</v>
      </c>
      <c r="BZ18" s="197">
        <f>'Margins summary'!$U$14</f>
        <v>220</v>
      </c>
      <c r="CA18" s="197">
        <f t="shared" si="49"/>
        <v>1497.8700000000001</v>
      </c>
      <c r="CB18" s="197"/>
      <c r="CC18" s="897">
        <f>'Energy NPV'!U71</f>
        <v>278.04200000000003</v>
      </c>
      <c r="CD18" s="197"/>
      <c r="CE18" s="197">
        <f t="shared" si="11"/>
        <v>278.04200000000003</v>
      </c>
      <c r="CF18" s="197">
        <f t="shared" si="12"/>
        <v>999.82800000000009</v>
      </c>
      <c r="CG18" s="197">
        <f t="shared" si="13"/>
        <v>1219.828</v>
      </c>
      <c r="CH18" s="196">
        <f t="shared" si="50"/>
        <v>1009.9192229947814</v>
      </c>
      <c r="CI18" s="197">
        <f t="shared" si="51"/>
        <v>173.86919566063204</v>
      </c>
      <c r="CJ18" s="197">
        <f t="shared" si="52"/>
        <v>219.7406313630612</v>
      </c>
      <c r="CK18" s="197">
        <f t="shared" si="53"/>
        <v>790.17859163172022</v>
      </c>
      <c r="CL18" s="199">
        <f t="shared" si="54"/>
        <v>964.04778729235215</v>
      </c>
      <c r="CM18" s="196">
        <f t="shared" si="75"/>
        <v>6499.6854261166527</v>
      </c>
      <c r="CN18" s="197">
        <f t="shared" si="55"/>
        <v>1373.2701084841974</v>
      </c>
      <c r="CO18" s="197">
        <f t="shared" si="56"/>
        <v>6867.2874585270174</v>
      </c>
      <c r="CP18" s="197">
        <f t="shared" si="57"/>
        <v>-367.60203241036618</v>
      </c>
      <c r="CQ18" s="199">
        <f t="shared" si="58"/>
        <v>1005.6680760738308</v>
      </c>
      <c r="CT18" s="204">
        <f t="shared" si="76"/>
        <v>7</v>
      </c>
      <c r="CU18" s="197">
        <f t="shared" si="14"/>
        <v>11.617000000000001</v>
      </c>
      <c r="CV18" s="197">
        <f>'Energy Inputs'!$F$58*$CV$8</f>
        <v>0</v>
      </c>
      <c r="CW18" s="197">
        <f t="shared" si="59"/>
        <v>0</v>
      </c>
      <c r="CX18" s="197">
        <f>'Margins summary'!$U$14</f>
        <v>220</v>
      </c>
      <c r="CY18" s="197">
        <f t="shared" si="60"/>
        <v>220</v>
      </c>
      <c r="CZ18" s="197"/>
      <c r="DA18" s="897">
        <f>'Energy NPV'!U71</f>
        <v>278.04200000000003</v>
      </c>
      <c r="DB18" s="197"/>
      <c r="DC18" s="197">
        <f t="shared" si="15"/>
        <v>278.04200000000003</v>
      </c>
      <c r="DD18" s="197">
        <f t="shared" si="16"/>
        <v>-278.04200000000003</v>
      </c>
      <c r="DE18" s="197">
        <f t="shared" si="17"/>
        <v>-58.04200000000003</v>
      </c>
      <c r="DF18" s="196">
        <f t="shared" si="61"/>
        <v>0</v>
      </c>
      <c r="DG18" s="197">
        <f t="shared" si="62"/>
        <v>173.86919566063204</v>
      </c>
      <c r="DH18" s="197">
        <f t="shared" si="63"/>
        <v>219.7406313630612</v>
      </c>
      <c r="DI18" s="197">
        <f t="shared" si="64"/>
        <v>-219.7406313630612</v>
      </c>
      <c r="DJ18" s="199">
        <f t="shared" si="65"/>
        <v>-45.871435702429139</v>
      </c>
      <c r="DK18" s="196">
        <f t="shared" si="77"/>
        <v>0</v>
      </c>
      <c r="DL18" s="197">
        <f t="shared" si="66"/>
        <v>1373.2701084841974</v>
      </c>
      <c r="DM18" s="197">
        <f t="shared" si="67"/>
        <v>6867.2874585270174</v>
      </c>
      <c r="DN18" s="197">
        <f t="shared" si="68"/>
        <v>-6867.2874585270174</v>
      </c>
      <c r="DO18" s="199">
        <f t="shared" si="69"/>
        <v>-5494.0173500428209</v>
      </c>
    </row>
    <row r="19" spans="2:119" x14ac:dyDescent="0.3">
      <c r="B19" s="204">
        <f t="shared" si="70"/>
        <v>8</v>
      </c>
      <c r="C19" s="197">
        <f>'Energy NPV'!D72</f>
        <v>11.617000000000001</v>
      </c>
      <c r="D19" s="197">
        <f>'Energy Inputs'!$F$58*$E$8</f>
        <v>55</v>
      </c>
      <c r="E19" s="197">
        <f t="shared" si="18"/>
        <v>638.93500000000006</v>
      </c>
      <c r="F19" s="197">
        <f>'Margins summary'!$U$14</f>
        <v>220</v>
      </c>
      <c r="G19" s="197">
        <f t="shared" si="19"/>
        <v>858.93500000000006</v>
      </c>
      <c r="H19" s="197"/>
      <c r="I19" s="897">
        <f>'Energy NPV'!U72</f>
        <v>278.04200000000003</v>
      </c>
      <c r="J19" s="197"/>
      <c r="K19" s="197">
        <f t="shared" si="0"/>
        <v>278.04200000000003</v>
      </c>
      <c r="L19" s="197">
        <f t="shared" si="1"/>
        <v>360.89300000000003</v>
      </c>
      <c r="M19" s="197">
        <f t="shared" si="2"/>
        <v>580.89300000000003</v>
      </c>
      <c r="N19" s="196">
        <f t="shared" si="20"/>
        <v>485.53808797826031</v>
      </c>
      <c r="O19" s="197">
        <f t="shared" si="21"/>
        <v>167.18191890445391</v>
      </c>
      <c r="P19" s="197">
        <f t="shared" si="22"/>
        <v>211.28906861832809</v>
      </c>
      <c r="Q19" s="197">
        <f t="shared" si="23"/>
        <v>274.24901935993222</v>
      </c>
      <c r="R19" s="199">
        <f t="shared" si="24"/>
        <v>441.43093826438616</v>
      </c>
      <c r="S19" s="196">
        <f t="shared" si="71"/>
        <v>3735.3808010365865</v>
      </c>
      <c r="T19" s="197">
        <f t="shared" si="72"/>
        <v>1540.4520273886512</v>
      </c>
      <c r="U19" s="197">
        <f t="shared" si="72"/>
        <v>7078.5765271453456</v>
      </c>
      <c r="V19" s="197">
        <f t="shared" si="72"/>
        <v>-3343.19572610876</v>
      </c>
      <c r="W19" s="199">
        <f t="shared" si="72"/>
        <v>-1802.7436987201093</v>
      </c>
      <c r="Z19" s="881">
        <v>8</v>
      </c>
      <c r="AA19" s="197">
        <f t="shared" si="3"/>
        <v>11.617000000000001</v>
      </c>
      <c r="AB19" s="197">
        <f>'Energy Inputs'!$F$58*$AB$8</f>
        <v>82.5</v>
      </c>
      <c r="AC19" s="197">
        <f t="shared" si="25"/>
        <v>958.40250000000003</v>
      </c>
      <c r="AD19" s="197">
        <f>'Margins summary'!$U$14</f>
        <v>220</v>
      </c>
      <c r="AE19" s="197">
        <f t="shared" si="26"/>
        <v>1178.4025000000001</v>
      </c>
      <c r="AF19" s="197"/>
      <c r="AG19" s="897">
        <f>'Energy NPV'!U72</f>
        <v>278.04200000000003</v>
      </c>
      <c r="AH19" s="197"/>
      <c r="AI19" s="197">
        <f t="shared" si="4"/>
        <v>278.04200000000003</v>
      </c>
      <c r="AJ19" s="197">
        <f t="shared" si="5"/>
        <v>680.3605</v>
      </c>
      <c r="AK19" s="197">
        <f t="shared" si="6"/>
        <v>900.36050000000012</v>
      </c>
      <c r="AL19" s="196">
        <f t="shared" si="27"/>
        <v>728.30713196739043</v>
      </c>
      <c r="AM19" s="197">
        <f t="shared" si="28"/>
        <v>167.18191890445391</v>
      </c>
      <c r="AN19" s="197">
        <f t="shared" si="29"/>
        <v>211.28906861832809</v>
      </c>
      <c r="AO19" s="197">
        <f t="shared" si="30"/>
        <v>517.01806334906234</v>
      </c>
      <c r="AP19" s="199">
        <f t="shared" si="31"/>
        <v>684.1999822535164</v>
      </c>
      <c r="AQ19" s="196">
        <f t="shared" si="73"/>
        <v>5603.0712015548797</v>
      </c>
      <c r="AR19" s="197">
        <f t="shared" si="32"/>
        <v>1540.4520273886512</v>
      </c>
      <c r="AS19" s="197">
        <f t="shared" si="33"/>
        <v>7078.5765271453456</v>
      </c>
      <c r="AT19" s="197">
        <f t="shared" si="34"/>
        <v>-1475.5053255904668</v>
      </c>
      <c r="AU19" s="199">
        <f t="shared" si="35"/>
        <v>64.946701798185245</v>
      </c>
      <c r="AX19" s="881">
        <v>8</v>
      </c>
      <c r="AY19" s="197">
        <f t="shared" si="7"/>
        <v>11.617000000000001</v>
      </c>
      <c r="AZ19" s="197">
        <f>'Energy Inputs'!$F$58*$AZ$8</f>
        <v>27.5</v>
      </c>
      <c r="BA19" s="197">
        <f t="shared" si="36"/>
        <v>319.46750000000003</v>
      </c>
      <c r="BB19" s="197">
        <f>'Margins summary'!$U$14</f>
        <v>220</v>
      </c>
      <c r="BC19" s="197">
        <f t="shared" si="37"/>
        <v>539.46749999999997</v>
      </c>
      <c r="BD19" s="197"/>
      <c r="BE19" s="897">
        <f>'Energy NPV'!U72</f>
        <v>278.04200000000003</v>
      </c>
      <c r="BF19" s="197"/>
      <c r="BG19" s="197">
        <f t="shared" si="38"/>
        <v>278.04200000000003</v>
      </c>
      <c r="BH19" s="197">
        <f t="shared" si="8"/>
        <v>41.4255</v>
      </c>
      <c r="BI19" s="197">
        <f t="shared" si="9"/>
        <v>261.42549999999994</v>
      </c>
      <c r="BJ19" s="196">
        <f t="shared" si="39"/>
        <v>242.76904398913015</v>
      </c>
      <c r="BK19" s="197">
        <f t="shared" si="40"/>
        <v>167.18191890445391</v>
      </c>
      <c r="BL19" s="197">
        <f t="shared" si="41"/>
        <v>211.28906861832809</v>
      </c>
      <c r="BM19" s="197">
        <f t="shared" si="42"/>
        <v>31.47997537080207</v>
      </c>
      <c r="BN19" s="199">
        <f t="shared" si="43"/>
        <v>198.66189427525595</v>
      </c>
      <c r="BO19" s="196">
        <f t="shared" si="74"/>
        <v>1867.6904005182932</v>
      </c>
      <c r="BP19" s="197">
        <f t="shared" si="44"/>
        <v>1540.4520273886512</v>
      </c>
      <c r="BQ19" s="197">
        <f t="shared" si="45"/>
        <v>7078.5765271453456</v>
      </c>
      <c r="BR19" s="197">
        <f t="shared" si="46"/>
        <v>-5210.8861266270533</v>
      </c>
      <c r="BS19" s="199">
        <f t="shared" si="47"/>
        <v>-3670.4340992384023</v>
      </c>
      <c r="BV19" s="881">
        <v>8</v>
      </c>
      <c r="BW19" s="197">
        <f t="shared" si="10"/>
        <v>11.617000000000001</v>
      </c>
      <c r="BX19" s="197">
        <f>'Energy Inputs'!$F$58*$BX$8</f>
        <v>110</v>
      </c>
      <c r="BY19" s="197">
        <f t="shared" si="48"/>
        <v>1277.8700000000001</v>
      </c>
      <c r="BZ19" s="197">
        <f>'Margins summary'!$U$14</f>
        <v>220</v>
      </c>
      <c r="CA19" s="197">
        <f t="shared" si="49"/>
        <v>1497.8700000000001</v>
      </c>
      <c r="CB19" s="197"/>
      <c r="CC19" s="897">
        <f>'Energy NPV'!U72</f>
        <v>278.04200000000003</v>
      </c>
      <c r="CD19" s="197"/>
      <c r="CE19" s="197">
        <f t="shared" si="11"/>
        <v>278.04200000000003</v>
      </c>
      <c r="CF19" s="197">
        <f t="shared" si="12"/>
        <v>999.82800000000009</v>
      </c>
      <c r="CG19" s="197">
        <f t="shared" si="13"/>
        <v>1219.828</v>
      </c>
      <c r="CH19" s="196">
        <f t="shared" si="50"/>
        <v>971.07617595652061</v>
      </c>
      <c r="CI19" s="197">
        <f t="shared" si="51"/>
        <v>167.18191890445391</v>
      </c>
      <c r="CJ19" s="197">
        <f t="shared" si="52"/>
        <v>211.28906861832809</v>
      </c>
      <c r="CK19" s="197">
        <f t="shared" si="53"/>
        <v>759.78710733819253</v>
      </c>
      <c r="CL19" s="199">
        <f t="shared" si="54"/>
        <v>926.96902624264635</v>
      </c>
      <c r="CM19" s="196">
        <f t="shared" si="75"/>
        <v>7470.761602073173</v>
      </c>
      <c r="CN19" s="197">
        <f t="shared" si="55"/>
        <v>1540.4520273886512</v>
      </c>
      <c r="CO19" s="197">
        <f t="shared" si="56"/>
        <v>7078.5765271453456</v>
      </c>
      <c r="CP19" s="197">
        <f t="shared" si="57"/>
        <v>392.18507492782635</v>
      </c>
      <c r="CQ19" s="199">
        <f t="shared" si="58"/>
        <v>1932.637102316477</v>
      </c>
      <c r="CT19" s="204">
        <f t="shared" si="76"/>
        <v>8</v>
      </c>
      <c r="CU19" s="197">
        <f t="shared" si="14"/>
        <v>11.617000000000001</v>
      </c>
      <c r="CV19" s="197">
        <f>'Energy Inputs'!$F$58*$CV$8</f>
        <v>0</v>
      </c>
      <c r="CW19" s="197">
        <f t="shared" si="59"/>
        <v>0</v>
      </c>
      <c r="CX19" s="197">
        <f>'Margins summary'!$U$14</f>
        <v>220</v>
      </c>
      <c r="CY19" s="197">
        <f t="shared" si="60"/>
        <v>220</v>
      </c>
      <c r="CZ19" s="197"/>
      <c r="DA19" s="897">
        <f>'Energy NPV'!U72</f>
        <v>278.04200000000003</v>
      </c>
      <c r="DB19" s="197"/>
      <c r="DC19" s="197">
        <f t="shared" si="15"/>
        <v>278.04200000000003</v>
      </c>
      <c r="DD19" s="197">
        <f t="shared" si="16"/>
        <v>-278.04200000000003</v>
      </c>
      <c r="DE19" s="197">
        <f t="shared" si="17"/>
        <v>-58.04200000000003</v>
      </c>
      <c r="DF19" s="196">
        <f t="shared" si="61"/>
        <v>0</v>
      </c>
      <c r="DG19" s="197">
        <f t="shared" si="62"/>
        <v>167.18191890445391</v>
      </c>
      <c r="DH19" s="197">
        <f t="shared" si="63"/>
        <v>211.28906861832809</v>
      </c>
      <c r="DI19" s="197">
        <f t="shared" si="64"/>
        <v>-211.28906861832809</v>
      </c>
      <c r="DJ19" s="199">
        <f t="shared" si="65"/>
        <v>-44.107149713874179</v>
      </c>
      <c r="DK19" s="196">
        <f t="shared" si="77"/>
        <v>0</v>
      </c>
      <c r="DL19" s="197">
        <f t="shared" si="66"/>
        <v>1540.4520273886512</v>
      </c>
      <c r="DM19" s="197">
        <f t="shared" si="67"/>
        <v>7078.5765271453456</v>
      </c>
      <c r="DN19" s="197">
        <f t="shared" si="68"/>
        <v>-7078.5765271453456</v>
      </c>
      <c r="DO19" s="199">
        <f t="shared" si="69"/>
        <v>-5538.1244997566955</v>
      </c>
    </row>
    <row r="20" spans="2:119" x14ac:dyDescent="0.3">
      <c r="B20" s="204">
        <f t="shared" si="70"/>
        <v>9</v>
      </c>
      <c r="C20" s="197">
        <f>'Energy NPV'!D73</f>
        <v>11.617000000000001</v>
      </c>
      <c r="D20" s="197">
        <f>'Energy Inputs'!$F$58*$E$8</f>
        <v>55</v>
      </c>
      <c r="E20" s="197">
        <f t="shared" si="18"/>
        <v>638.93500000000006</v>
      </c>
      <c r="F20" s="197">
        <f>'Margins summary'!$U$14</f>
        <v>220</v>
      </c>
      <c r="G20" s="197">
        <f t="shared" si="19"/>
        <v>858.93500000000006</v>
      </c>
      <c r="H20" s="197"/>
      <c r="I20" s="897">
        <f>'Energy NPV'!U73</f>
        <v>278.04200000000003</v>
      </c>
      <c r="J20" s="197"/>
      <c r="K20" s="197">
        <f t="shared" si="0"/>
        <v>278.04200000000003</v>
      </c>
      <c r="L20" s="197">
        <f t="shared" si="1"/>
        <v>360.89300000000003</v>
      </c>
      <c r="M20" s="197">
        <f t="shared" si="2"/>
        <v>580.89300000000003</v>
      </c>
      <c r="N20" s="196">
        <f t="shared" si="20"/>
        <v>466.86354613294253</v>
      </c>
      <c r="O20" s="197">
        <f t="shared" si="21"/>
        <v>160.75184510043644</v>
      </c>
      <c r="P20" s="197">
        <f t="shared" si="22"/>
        <v>203.1625659791616</v>
      </c>
      <c r="Q20" s="197">
        <f t="shared" si="23"/>
        <v>263.70098015378096</v>
      </c>
      <c r="R20" s="199">
        <f t="shared" si="24"/>
        <v>424.45282525421737</v>
      </c>
      <c r="S20" s="196">
        <f t="shared" si="71"/>
        <v>4202.2443471695287</v>
      </c>
      <c r="T20" s="197">
        <f t="shared" si="72"/>
        <v>1701.2038724890876</v>
      </c>
      <c r="U20" s="197">
        <f t="shared" si="72"/>
        <v>7281.7390931245072</v>
      </c>
      <c r="V20" s="197">
        <f t="shared" si="72"/>
        <v>-3079.494745954979</v>
      </c>
      <c r="W20" s="199">
        <f t="shared" si="72"/>
        <v>-1378.2908734658918</v>
      </c>
      <c r="Z20" s="881">
        <v>9</v>
      </c>
      <c r="AA20" s="197">
        <f t="shared" si="3"/>
        <v>11.617000000000001</v>
      </c>
      <c r="AB20" s="197">
        <f>'Energy Inputs'!$F$58*$AB$8</f>
        <v>82.5</v>
      </c>
      <c r="AC20" s="197">
        <f t="shared" si="25"/>
        <v>958.40250000000003</v>
      </c>
      <c r="AD20" s="197">
        <f>'Margins summary'!$U$14</f>
        <v>220</v>
      </c>
      <c r="AE20" s="197">
        <f t="shared" si="26"/>
        <v>1178.4025000000001</v>
      </c>
      <c r="AF20" s="197"/>
      <c r="AG20" s="897">
        <f>'Energy NPV'!U73</f>
        <v>278.04200000000003</v>
      </c>
      <c r="AH20" s="197"/>
      <c r="AI20" s="197">
        <f t="shared" si="4"/>
        <v>278.04200000000003</v>
      </c>
      <c r="AJ20" s="197">
        <f t="shared" si="5"/>
        <v>680.3605</v>
      </c>
      <c r="AK20" s="197">
        <f t="shared" si="6"/>
        <v>900.36050000000012</v>
      </c>
      <c r="AL20" s="196">
        <f t="shared" si="27"/>
        <v>700.29531919941383</v>
      </c>
      <c r="AM20" s="197">
        <f t="shared" si="28"/>
        <v>160.75184510043644</v>
      </c>
      <c r="AN20" s="197">
        <f t="shared" si="29"/>
        <v>203.1625659791616</v>
      </c>
      <c r="AO20" s="197">
        <f t="shared" si="30"/>
        <v>497.1327532202522</v>
      </c>
      <c r="AP20" s="199">
        <f t="shared" si="31"/>
        <v>657.88459832068872</v>
      </c>
      <c r="AQ20" s="196">
        <f t="shared" si="73"/>
        <v>6303.3665207542936</v>
      </c>
      <c r="AR20" s="197">
        <f t="shared" si="32"/>
        <v>1701.2038724890876</v>
      </c>
      <c r="AS20" s="197">
        <f t="shared" si="33"/>
        <v>7281.7390931245072</v>
      </c>
      <c r="AT20" s="197">
        <f t="shared" si="34"/>
        <v>-978.37257237021458</v>
      </c>
      <c r="AU20" s="199">
        <f t="shared" si="35"/>
        <v>722.83130011887397</v>
      </c>
      <c r="AX20" s="881">
        <v>9</v>
      </c>
      <c r="AY20" s="197">
        <f t="shared" si="7"/>
        <v>11.617000000000001</v>
      </c>
      <c r="AZ20" s="197">
        <f>'Energy Inputs'!$F$58*$AZ$8</f>
        <v>27.5</v>
      </c>
      <c r="BA20" s="197">
        <f t="shared" si="36"/>
        <v>319.46750000000003</v>
      </c>
      <c r="BB20" s="197">
        <f>'Margins summary'!$U$14</f>
        <v>220</v>
      </c>
      <c r="BC20" s="197">
        <f t="shared" si="37"/>
        <v>539.46749999999997</v>
      </c>
      <c r="BD20" s="197"/>
      <c r="BE20" s="897">
        <f>'Energy NPV'!U73</f>
        <v>278.04200000000003</v>
      </c>
      <c r="BF20" s="197"/>
      <c r="BG20" s="197">
        <f t="shared" si="38"/>
        <v>278.04200000000003</v>
      </c>
      <c r="BH20" s="197">
        <f t="shared" si="8"/>
        <v>41.4255</v>
      </c>
      <c r="BI20" s="197">
        <f t="shared" si="9"/>
        <v>261.42549999999994</v>
      </c>
      <c r="BJ20" s="196">
        <f t="shared" si="39"/>
        <v>233.43177306647127</v>
      </c>
      <c r="BK20" s="197">
        <f t="shared" si="40"/>
        <v>160.75184510043644</v>
      </c>
      <c r="BL20" s="197">
        <f t="shared" si="41"/>
        <v>203.1625659791616</v>
      </c>
      <c r="BM20" s="197">
        <f t="shared" si="42"/>
        <v>30.269207087309677</v>
      </c>
      <c r="BN20" s="199">
        <f t="shared" si="43"/>
        <v>191.02105218774608</v>
      </c>
      <c r="BO20" s="196">
        <f t="shared" si="74"/>
        <v>2101.1221735847644</v>
      </c>
      <c r="BP20" s="197">
        <f t="shared" si="44"/>
        <v>1701.2038724890876</v>
      </c>
      <c r="BQ20" s="197">
        <f t="shared" si="45"/>
        <v>7281.7390931245072</v>
      </c>
      <c r="BR20" s="197">
        <f t="shared" si="46"/>
        <v>-5180.6169195397433</v>
      </c>
      <c r="BS20" s="199">
        <f t="shared" si="47"/>
        <v>-3479.4130470506561</v>
      </c>
      <c r="BV20" s="881">
        <v>9</v>
      </c>
      <c r="BW20" s="197">
        <f t="shared" si="10"/>
        <v>11.617000000000001</v>
      </c>
      <c r="BX20" s="197">
        <f>'Energy Inputs'!$F$58*$BX$8</f>
        <v>110</v>
      </c>
      <c r="BY20" s="197">
        <f t="shared" si="48"/>
        <v>1277.8700000000001</v>
      </c>
      <c r="BZ20" s="197">
        <f>'Margins summary'!$U$14</f>
        <v>220</v>
      </c>
      <c r="CA20" s="197">
        <f t="shared" si="49"/>
        <v>1497.8700000000001</v>
      </c>
      <c r="CB20" s="197"/>
      <c r="CC20" s="897">
        <f>'Energy NPV'!U73</f>
        <v>278.04200000000003</v>
      </c>
      <c r="CD20" s="197"/>
      <c r="CE20" s="197">
        <f t="shared" si="11"/>
        <v>278.04200000000003</v>
      </c>
      <c r="CF20" s="197">
        <f t="shared" si="12"/>
        <v>999.82800000000009</v>
      </c>
      <c r="CG20" s="197">
        <f t="shared" si="13"/>
        <v>1219.828</v>
      </c>
      <c r="CH20" s="196">
        <f t="shared" si="50"/>
        <v>933.72709226588506</v>
      </c>
      <c r="CI20" s="197">
        <f t="shared" si="51"/>
        <v>160.75184510043644</v>
      </c>
      <c r="CJ20" s="197">
        <f t="shared" si="52"/>
        <v>203.1625659791616</v>
      </c>
      <c r="CK20" s="197">
        <f t="shared" si="53"/>
        <v>730.56452628672355</v>
      </c>
      <c r="CL20" s="199">
        <f t="shared" si="54"/>
        <v>891.31637138715985</v>
      </c>
      <c r="CM20" s="196">
        <f t="shared" si="75"/>
        <v>8404.4886943390575</v>
      </c>
      <c r="CN20" s="197">
        <f t="shared" si="55"/>
        <v>1701.2038724890876</v>
      </c>
      <c r="CO20" s="197">
        <f t="shared" si="56"/>
        <v>7281.7390931245072</v>
      </c>
      <c r="CP20" s="197">
        <f t="shared" si="57"/>
        <v>1122.7496012145498</v>
      </c>
      <c r="CQ20" s="199">
        <f t="shared" si="58"/>
        <v>2823.953473703637</v>
      </c>
      <c r="CT20" s="204">
        <f t="shared" si="76"/>
        <v>9</v>
      </c>
      <c r="CU20" s="197">
        <f t="shared" si="14"/>
        <v>11.617000000000001</v>
      </c>
      <c r="CV20" s="197">
        <f>'Energy Inputs'!$F$58*$CV$8</f>
        <v>0</v>
      </c>
      <c r="CW20" s="197">
        <f t="shared" si="59"/>
        <v>0</v>
      </c>
      <c r="CX20" s="197">
        <f>'Margins summary'!$U$14</f>
        <v>220</v>
      </c>
      <c r="CY20" s="197">
        <f t="shared" si="60"/>
        <v>220</v>
      </c>
      <c r="CZ20" s="197"/>
      <c r="DA20" s="897">
        <f>'Energy NPV'!U73</f>
        <v>278.04200000000003</v>
      </c>
      <c r="DB20" s="197"/>
      <c r="DC20" s="197">
        <f t="shared" si="15"/>
        <v>278.04200000000003</v>
      </c>
      <c r="DD20" s="197">
        <f t="shared" si="16"/>
        <v>-278.04200000000003</v>
      </c>
      <c r="DE20" s="197">
        <f t="shared" si="17"/>
        <v>-58.04200000000003</v>
      </c>
      <c r="DF20" s="196">
        <f t="shared" si="61"/>
        <v>0</v>
      </c>
      <c r="DG20" s="197">
        <f t="shared" si="62"/>
        <v>160.75184510043644</v>
      </c>
      <c r="DH20" s="197">
        <f t="shared" si="63"/>
        <v>203.1625659791616</v>
      </c>
      <c r="DI20" s="197">
        <f t="shared" si="64"/>
        <v>-203.1625659791616</v>
      </c>
      <c r="DJ20" s="199">
        <f t="shared" si="65"/>
        <v>-42.410720878725165</v>
      </c>
      <c r="DK20" s="196">
        <f t="shared" si="77"/>
        <v>0</v>
      </c>
      <c r="DL20" s="197">
        <f t="shared" si="66"/>
        <v>1701.2038724890876</v>
      </c>
      <c r="DM20" s="197">
        <f t="shared" si="67"/>
        <v>7281.7390931245072</v>
      </c>
      <c r="DN20" s="197">
        <f t="shared" si="68"/>
        <v>-7281.7390931245072</v>
      </c>
      <c r="DO20" s="199">
        <f t="shared" si="69"/>
        <v>-5580.535220635421</v>
      </c>
    </row>
    <row r="21" spans="2:119" x14ac:dyDescent="0.3">
      <c r="B21" s="204">
        <f t="shared" si="70"/>
        <v>10</v>
      </c>
      <c r="C21" s="197">
        <f>'Energy NPV'!D74</f>
        <v>11.617000000000001</v>
      </c>
      <c r="D21" s="197">
        <f>'Energy Inputs'!$F$58*$E$8</f>
        <v>55</v>
      </c>
      <c r="E21" s="197">
        <f t="shared" si="18"/>
        <v>638.93500000000006</v>
      </c>
      <c r="F21" s="197">
        <f>'Margins summary'!$U$14</f>
        <v>220</v>
      </c>
      <c r="G21" s="197">
        <f t="shared" si="19"/>
        <v>858.93500000000006</v>
      </c>
      <c r="H21" s="197"/>
      <c r="I21" s="897">
        <f>'Energy NPV'!U74</f>
        <v>278.04200000000003</v>
      </c>
      <c r="J21" s="197"/>
      <c r="K21" s="197">
        <f t="shared" si="0"/>
        <v>278.04200000000003</v>
      </c>
      <c r="L21" s="197">
        <f t="shared" si="1"/>
        <v>360.89300000000003</v>
      </c>
      <c r="M21" s="197">
        <f t="shared" si="2"/>
        <v>580.89300000000003</v>
      </c>
      <c r="N21" s="196">
        <f t="shared" si="20"/>
        <v>448.90725589706011</v>
      </c>
      <c r="O21" s="197">
        <f t="shared" si="21"/>
        <v>154.5690818273427</v>
      </c>
      <c r="P21" s="197">
        <f t="shared" si="22"/>
        <v>195.34862113380922</v>
      </c>
      <c r="Q21" s="197">
        <f t="shared" si="23"/>
        <v>253.55863476325089</v>
      </c>
      <c r="R21" s="199">
        <f t="shared" si="24"/>
        <v>408.12771659059359</v>
      </c>
      <c r="S21" s="196">
        <f t="shared" si="71"/>
        <v>4651.1516030665889</v>
      </c>
      <c r="T21" s="197">
        <f t="shared" si="72"/>
        <v>1855.7729543164303</v>
      </c>
      <c r="U21" s="197">
        <f t="shared" si="72"/>
        <v>7477.0877142583167</v>
      </c>
      <c r="V21" s="197">
        <f t="shared" si="72"/>
        <v>-2825.9361111917278</v>
      </c>
      <c r="W21" s="199">
        <f t="shared" si="72"/>
        <v>-970.16315687529823</v>
      </c>
      <c r="Z21" s="881">
        <v>10</v>
      </c>
      <c r="AA21" s="197">
        <f t="shared" si="3"/>
        <v>11.617000000000001</v>
      </c>
      <c r="AB21" s="197">
        <f>'Energy Inputs'!$F$58*$AB$8</f>
        <v>82.5</v>
      </c>
      <c r="AC21" s="197">
        <f t="shared" si="25"/>
        <v>958.40250000000003</v>
      </c>
      <c r="AD21" s="197">
        <f>'Margins summary'!$U$14</f>
        <v>220</v>
      </c>
      <c r="AE21" s="197">
        <f t="shared" si="26"/>
        <v>1178.4025000000001</v>
      </c>
      <c r="AF21" s="197"/>
      <c r="AG21" s="897">
        <f>'Energy NPV'!U74</f>
        <v>278.04200000000003</v>
      </c>
      <c r="AH21" s="197"/>
      <c r="AI21" s="197">
        <f t="shared" si="4"/>
        <v>278.04200000000003</v>
      </c>
      <c r="AJ21" s="197">
        <f t="shared" si="5"/>
        <v>680.3605</v>
      </c>
      <c r="AK21" s="197">
        <f t="shared" si="6"/>
        <v>900.36050000000012</v>
      </c>
      <c r="AL21" s="196">
        <f t="shared" si="27"/>
        <v>673.36088384559014</v>
      </c>
      <c r="AM21" s="197">
        <f t="shared" si="28"/>
        <v>154.5690818273427</v>
      </c>
      <c r="AN21" s="197">
        <f t="shared" si="29"/>
        <v>195.34862113380922</v>
      </c>
      <c r="AO21" s="197">
        <f t="shared" si="30"/>
        <v>478.01226271178092</v>
      </c>
      <c r="AP21" s="199">
        <f t="shared" si="31"/>
        <v>632.58134453912373</v>
      </c>
      <c r="AQ21" s="196">
        <f t="shared" si="73"/>
        <v>6976.7274045998838</v>
      </c>
      <c r="AR21" s="197">
        <f t="shared" si="32"/>
        <v>1855.7729543164303</v>
      </c>
      <c r="AS21" s="197">
        <f t="shared" si="33"/>
        <v>7477.0877142583167</v>
      </c>
      <c r="AT21" s="197">
        <f t="shared" si="34"/>
        <v>-500.36030965843366</v>
      </c>
      <c r="AU21" s="199">
        <f t="shared" si="35"/>
        <v>1355.4126446579976</v>
      </c>
      <c r="AX21" s="881">
        <v>10</v>
      </c>
      <c r="AY21" s="197">
        <f t="shared" si="7"/>
        <v>11.617000000000001</v>
      </c>
      <c r="AZ21" s="197">
        <f>'Energy Inputs'!$F$58*$AZ$8</f>
        <v>27.5</v>
      </c>
      <c r="BA21" s="197">
        <f t="shared" si="36"/>
        <v>319.46750000000003</v>
      </c>
      <c r="BB21" s="197">
        <f>'Margins summary'!$U$14</f>
        <v>220</v>
      </c>
      <c r="BC21" s="197">
        <f t="shared" si="37"/>
        <v>539.46749999999997</v>
      </c>
      <c r="BD21" s="197"/>
      <c r="BE21" s="897">
        <f>'Energy NPV'!U74</f>
        <v>278.04200000000003</v>
      </c>
      <c r="BF21" s="197"/>
      <c r="BG21" s="197">
        <f t="shared" si="38"/>
        <v>278.04200000000003</v>
      </c>
      <c r="BH21" s="197">
        <f t="shared" si="8"/>
        <v>41.4255</v>
      </c>
      <c r="BI21" s="197">
        <f t="shared" si="9"/>
        <v>261.42549999999994</v>
      </c>
      <c r="BJ21" s="196">
        <f t="shared" si="39"/>
        <v>224.45362794853006</v>
      </c>
      <c r="BK21" s="197">
        <f t="shared" si="40"/>
        <v>154.5690818273427</v>
      </c>
      <c r="BL21" s="197">
        <f t="shared" si="41"/>
        <v>195.34862113380922</v>
      </c>
      <c r="BM21" s="197">
        <f t="shared" si="42"/>
        <v>29.105006814720841</v>
      </c>
      <c r="BN21" s="199">
        <f t="shared" si="43"/>
        <v>183.67408864206351</v>
      </c>
      <c r="BO21" s="196">
        <f t="shared" si="74"/>
        <v>2325.5758015332945</v>
      </c>
      <c r="BP21" s="197">
        <f t="shared" si="44"/>
        <v>1855.7729543164303</v>
      </c>
      <c r="BQ21" s="197">
        <f t="shared" si="45"/>
        <v>7477.0877142583167</v>
      </c>
      <c r="BR21" s="197">
        <f t="shared" si="46"/>
        <v>-5151.5119127250227</v>
      </c>
      <c r="BS21" s="199">
        <f t="shared" si="47"/>
        <v>-3295.7389584085927</v>
      </c>
      <c r="BV21" s="881">
        <v>10</v>
      </c>
      <c r="BW21" s="197">
        <f t="shared" si="10"/>
        <v>11.617000000000001</v>
      </c>
      <c r="BX21" s="197">
        <f>'Energy Inputs'!$F$58*$BX$8</f>
        <v>110</v>
      </c>
      <c r="BY21" s="197">
        <f t="shared" si="48"/>
        <v>1277.8700000000001</v>
      </c>
      <c r="BZ21" s="197">
        <f>'Margins summary'!$U$14</f>
        <v>220</v>
      </c>
      <c r="CA21" s="197">
        <f t="shared" si="49"/>
        <v>1497.8700000000001</v>
      </c>
      <c r="CB21" s="197"/>
      <c r="CC21" s="897">
        <f>'Energy NPV'!U74</f>
        <v>278.04200000000003</v>
      </c>
      <c r="CD21" s="197"/>
      <c r="CE21" s="197">
        <f t="shared" si="11"/>
        <v>278.04200000000003</v>
      </c>
      <c r="CF21" s="197">
        <f t="shared" si="12"/>
        <v>999.82800000000009</v>
      </c>
      <c r="CG21" s="197">
        <f t="shared" si="13"/>
        <v>1219.828</v>
      </c>
      <c r="CH21" s="196">
        <f t="shared" si="50"/>
        <v>897.81451179412022</v>
      </c>
      <c r="CI21" s="197">
        <f t="shared" si="51"/>
        <v>154.5690818273427</v>
      </c>
      <c r="CJ21" s="197">
        <f t="shared" si="52"/>
        <v>195.34862113380922</v>
      </c>
      <c r="CK21" s="197">
        <f t="shared" si="53"/>
        <v>702.46589066031095</v>
      </c>
      <c r="CL21" s="199">
        <f t="shared" si="54"/>
        <v>857.03497248765359</v>
      </c>
      <c r="CM21" s="196">
        <f t="shared" si="75"/>
        <v>9302.3032061331778</v>
      </c>
      <c r="CN21" s="197">
        <f t="shared" si="55"/>
        <v>1855.7729543164303</v>
      </c>
      <c r="CO21" s="197">
        <f t="shared" si="56"/>
        <v>7477.0877142583167</v>
      </c>
      <c r="CP21" s="197">
        <f t="shared" si="57"/>
        <v>1825.2154918748606</v>
      </c>
      <c r="CQ21" s="199">
        <f t="shared" si="58"/>
        <v>3680.9884461912907</v>
      </c>
      <c r="CT21" s="204">
        <f t="shared" si="76"/>
        <v>10</v>
      </c>
      <c r="CU21" s="197">
        <f t="shared" si="14"/>
        <v>11.617000000000001</v>
      </c>
      <c r="CV21" s="197">
        <f>'Energy Inputs'!$F$58*$CV$8</f>
        <v>0</v>
      </c>
      <c r="CW21" s="197">
        <f t="shared" si="59"/>
        <v>0</v>
      </c>
      <c r="CX21" s="197">
        <f>'Margins summary'!$U$14</f>
        <v>220</v>
      </c>
      <c r="CY21" s="197">
        <f t="shared" si="60"/>
        <v>220</v>
      </c>
      <c r="CZ21" s="197"/>
      <c r="DA21" s="897">
        <f>'Energy NPV'!U74</f>
        <v>278.04200000000003</v>
      </c>
      <c r="DB21" s="197"/>
      <c r="DC21" s="197">
        <f t="shared" si="15"/>
        <v>278.04200000000003</v>
      </c>
      <c r="DD21" s="197">
        <f t="shared" si="16"/>
        <v>-278.04200000000003</v>
      </c>
      <c r="DE21" s="197">
        <f t="shared" si="17"/>
        <v>-58.04200000000003</v>
      </c>
      <c r="DF21" s="196">
        <f t="shared" si="61"/>
        <v>0</v>
      </c>
      <c r="DG21" s="197">
        <f t="shared" si="62"/>
        <v>154.5690818273427</v>
      </c>
      <c r="DH21" s="197">
        <f t="shared" si="63"/>
        <v>195.34862113380922</v>
      </c>
      <c r="DI21" s="197">
        <f t="shared" si="64"/>
        <v>-195.34862113380922</v>
      </c>
      <c r="DJ21" s="199">
        <f t="shared" si="65"/>
        <v>-40.779539306466503</v>
      </c>
      <c r="DK21" s="196">
        <f t="shared" si="77"/>
        <v>0</v>
      </c>
      <c r="DL21" s="197">
        <f t="shared" si="66"/>
        <v>1855.7729543164303</v>
      </c>
      <c r="DM21" s="197">
        <f t="shared" si="67"/>
        <v>7477.0877142583167</v>
      </c>
      <c r="DN21" s="197">
        <f t="shared" si="68"/>
        <v>-7477.0877142583167</v>
      </c>
      <c r="DO21" s="199">
        <f t="shared" si="69"/>
        <v>-5621.3147599418871</v>
      </c>
    </row>
    <row r="22" spans="2:119" x14ac:dyDescent="0.3">
      <c r="B22" s="204">
        <f t="shared" si="70"/>
        <v>11</v>
      </c>
      <c r="C22" s="197">
        <f>'Energy NPV'!D75</f>
        <v>11.617000000000001</v>
      </c>
      <c r="D22" s="197">
        <f>'Energy Inputs'!$F$58*$E$8</f>
        <v>55</v>
      </c>
      <c r="E22" s="197">
        <f t="shared" si="18"/>
        <v>638.93500000000006</v>
      </c>
      <c r="F22" s="197">
        <f>'Margins summary'!$U$14</f>
        <v>220</v>
      </c>
      <c r="G22" s="197">
        <f t="shared" si="19"/>
        <v>858.93500000000006</v>
      </c>
      <c r="H22" s="197"/>
      <c r="I22" s="897">
        <f>'Energy NPV'!U75</f>
        <v>278.04200000000003</v>
      </c>
      <c r="J22" s="197"/>
      <c r="K22" s="197">
        <f t="shared" si="0"/>
        <v>278.04200000000003</v>
      </c>
      <c r="L22" s="197">
        <f t="shared" si="1"/>
        <v>360.89300000000003</v>
      </c>
      <c r="M22" s="197">
        <f t="shared" si="2"/>
        <v>580.89300000000003</v>
      </c>
      <c r="N22" s="196">
        <f t="shared" si="20"/>
        <v>431.64159220871164</v>
      </c>
      <c r="O22" s="197">
        <f t="shared" si="21"/>
        <v>148.62411714167567</v>
      </c>
      <c r="P22" s="197">
        <f t="shared" si="22"/>
        <v>187.8352126286627</v>
      </c>
      <c r="Q22" s="197">
        <f t="shared" si="23"/>
        <v>243.80637958004894</v>
      </c>
      <c r="R22" s="199">
        <f t="shared" si="24"/>
        <v>392.43049672172464</v>
      </c>
      <c r="S22" s="196">
        <f t="shared" si="71"/>
        <v>5082.7931952753006</v>
      </c>
      <c r="T22" s="197">
        <f t="shared" si="72"/>
        <v>2004.397071458106</v>
      </c>
      <c r="U22" s="197">
        <f t="shared" si="72"/>
        <v>7664.9229268869794</v>
      </c>
      <c r="V22" s="197">
        <f t="shared" si="72"/>
        <v>-2582.1297316116788</v>
      </c>
      <c r="W22" s="199">
        <f t="shared" si="72"/>
        <v>-577.73266015357353</v>
      </c>
      <c r="Z22" s="881">
        <v>11</v>
      </c>
      <c r="AA22" s="197">
        <f t="shared" si="3"/>
        <v>11.617000000000001</v>
      </c>
      <c r="AB22" s="197">
        <f>'Energy Inputs'!$F$58*$AB$8</f>
        <v>82.5</v>
      </c>
      <c r="AC22" s="197">
        <f t="shared" si="25"/>
        <v>958.40250000000003</v>
      </c>
      <c r="AD22" s="197">
        <f>'Margins summary'!$U$14</f>
        <v>220</v>
      </c>
      <c r="AE22" s="197">
        <f t="shared" si="26"/>
        <v>1178.4025000000001</v>
      </c>
      <c r="AF22" s="197"/>
      <c r="AG22" s="897">
        <f>'Energy NPV'!U75</f>
        <v>278.04200000000003</v>
      </c>
      <c r="AH22" s="197"/>
      <c r="AI22" s="197">
        <f t="shared" si="4"/>
        <v>278.04200000000003</v>
      </c>
      <c r="AJ22" s="197">
        <f t="shared" si="5"/>
        <v>680.3605</v>
      </c>
      <c r="AK22" s="197">
        <f t="shared" si="6"/>
        <v>900.36050000000012</v>
      </c>
      <c r="AL22" s="196">
        <f t="shared" si="27"/>
        <v>647.46238831306744</v>
      </c>
      <c r="AM22" s="197">
        <f t="shared" si="28"/>
        <v>148.62411714167567</v>
      </c>
      <c r="AN22" s="197">
        <f t="shared" si="29"/>
        <v>187.8352126286627</v>
      </c>
      <c r="AO22" s="197">
        <f t="shared" si="30"/>
        <v>459.62717568440473</v>
      </c>
      <c r="AP22" s="199">
        <f t="shared" si="31"/>
        <v>608.25129282608043</v>
      </c>
      <c r="AQ22" s="196">
        <f t="shared" si="73"/>
        <v>7624.1897929129509</v>
      </c>
      <c r="AR22" s="197">
        <f t="shared" si="32"/>
        <v>2004.397071458106</v>
      </c>
      <c r="AS22" s="197">
        <f t="shared" si="33"/>
        <v>7664.9229268869794</v>
      </c>
      <c r="AT22" s="197">
        <f t="shared" si="34"/>
        <v>-40.733133974028931</v>
      </c>
      <c r="AU22" s="199">
        <f t="shared" si="35"/>
        <v>1963.6639374840779</v>
      </c>
      <c r="AX22" s="881">
        <v>11</v>
      </c>
      <c r="AY22" s="197">
        <f t="shared" si="7"/>
        <v>11.617000000000001</v>
      </c>
      <c r="AZ22" s="197">
        <f>'Energy Inputs'!$F$58*$AZ$8</f>
        <v>27.5</v>
      </c>
      <c r="BA22" s="197">
        <f t="shared" si="36"/>
        <v>319.46750000000003</v>
      </c>
      <c r="BB22" s="197">
        <f>'Margins summary'!$U$14</f>
        <v>220</v>
      </c>
      <c r="BC22" s="197">
        <f t="shared" si="37"/>
        <v>539.46749999999997</v>
      </c>
      <c r="BD22" s="197"/>
      <c r="BE22" s="897">
        <f>'Energy NPV'!U75</f>
        <v>278.04200000000003</v>
      </c>
      <c r="BF22" s="197"/>
      <c r="BG22" s="197">
        <f t="shared" si="38"/>
        <v>278.04200000000003</v>
      </c>
      <c r="BH22" s="197">
        <f t="shared" si="8"/>
        <v>41.4255</v>
      </c>
      <c r="BI22" s="197">
        <f t="shared" si="9"/>
        <v>261.42549999999994</v>
      </c>
      <c r="BJ22" s="196">
        <f t="shared" si="39"/>
        <v>215.82079610435582</v>
      </c>
      <c r="BK22" s="197">
        <f t="shared" si="40"/>
        <v>148.62411714167567</v>
      </c>
      <c r="BL22" s="197">
        <f t="shared" si="41"/>
        <v>187.8352126286627</v>
      </c>
      <c r="BM22" s="197">
        <f t="shared" si="42"/>
        <v>27.985583475693119</v>
      </c>
      <c r="BN22" s="199">
        <f t="shared" si="43"/>
        <v>176.60970061736876</v>
      </c>
      <c r="BO22" s="196">
        <f t="shared" si="74"/>
        <v>2541.3965976376503</v>
      </c>
      <c r="BP22" s="197">
        <f t="shared" si="44"/>
        <v>2004.397071458106</v>
      </c>
      <c r="BQ22" s="197">
        <f t="shared" si="45"/>
        <v>7664.9229268869794</v>
      </c>
      <c r="BR22" s="197">
        <f t="shared" si="46"/>
        <v>-5123.52632924933</v>
      </c>
      <c r="BS22" s="199">
        <f t="shared" si="47"/>
        <v>-3119.1292577912241</v>
      </c>
      <c r="BV22" s="881">
        <v>11</v>
      </c>
      <c r="BW22" s="197">
        <f t="shared" si="10"/>
        <v>11.617000000000001</v>
      </c>
      <c r="BX22" s="197">
        <f>'Energy Inputs'!$F$58*$BX$8</f>
        <v>110</v>
      </c>
      <c r="BY22" s="197">
        <f t="shared" si="48"/>
        <v>1277.8700000000001</v>
      </c>
      <c r="BZ22" s="197">
        <f>'Margins summary'!$U$14</f>
        <v>220</v>
      </c>
      <c r="CA22" s="197">
        <f t="shared" si="49"/>
        <v>1497.8700000000001</v>
      </c>
      <c r="CB22" s="197"/>
      <c r="CC22" s="897">
        <f>'Energy NPV'!U75</f>
        <v>278.04200000000003</v>
      </c>
      <c r="CD22" s="197"/>
      <c r="CE22" s="197">
        <f t="shared" si="11"/>
        <v>278.04200000000003</v>
      </c>
      <c r="CF22" s="197">
        <f t="shared" si="12"/>
        <v>999.82800000000009</v>
      </c>
      <c r="CG22" s="197">
        <f t="shared" si="13"/>
        <v>1219.828</v>
      </c>
      <c r="CH22" s="196">
        <f t="shared" si="50"/>
        <v>863.28318441742329</v>
      </c>
      <c r="CI22" s="197">
        <f t="shared" si="51"/>
        <v>148.62411714167567</v>
      </c>
      <c r="CJ22" s="197">
        <f t="shared" si="52"/>
        <v>187.8352126286627</v>
      </c>
      <c r="CK22" s="197">
        <f t="shared" si="53"/>
        <v>675.44797178876058</v>
      </c>
      <c r="CL22" s="199">
        <f t="shared" si="54"/>
        <v>824.07208893043617</v>
      </c>
      <c r="CM22" s="196">
        <f t="shared" si="75"/>
        <v>10165.586390550601</v>
      </c>
      <c r="CN22" s="197">
        <f t="shared" si="55"/>
        <v>2004.397071458106</v>
      </c>
      <c r="CO22" s="197">
        <f t="shared" si="56"/>
        <v>7664.9229268869794</v>
      </c>
      <c r="CP22" s="197">
        <f t="shared" si="57"/>
        <v>2500.6634636636213</v>
      </c>
      <c r="CQ22" s="199">
        <f t="shared" si="58"/>
        <v>4505.0605351217273</v>
      </c>
      <c r="CT22" s="204">
        <f t="shared" si="76"/>
        <v>11</v>
      </c>
      <c r="CU22" s="197">
        <f t="shared" si="14"/>
        <v>11.617000000000001</v>
      </c>
      <c r="CV22" s="197">
        <f>'Energy Inputs'!$F$58*$CV$8</f>
        <v>0</v>
      </c>
      <c r="CW22" s="197">
        <f t="shared" si="59"/>
        <v>0</v>
      </c>
      <c r="CX22" s="197">
        <f>'Margins summary'!$U$14</f>
        <v>220</v>
      </c>
      <c r="CY22" s="197">
        <f t="shared" si="60"/>
        <v>220</v>
      </c>
      <c r="CZ22" s="197"/>
      <c r="DA22" s="897">
        <f>'Energy NPV'!U75</f>
        <v>278.04200000000003</v>
      </c>
      <c r="DB22" s="197"/>
      <c r="DC22" s="197">
        <f t="shared" si="15"/>
        <v>278.04200000000003</v>
      </c>
      <c r="DD22" s="197">
        <f t="shared" si="16"/>
        <v>-278.04200000000003</v>
      </c>
      <c r="DE22" s="197">
        <f t="shared" si="17"/>
        <v>-58.04200000000003</v>
      </c>
      <c r="DF22" s="196">
        <f t="shared" si="61"/>
        <v>0</v>
      </c>
      <c r="DG22" s="197">
        <f t="shared" si="62"/>
        <v>148.62411714167567</v>
      </c>
      <c r="DH22" s="197">
        <f t="shared" si="63"/>
        <v>187.8352126286627</v>
      </c>
      <c r="DI22" s="197">
        <f t="shared" si="64"/>
        <v>-187.8352126286627</v>
      </c>
      <c r="DJ22" s="199">
        <f t="shared" si="65"/>
        <v>-39.21109548698702</v>
      </c>
      <c r="DK22" s="196">
        <f t="shared" si="77"/>
        <v>0</v>
      </c>
      <c r="DL22" s="197">
        <f t="shared" si="66"/>
        <v>2004.397071458106</v>
      </c>
      <c r="DM22" s="197">
        <f t="shared" si="67"/>
        <v>7664.9229268869794</v>
      </c>
      <c r="DN22" s="197">
        <f t="shared" si="68"/>
        <v>-7664.9229268869794</v>
      </c>
      <c r="DO22" s="199">
        <f t="shared" si="69"/>
        <v>-5660.5258554288739</v>
      </c>
    </row>
    <row r="23" spans="2:119" x14ac:dyDescent="0.3">
      <c r="B23" s="204">
        <f t="shared" si="70"/>
        <v>12</v>
      </c>
      <c r="C23" s="197">
        <f>'Energy NPV'!D76</f>
        <v>11.617000000000001</v>
      </c>
      <c r="D23" s="197">
        <f>'Energy Inputs'!$F$58*$E$8</f>
        <v>55</v>
      </c>
      <c r="E23" s="197">
        <f t="shared" si="18"/>
        <v>638.93500000000006</v>
      </c>
      <c r="F23" s="197">
        <f>'Margins summary'!$U$14</f>
        <v>220</v>
      </c>
      <c r="G23" s="197">
        <f t="shared" si="19"/>
        <v>858.93500000000006</v>
      </c>
      <c r="H23" s="197"/>
      <c r="I23" s="897">
        <f>'Energy NPV'!U76</f>
        <v>278.04200000000003</v>
      </c>
      <c r="J23" s="197"/>
      <c r="K23" s="197">
        <f t="shared" si="0"/>
        <v>278.04200000000003</v>
      </c>
      <c r="L23" s="197">
        <f t="shared" si="1"/>
        <v>360.89300000000003</v>
      </c>
      <c r="M23" s="197">
        <f t="shared" si="2"/>
        <v>580.89300000000003</v>
      </c>
      <c r="N23" s="196">
        <f t="shared" si="20"/>
        <v>415.0399925083766</v>
      </c>
      <c r="O23" s="197">
        <f t="shared" si="21"/>
        <v>142.90780494391893</v>
      </c>
      <c r="P23" s="197">
        <f t="shared" si="22"/>
        <v>180.61078137371416</v>
      </c>
      <c r="Q23" s="197">
        <f t="shared" si="23"/>
        <v>234.42921113466247</v>
      </c>
      <c r="R23" s="199">
        <f t="shared" si="24"/>
        <v>377.33701607858137</v>
      </c>
      <c r="S23" s="196">
        <f t="shared" si="71"/>
        <v>5497.8331877836772</v>
      </c>
      <c r="T23" s="197">
        <f t="shared" si="72"/>
        <v>2147.304876402025</v>
      </c>
      <c r="U23" s="197">
        <f t="shared" si="72"/>
        <v>7845.5337082606939</v>
      </c>
      <c r="V23" s="197">
        <f t="shared" si="72"/>
        <v>-2347.7005204770162</v>
      </c>
      <c r="W23" s="199">
        <f t="shared" si="72"/>
        <v>-200.39564407499216</v>
      </c>
      <c r="Z23" s="881">
        <v>12</v>
      </c>
      <c r="AA23" s="197">
        <f t="shared" si="3"/>
        <v>11.617000000000001</v>
      </c>
      <c r="AB23" s="197">
        <f>'Energy Inputs'!$F$58*$AB$8</f>
        <v>82.5</v>
      </c>
      <c r="AC23" s="197">
        <f t="shared" si="25"/>
        <v>958.40250000000003</v>
      </c>
      <c r="AD23" s="197">
        <f>'Margins summary'!$U$14</f>
        <v>220</v>
      </c>
      <c r="AE23" s="197">
        <f t="shared" si="26"/>
        <v>1178.4025000000001</v>
      </c>
      <c r="AF23" s="197"/>
      <c r="AG23" s="897">
        <f>'Energy NPV'!U76</f>
        <v>278.04200000000003</v>
      </c>
      <c r="AH23" s="197"/>
      <c r="AI23" s="197">
        <f t="shared" si="4"/>
        <v>278.04200000000003</v>
      </c>
      <c r="AJ23" s="197">
        <f t="shared" si="5"/>
        <v>680.3605</v>
      </c>
      <c r="AK23" s="197">
        <f t="shared" si="6"/>
        <v>900.36050000000012</v>
      </c>
      <c r="AL23" s="196">
        <f t="shared" si="27"/>
        <v>622.5599887625649</v>
      </c>
      <c r="AM23" s="197">
        <f t="shared" si="28"/>
        <v>142.90780494391893</v>
      </c>
      <c r="AN23" s="197">
        <f t="shared" si="29"/>
        <v>180.61078137371416</v>
      </c>
      <c r="AO23" s="197">
        <f t="shared" si="30"/>
        <v>441.94920738885071</v>
      </c>
      <c r="AP23" s="199">
        <f t="shared" si="31"/>
        <v>584.85701233276973</v>
      </c>
      <c r="AQ23" s="196">
        <f t="shared" si="73"/>
        <v>8246.7497816755167</v>
      </c>
      <c r="AR23" s="197">
        <f t="shared" si="32"/>
        <v>2147.304876402025</v>
      </c>
      <c r="AS23" s="197">
        <f t="shared" si="33"/>
        <v>7845.5337082606939</v>
      </c>
      <c r="AT23" s="197">
        <f t="shared" si="34"/>
        <v>401.21607341482178</v>
      </c>
      <c r="AU23" s="199">
        <f t="shared" si="35"/>
        <v>2548.5209498168479</v>
      </c>
      <c r="AX23" s="881">
        <v>12</v>
      </c>
      <c r="AY23" s="197">
        <f t="shared" si="7"/>
        <v>11.617000000000001</v>
      </c>
      <c r="AZ23" s="197">
        <f>'Energy Inputs'!$F$58*$AZ$8</f>
        <v>27.5</v>
      </c>
      <c r="BA23" s="197">
        <f t="shared" si="36"/>
        <v>319.46750000000003</v>
      </c>
      <c r="BB23" s="197">
        <f>'Margins summary'!$U$14</f>
        <v>220</v>
      </c>
      <c r="BC23" s="197">
        <f t="shared" si="37"/>
        <v>539.46749999999997</v>
      </c>
      <c r="BD23" s="197"/>
      <c r="BE23" s="897">
        <f>'Energy NPV'!U76</f>
        <v>278.04200000000003</v>
      </c>
      <c r="BF23" s="197"/>
      <c r="BG23" s="197">
        <f t="shared" si="38"/>
        <v>278.04200000000003</v>
      </c>
      <c r="BH23" s="197">
        <f t="shared" si="8"/>
        <v>41.4255</v>
      </c>
      <c r="BI23" s="197">
        <f t="shared" si="9"/>
        <v>261.42549999999994</v>
      </c>
      <c r="BJ23" s="196">
        <f t="shared" si="39"/>
        <v>207.5199962541883</v>
      </c>
      <c r="BK23" s="197">
        <f t="shared" si="40"/>
        <v>142.90780494391893</v>
      </c>
      <c r="BL23" s="197">
        <f t="shared" si="41"/>
        <v>180.61078137371416</v>
      </c>
      <c r="BM23" s="197">
        <f t="shared" si="42"/>
        <v>26.909214880474153</v>
      </c>
      <c r="BN23" s="199">
        <f t="shared" si="43"/>
        <v>169.81701982439304</v>
      </c>
      <c r="BO23" s="196">
        <f t="shared" si="74"/>
        <v>2748.9165938918386</v>
      </c>
      <c r="BP23" s="197">
        <f t="shared" si="44"/>
        <v>2147.304876402025</v>
      </c>
      <c r="BQ23" s="197">
        <f t="shared" si="45"/>
        <v>7845.5337082606939</v>
      </c>
      <c r="BR23" s="197">
        <f t="shared" si="46"/>
        <v>-5096.6171143688562</v>
      </c>
      <c r="BS23" s="199">
        <f t="shared" si="47"/>
        <v>-2949.3122379668312</v>
      </c>
      <c r="BV23" s="881">
        <v>12</v>
      </c>
      <c r="BW23" s="197">
        <f t="shared" si="10"/>
        <v>11.617000000000001</v>
      </c>
      <c r="BX23" s="197">
        <f>'Energy Inputs'!$F$58*$BX$8</f>
        <v>110</v>
      </c>
      <c r="BY23" s="197">
        <f t="shared" si="48"/>
        <v>1277.8700000000001</v>
      </c>
      <c r="BZ23" s="197">
        <f>'Margins summary'!$U$14</f>
        <v>220</v>
      </c>
      <c r="CA23" s="197">
        <f t="shared" si="49"/>
        <v>1497.8700000000001</v>
      </c>
      <c r="CB23" s="197"/>
      <c r="CC23" s="897">
        <f>'Energy NPV'!U76</f>
        <v>278.04200000000003</v>
      </c>
      <c r="CD23" s="197"/>
      <c r="CE23" s="197">
        <f t="shared" si="11"/>
        <v>278.04200000000003</v>
      </c>
      <c r="CF23" s="197">
        <f t="shared" si="12"/>
        <v>999.82800000000009</v>
      </c>
      <c r="CG23" s="197">
        <f t="shared" si="13"/>
        <v>1219.828</v>
      </c>
      <c r="CH23" s="196">
        <f t="shared" si="50"/>
        <v>830.0799850167532</v>
      </c>
      <c r="CI23" s="197">
        <f t="shared" si="51"/>
        <v>142.90780494391893</v>
      </c>
      <c r="CJ23" s="197">
        <f t="shared" si="52"/>
        <v>180.61078137371416</v>
      </c>
      <c r="CK23" s="197">
        <f t="shared" si="53"/>
        <v>649.46920364303901</v>
      </c>
      <c r="CL23" s="199">
        <f t="shared" si="54"/>
        <v>792.37700858695791</v>
      </c>
      <c r="CM23" s="196">
        <f t="shared" si="75"/>
        <v>10995.666375567354</v>
      </c>
      <c r="CN23" s="197">
        <f t="shared" si="55"/>
        <v>2147.304876402025</v>
      </c>
      <c r="CO23" s="197">
        <f t="shared" si="56"/>
        <v>7845.5337082606939</v>
      </c>
      <c r="CP23" s="197">
        <f t="shared" si="57"/>
        <v>3150.1326673066606</v>
      </c>
      <c r="CQ23" s="199">
        <f t="shared" si="58"/>
        <v>5297.4375437086856</v>
      </c>
      <c r="CT23" s="204">
        <f t="shared" si="76"/>
        <v>12</v>
      </c>
      <c r="CU23" s="197">
        <f t="shared" si="14"/>
        <v>11.617000000000001</v>
      </c>
      <c r="CV23" s="197">
        <f>'Energy Inputs'!$F$58*$CV$8</f>
        <v>0</v>
      </c>
      <c r="CW23" s="197">
        <f t="shared" si="59"/>
        <v>0</v>
      </c>
      <c r="CX23" s="197">
        <f>'Margins summary'!$U$14</f>
        <v>220</v>
      </c>
      <c r="CY23" s="197">
        <f t="shared" si="60"/>
        <v>220</v>
      </c>
      <c r="CZ23" s="197"/>
      <c r="DA23" s="897">
        <f>'Energy NPV'!U76</f>
        <v>278.04200000000003</v>
      </c>
      <c r="DB23" s="197"/>
      <c r="DC23" s="197">
        <f t="shared" si="15"/>
        <v>278.04200000000003</v>
      </c>
      <c r="DD23" s="197">
        <f t="shared" si="16"/>
        <v>-278.04200000000003</v>
      </c>
      <c r="DE23" s="197">
        <f t="shared" si="17"/>
        <v>-58.04200000000003</v>
      </c>
      <c r="DF23" s="196">
        <f t="shared" si="61"/>
        <v>0</v>
      </c>
      <c r="DG23" s="197">
        <f t="shared" si="62"/>
        <v>142.90780494391893</v>
      </c>
      <c r="DH23" s="197">
        <f t="shared" si="63"/>
        <v>180.61078137371416</v>
      </c>
      <c r="DI23" s="197">
        <f t="shared" si="64"/>
        <v>-180.61078137371416</v>
      </c>
      <c r="DJ23" s="199">
        <f t="shared" si="65"/>
        <v>-37.702976429795214</v>
      </c>
      <c r="DK23" s="196">
        <f t="shared" si="77"/>
        <v>0</v>
      </c>
      <c r="DL23" s="197">
        <f t="shared" si="66"/>
        <v>2147.304876402025</v>
      </c>
      <c r="DM23" s="197">
        <f t="shared" si="67"/>
        <v>7845.5337082606939</v>
      </c>
      <c r="DN23" s="197">
        <f t="shared" si="68"/>
        <v>-7845.5337082606939</v>
      </c>
      <c r="DO23" s="199">
        <f t="shared" si="69"/>
        <v>-5698.2288318586689</v>
      </c>
    </row>
    <row r="24" spans="2:119" x14ac:dyDescent="0.3">
      <c r="B24" s="204">
        <f t="shared" si="70"/>
        <v>13</v>
      </c>
      <c r="C24" s="197">
        <f>'Energy NPV'!D77</f>
        <v>11.617000000000001</v>
      </c>
      <c r="D24" s="197">
        <f>'Energy Inputs'!$F$58*$E$8</f>
        <v>55</v>
      </c>
      <c r="E24" s="197">
        <f t="shared" si="18"/>
        <v>638.93500000000006</v>
      </c>
      <c r="F24" s="197">
        <f>'Margins summary'!$U$14</f>
        <v>220</v>
      </c>
      <c r="G24" s="197">
        <f t="shared" si="19"/>
        <v>858.93500000000006</v>
      </c>
      <c r="H24" s="197"/>
      <c r="I24" s="897">
        <f>'Energy NPV'!U77</f>
        <v>278.04200000000003</v>
      </c>
      <c r="J24" s="197"/>
      <c r="K24" s="197">
        <f t="shared" si="0"/>
        <v>278.04200000000003</v>
      </c>
      <c r="L24" s="197">
        <f t="shared" si="1"/>
        <v>360.89300000000003</v>
      </c>
      <c r="M24" s="197">
        <f t="shared" si="2"/>
        <v>580.89300000000003</v>
      </c>
      <c r="N24" s="196">
        <f t="shared" si="20"/>
        <v>399.07691587343896</v>
      </c>
      <c r="O24" s="197">
        <f t="shared" si="21"/>
        <v>137.41135090761432</v>
      </c>
      <c r="P24" s="197">
        <f t="shared" si="22"/>
        <v>173.66421285934049</v>
      </c>
      <c r="Q24" s="197">
        <f t="shared" si="23"/>
        <v>225.41270301409847</v>
      </c>
      <c r="R24" s="199">
        <f t="shared" si="24"/>
        <v>362.82405392171279</v>
      </c>
      <c r="S24" s="196">
        <f t="shared" si="71"/>
        <v>5896.9101036571165</v>
      </c>
      <c r="T24" s="197">
        <f t="shared" si="72"/>
        <v>2284.7162273096392</v>
      </c>
      <c r="U24" s="197">
        <f t="shared" si="72"/>
        <v>8019.1979211200342</v>
      </c>
      <c r="V24" s="197">
        <f t="shared" si="72"/>
        <v>-2122.2878174629177</v>
      </c>
      <c r="W24" s="199">
        <f t="shared" si="72"/>
        <v>162.42840984672063</v>
      </c>
      <c r="Z24" s="881">
        <v>13</v>
      </c>
      <c r="AA24" s="197">
        <f t="shared" si="3"/>
        <v>11.617000000000001</v>
      </c>
      <c r="AB24" s="197">
        <f>'Energy Inputs'!$F$58*$AB$8</f>
        <v>82.5</v>
      </c>
      <c r="AC24" s="197">
        <f t="shared" si="25"/>
        <v>958.40250000000003</v>
      </c>
      <c r="AD24" s="197">
        <f>'Margins summary'!$U$14</f>
        <v>220</v>
      </c>
      <c r="AE24" s="197">
        <f t="shared" si="26"/>
        <v>1178.4025000000001</v>
      </c>
      <c r="AF24" s="197"/>
      <c r="AG24" s="897">
        <f>'Energy NPV'!U77</f>
        <v>278.04200000000003</v>
      </c>
      <c r="AH24" s="197"/>
      <c r="AI24" s="197">
        <f t="shared" si="4"/>
        <v>278.04200000000003</v>
      </c>
      <c r="AJ24" s="197">
        <f t="shared" si="5"/>
        <v>680.3605</v>
      </c>
      <c r="AK24" s="197">
        <f t="shared" si="6"/>
        <v>900.36050000000012</v>
      </c>
      <c r="AL24" s="196">
        <f t="shared" si="27"/>
        <v>598.61537381015842</v>
      </c>
      <c r="AM24" s="197">
        <f t="shared" si="28"/>
        <v>137.41135090761432</v>
      </c>
      <c r="AN24" s="197">
        <f t="shared" si="29"/>
        <v>173.66421285934049</v>
      </c>
      <c r="AO24" s="197">
        <f t="shared" si="30"/>
        <v>424.95116095081789</v>
      </c>
      <c r="AP24" s="199">
        <f t="shared" si="31"/>
        <v>562.3625118584323</v>
      </c>
      <c r="AQ24" s="196">
        <f t="shared" si="73"/>
        <v>8845.3651554856751</v>
      </c>
      <c r="AR24" s="197">
        <f t="shared" si="32"/>
        <v>2284.7162273096392</v>
      </c>
      <c r="AS24" s="197">
        <f t="shared" si="33"/>
        <v>8019.1979211200342</v>
      </c>
      <c r="AT24" s="197">
        <f t="shared" si="34"/>
        <v>826.16723436563962</v>
      </c>
      <c r="AU24" s="199">
        <f t="shared" si="35"/>
        <v>3110.8834616752802</v>
      </c>
      <c r="AX24" s="881">
        <v>13</v>
      </c>
      <c r="AY24" s="197">
        <f t="shared" si="7"/>
        <v>11.617000000000001</v>
      </c>
      <c r="AZ24" s="197">
        <f>'Energy Inputs'!$F$58*$AZ$8</f>
        <v>27.5</v>
      </c>
      <c r="BA24" s="197">
        <f t="shared" si="36"/>
        <v>319.46750000000003</v>
      </c>
      <c r="BB24" s="197">
        <f>'Margins summary'!$U$14</f>
        <v>220</v>
      </c>
      <c r="BC24" s="197">
        <f t="shared" si="37"/>
        <v>539.46749999999997</v>
      </c>
      <c r="BD24" s="197"/>
      <c r="BE24" s="897">
        <f>'Energy NPV'!U77</f>
        <v>278.04200000000003</v>
      </c>
      <c r="BF24" s="197"/>
      <c r="BG24" s="197">
        <f t="shared" si="38"/>
        <v>278.04200000000003</v>
      </c>
      <c r="BH24" s="197">
        <f t="shared" si="8"/>
        <v>41.4255</v>
      </c>
      <c r="BI24" s="197">
        <f t="shared" si="9"/>
        <v>261.42549999999994</v>
      </c>
      <c r="BJ24" s="196">
        <f t="shared" si="39"/>
        <v>199.53845793671948</v>
      </c>
      <c r="BK24" s="197">
        <f t="shared" si="40"/>
        <v>137.41135090761432</v>
      </c>
      <c r="BL24" s="197">
        <f t="shared" si="41"/>
        <v>173.66421285934049</v>
      </c>
      <c r="BM24" s="197">
        <f t="shared" si="42"/>
        <v>25.874245077378987</v>
      </c>
      <c r="BN24" s="199">
        <f t="shared" si="43"/>
        <v>163.28559598499328</v>
      </c>
      <c r="BO24" s="196">
        <f t="shared" si="74"/>
        <v>2948.4550518285582</v>
      </c>
      <c r="BP24" s="197">
        <f t="shared" si="44"/>
        <v>2284.7162273096392</v>
      </c>
      <c r="BQ24" s="197">
        <f t="shared" si="45"/>
        <v>8019.1979211200342</v>
      </c>
      <c r="BR24" s="197">
        <f t="shared" si="46"/>
        <v>-5070.7428692914773</v>
      </c>
      <c r="BS24" s="199">
        <f t="shared" si="47"/>
        <v>-2786.0266419818381</v>
      </c>
      <c r="BV24" s="881">
        <v>13</v>
      </c>
      <c r="BW24" s="197">
        <f t="shared" si="10"/>
        <v>11.617000000000001</v>
      </c>
      <c r="BX24" s="197">
        <f>'Energy Inputs'!$F$58*$BX$8</f>
        <v>110</v>
      </c>
      <c r="BY24" s="197">
        <f t="shared" si="48"/>
        <v>1277.8700000000001</v>
      </c>
      <c r="BZ24" s="197">
        <f>'Margins summary'!$U$14</f>
        <v>220</v>
      </c>
      <c r="CA24" s="197">
        <f t="shared" si="49"/>
        <v>1497.8700000000001</v>
      </c>
      <c r="CB24" s="197"/>
      <c r="CC24" s="897">
        <f>'Energy NPV'!U77</f>
        <v>278.04200000000003</v>
      </c>
      <c r="CD24" s="197"/>
      <c r="CE24" s="197">
        <f t="shared" si="11"/>
        <v>278.04200000000003</v>
      </c>
      <c r="CF24" s="197">
        <f t="shared" si="12"/>
        <v>999.82800000000009</v>
      </c>
      <c r="CG24" s="197">
        <f t="shared" si="13"/>
        <v>1219.828</v>
      </c>
      <c r="CH24" s="196">
        <f t="shared" si="50"/>
        <v>798.15383174687793</v>
      </c>
      <c r="CI24" s="197">
        <f t="shared" si="51"/>
        <v>137.41135090761432</v>
      </c>
      <c r="CJ24" s="197">
        <f t="shared" si="52"/>
        <v>173.66421285934049</v>
      </c>
      <c r="CK24" s="197">
        <f t="shared" si="53"/>
        <v>624.4896188875374</v>
      </c>
      <c r="CL24" s="199">
        <f t="shared" si="54"/>
        <v>761.9009697951517</v>
      </c>
      <c r="CM24" s="196">
        <f t="shared" si="75"/>
        <v>11793.820207314233</v>
      </c>
      <c r="CN24" s="197">
        <f t="shared" si="55"/>
        <v>2284.7162273096392</v>
      </c>
      <c r="CO24" s="197">
        <f t="shared" si="56"/>
        <v>8019.1979211200342</v>
      </c>
      <c r="CP24" s="197">
        <f t="shared" si="57"/>
        <v>3774.6222861941978</v>
      </c>
      <c r="CQ24" s="199">
        <f t="shared" si="58"/>
        <v>6059.338513503837</v>
      </c>
      <c r="CT24" s="204">
        <f t="shared" si="76"/>
        <v>13</v>
      </c>
      <c r="CU24" s="197">
        <f t="shared" si="14"/>
        <v>11.617000000000001</v>
      </c>
      <c r="CV24" s="197">
        <f>'Energy Inputs'!$F$58*$CV$8</f>
        <v>0</v>
      </c>
      <c r="CW24" s="197">
        <f t="shared" si="59"/>
        <v>0</v>
      </c>
      <c r="CX24" s="197">
        <f>'Margins summary'!$U$14</f>
        <v>220</v>
      </c>
      <c r="CY24" s="197">
        <f t="shared" si="60"/>
        <v>220</v>
      </c>
      <c r="CZ24" s="197"/>
      <c r="DA24" s="897">
        <f>'Energy NPV'!U77</f>
        <v>278.04200000000003</v>
      </c>
      <c r="DB24" s="197"/>
      <c r="DC24" s="197">
        <f t="shared" si="15"/>
        <v>278.04200000000003</v>
      </c>
      <c r="DD24" s="197">
        <f t="shared" si="16"/>
        <v>-278.04200000000003</v>
      </c>
      <c r="DE24" s="197">
        <f t="shared" si="17"/>
        <v>-58.04200000000003</v>
      </c>
      <c r="DF24" s="196">
        <f t="shared" si="61"/>
        <v>0</v>
      </c>
      <c r="DG24" s="197">
        <f t="shared" si="62"/>
        <v>137.41135090761432</v>
      </c>
      <c r="DH24" s="197">
        <f t="shared" si="63"/>
        <v>173.66421285934049</v>
      </c>
      <c r="DI24" s="197">
        <f t="shared" si="64"/>
        <v>-173.66421285934049</v>
      </c>
      <c r="DJ24" s="199">
        <f t="shared" si="65"/>
        <v>-36.25286195172616</v>
      </c>
      <c r="DK24" s="196">
        <f t="shared" si="77"/>
        <v>0</v>
      </c>
      <c r="DL24" s="197">
        <f t="shared" si="66"/>
        <v>2284.7162273096392</v>
      </c>
      <c r="DM24" s="197">
        <f t="shared" si="67"/>
        <v>8019.1979211200342</v>
      </c>
      <c r="DN24" s="197">
        <f t="shared" si="68"/>
        <v>-8019.1979211200342</v>
      </c>
      <c r="DO24" s="199">
        <f t="shared" si="69"/>
        <v>-5734.481693810395</v>
      </c>
    </row>
    <row r="25" spans="2:119" x14ac:dyDescent="0.3">
      <c r="B25" s="204">
        <f t="shared" si="70"/>
        <v>14</v>
      </c>
      <c r="C25" s="197">
        <f>'Energy NPV'!D78</f>
        <v>11.617000000000001</v>
      </c>
      <c r="D25" s="197">
        <f>'Energy Inputs'!$F$58*$E$8</f>
        <v>55</v>
      </c>
      <c r="E25" s="197">
        <f t="shared" si="18"/>
        <v>638.93500000000006</v>
      </c>
      <c r="F25" s="197">
        <f>'Margins summary'!$U$14</f>
        <v>220</v>
      </c>
      <c r="G25" s="197">
        <f t="shared" si="19"/>
        <v>858.93500000000006</v>
      </c>
      <c r="H25" s="197"/>
      <c r="I25" s="897">
        <f>'Energy NPV'!U78</f>
        <v>278.04200000000003</v>
      </c>
      <c r="J25" s="197"/>
      <c r="K25" s="197">
        <f t="shared" si="0"/>
        <v>278.04200000000003</v>
      </c>
      <c r="L25" s="197">
        <f t="shared" si="1"/>
        <v>360.89300000000003</v>
      </c>
      <c r="M25" s="197">
        <f t="shared" si="2"/>
        <v>580.89300000000003</v>
      </c>
      <c r="N25" s="196">
        <f t="shared" si="20"/>
        <v>383.7278037244605</v>
      </c>
      <c r="O25" s="197">
        <f t="shared" si="21"/>
        <v>132.12629894962916</v>
      </c>
      <c r="P25" s="197">
        <f t="shared" si="22"/>
        <v>166.98482005705816</v>
      </c>
      <c r="Q25" s="197">
        <f t="shared" si="23"/>
        <v>216.74298366740237</v>
      </c>
      <c r="R25" s="199">
        <f t="shared" si="24"/>
        <v>348.8692826170315</v>
      </c>
      <c r="S25" s="196">
        <f t="shared" si="71"/>
        <v>6280.637907381577</v>
      </c>
      <c r="T25" s="197">
        <f t="shared" si="72"/>
        <v>2416.8425262592682</v>
      </c>
      <c r="U25" s="197">
        <f t="shared" si="72"/>
        <v>8186.1827411770919</v>
      </c>
      <c r="V25" s="197">
        <f t="shared" si="72"/>
        <v>-1905.5448337955154</v>
      </c>
      <c r="W25" s="199">
        <f t="shared" si="72"/>
        <v>511.29769246375213</v>
      </c>
      <c r="Z25" s="881">
        <v>14</v>
      </c>
      <c r="AA25" s="197">
        <f t="shared" si="3"/>
        <v>11.617000000000001</v>
      </c>
      <c r="AB25" s="197">
        <f>'Energy Inputs'!$F$58*$AB$8</f>
        <v>82.5</v>
      </c>
      <c r="AC25" s="197">
        <f t="shared" si="25"/>
        <v>958.40250000000003</v>
      </c>
      <c r="AD25" s="197">
        <f>'Margins summary'!$U$14</f>
        <v>220</v>
      </c>
      <c r="AE25" s="197">
        <f t="shared" si="26"/>
        <v>1178.4025000000001</v>
      </c>
      <c r="AF25" s="197"/>
      <c r="AG25" s="897">
        <f>'Energy NPV'!U78</f>
        <v>278.04200000000003</v>
      </c>
      <c r="AH25" s="197"/>
      <c r="AI25" s="197">
        <f t="shared" si="4"/>
        <v>278.04200000000003</v>
      </c>
      <c r="AJ25" s="197">
        <f t="shared" si="5"/>
        <v>680.3605</v>
      </c>
      <c r="AK25" s="197">
        <f t="shared" si="6"/>
        <v>900.36050000000012</v>
      </c>
      <c r="AL25" s="196">
        <f t="shared" si="27"/>
        <v>575.59170558669075</v>
      </c>
      <c r="AM25" s="197">
        <f t="shared" si="28"/>
        <v>132.12629894962916</v>
      </c>
      <c r="AN25" s="197">
        <f t="shared" si="29"/>
        <v>166.98482005705816</v>
      </c>
      <c r="AO25" s="197">
        <f t="shared" si="30"/>
        <v>408.60688552963262</v>
      </c>
      <c r="AP25" s="199">
        <f t="shared" si="31"/>
        <v>540.73318447926181</v>
      </c>
      <c r="AQ25" s="196">
        <f t="shared" si="73"/>
        <v>9420.9568610723654</v>
      </c>
      <c r="AR25" s="197">
        <f t="shared" si="32"/>
        <v>2416.8425262592682</v>
      </c>
      <c r="AS25" s="197">
        <f t="shared" si="33"/>
        <v>8186.1827411770919</v>
      </c>
      <c r="AT25" s="197">
        <f t="shared" si="34"/>
        <v>1234.7741198952722</v>
      </c>
      <c r="AU25" s="199">
        <f t="shared" si="35"/>
        <v>3651.6166461545417</v>
      </c>
      <c r="AX25" s="881">
        <v>14</v>
      </c>
      <c r="AY25" s="197">
        <f t="shared" si="7"/>
        <v>11.617000000000001</v>
      </c>
      <c r="AZ25" s="197">
        <f>'Energy Inputs'!$F$58*$AZ$8</f>
        <v>27.5</v>
      </c>
      <c r="BA25" s="197">
        <f t="shared" si="36"/>
        <v>319.46750000000003</v>
      </c>
      <c r="BB25" s="197">
        <f>'Margins summary'!$U$14</f>
        <v>220</v>
      </c>
      <c r="BC25" s="197">
        <f t="shared" si="37"/>
        <v>539.46749999999997</v>
      </c>
      <c r="BD25" s="197"/>
      <c r="BE25" s="897">
        <f>'Energy NPV'!U78</f>
        <v>278.04200000000003</v>
      </c>
      <c r="BF25" s="197"/>
      <c r="BG25" s="197">
        <f t="shared" si="38"/>
        <v>278.04200000000003</v>
      </c>
      <c r="BH25" s="197">
        <f t="shared" si="8"/>
        <v>41.4255</v>
      </c>
      <c r="BI25" s="197">
        <f t="shared" si="9"/>
        <v>261.42549999999994</v>
      </c>
      <c r="BJ25" s="196">
        <f t="shared" si="39"/>
        <v>191.86390186223025</v>
      </c>
      <c r="BK25" s="197">
        <f t="shared" si="40"/>
        <v>132.12629894962916</v>
      </c>
      <c r="BL25" s="197">
        <f t="shared" si="41"/>
        <v>166.98482005705816</v>
      </c>
      <c r="BM25" s="197">
        <f t="shared" si="42"/>
        <v>24.879081805172103</v>
      </c>
      <c r="BN25" s="199">
        <f t="shared" si="43"/>
        <v>157.00538075480122</v>
      </c>
      <c r="BO25" s="196">
        <f t="shared" si="74"/>
        <v>3140.3189536907885</v>
      </c>
      <c r="BP25" s="197">
        <f t="shared" si="44"/>
        <v>2416.8425262592682</v>
      </c>
      <c r="BQ25" s="197">
        <f t="shared" si="45"/>
        <v>8186.1827411770919</v>
      </c>
      <c r="BR25" s="197">
        <f t="shared" si="46"/>
        <v>-5045.8637874863052</v>
      </c>
      <c r="BS25" s="199">
        <f t="shared" si="47"/>
        <v>-2629.021261227037</v>
      </c>
      <c r="BV25" s="881">
        <v>14</v>
      </c>
      <c r="BW25" s="197">
        <f t="shared" si="10"/>
        <v>11.617000000000001</v>
      </c>
      <c r="BX25" s="197">
        <f>'Energy Inputs'!$F$58*$BX$8</f>
        <v>110</v>
      </c>
      <c r="BY25" s="197">
        <f t="shared" si="48"/>
        <v>1277.8700000000001</v>
      </c>
      <c r="BZ25" s="197">
        <f>'Margins summary'!$U$14</f>
        <v>220</v>
      </c>
      <c r="CA25" s="197">
        <f t="shared" si="49"/>
        <v>1497.8700000000001</v>
      </c>
      <c r="CB25" s="197"/>
      <c r="CC25" s="897">
        <f>'Energy NPV'!U78</f>
        <v>278.04200000000003</v>
      </c>
      <c r="CD25" s="197"/>
      <c r="CE25" s="197">
        <f t="shared" si="11"/>
        <v>278.04200000000003</v>
      </c>
      <c r="CF25" s="197">
        <f t="shared" si="12"/>
        <v>999.82800000000009</v>
      </c>
      <c r="CG25" s="197">
        <f t="shared" si="13"/>
        <v>1219.828</v>
      </c>
      <c r="CH25" s="196">
        <f t="shared" si="50"/>
        <v>767.455607448921</v>
      </c>
      <c r="CI25" s="197">
        <f t="shared" si="51"/>
        <v>132.12629894962916</v>
      </c>
      <c r="CJ25" s="197">
        <f t="shared" si="52"/>
        <v>166.98482005705816</v>
      </c>
      <c r="CK25" s="197">
        <f t="shared" si="53"/>
        <v>600.47078739186293</v>
      </c>
      <c r="CL25" s="199">
        <f t="shared" si="54"/>
        <v>732.59708634149194</v>
      </c>
      <c r="CM25" s="196">
        <f t="shared" si="75"/>
        <v>12561.275814763154</v>
      </c>
      <c r="CN25" s="197">
        <f t="shared" si="55"/>
        <v>2416.8425262592682</v>
      </c>
      <c r="CO25" s="197">
        <f t="shared" si="56"/>
        <v>8186.1827411770919</v>
      </c>
      <c r="CP25" s="197">
        <f t="shared" si="57"/>
        <v>4375.0930735860611</v>
      </c>
      <c r="CQ25" s="199">
        <f t="shared" si="58"/>
        <v>6791.9355998453293</v>
      </c>
      <c r="CT25" s="204">
        <f t="shared" si="76"/>
        <v>14</v>
      </c>
      <c r="CU25" s="197">
        <f t="shared" si="14"/>
        <v>11.617000000000001</v>
      </c>
      <c r="CV25" s="197">
        <f>'Energy Inputs'!$F$58*$CV$8</f>
        <v>0</v>
      </c>
      <c r="CW25" s="197">
        <f t="shared" si="59"/>
        <v>0</v>
      </c>
      <c r="CX25" s="197">
        <f>'Margins summary'!$U$14</f>
        <v>220</v>
      </c>
      <c r="CY25" s="197">
        <f t="shared" si="60"/>
        <v>220</v>
      </c>
      <c r="CZ25" s="197"/>
      <c r="DA25" s="897">
        <f>'Energy NPV'!U78</f>
        <v>278.04200000000003</v>
      </c>
      <c r="DB25" s="197"/>
      <c r="DC25" s="197">
        <f t="shared" si="15"/>
        <v>278.04200000000003</v>
      </c>
      <c r="DD25" s="197">
        <f t="shared" si="16"/>
        <v>-278.04200000000003</v>
      </c>
      <c r="DE25" s="197">
        <f t="shared" si="17"/>
        <v>-58.04200000000003</v>
      </c>
      <c r="DF25" s="196">
        <f t="shared" si="61"/>
        <v>0</v>
      </c>
      <c r="DG25" s="197">
        <f t="shared" si="62"/>
        <v>132.12629894962916</v>
      </c>
      <c r="DH25" s="197">
        <f t="shared" si="63"/>
        <v>166.98482005705816</v>
      </c>
      <c r="DI25" s="197">
        <f t="shared" si="64"/>
        <v>-166.98482005705816</v>
      </c>
      <c r="DJ25" s="199">
        <f t="shared" si="65"/>
        <v>-34.858521107428999</v>
      </c>
      <c r="DK25" s="196">
        <f t="shared" si="77"/>
        <v>0</v>
      </c>
      <c r="DL25" s="197">
        <f t="shared" si="66"/>
        <v>2416.8425262592682</v>
      </c>
      <c r="DM25" s="197">
        <f t="shared" si="67"/>
        <v>8186.1827411770919</v>
      </c>
      <c r="DN25" s="197">
        <f t="shared" si="68"/>
        <v>-8186.1827411770919</v>
      </c>
      <c r="DO25" s="199">
        <f t="shared" si="69"/>
        <v>-5769.3402149178237</v>
      </c>
    </row>
    <row r="26" spans="2:119" x14ac:dyDescent="0.3">
      <c r="B26" s="204">
        <f t="shared" si="70"/>
        <v>15</v>
      </c>
      <c r="C26" s="197">
        <f>'Energy NPV'!D79</f>
        <v>11.617000000000001</v>
      </c>
      <c r="D26" s="197">
        <f>'Energy Inputs'!$F$58*$E$8</f>
        <v>55</v>
      </c>
      <c r="E26" s="197">
        <f t="shared" si="18"/>
        <v>638.93500000000006</v>
      </c>
      <c r="F26" s="197">
        <f>'Margins summary'!$U$14</f>
        <v>220</v>
      </c>
      <c r="G26" s="197">
        <f t="shared" si="19"/>
        <v>858.93500000000006</v>
      </c>
      <c r="H26" s="197"/>
      <c r="I26" s="897">
        <f>'Energy NPV'!U79</f>
        <v>278.04200000000003</v>
      </c>
      <c r="J26" s="197"/>
      <c r="K26" s="197">
        <f t="shared" si="0"/>
        <v>278.04200000000003</v>
      </c>
      <c r="L26" s="197">
        <f t="shared" si="1"/>
        <v>360.89300000000003</v>
      </c>
      <c r="M26" s="197">
        <f t="shared" si="2"/>
        <v>580.89300000000003</v>
      </c>
      <c r="N26" s="196">
        <f t="shared" si="20"/>
        <v>368.96904204275052</v>
      </c>
      <c r="O26" s="197">
        <f t="shared" si="21"/>
        <v>127.04451822079727</v>
      </c>
      <c r="P26" s="197">
        <f t="shared" si="22"/>
        <v>160.56232697794053</v>
      </c>
      <c r="Q26" s="197">
        <f t="shared" si="23"/>
        <v>208.40671506480996</v>
      </c>
      <c r="R26" s="199">
        <f t="shared" si="24"/>
        <v>335.45123328560726</v>
      </c>
      <c r="S26" s="196">
        <f t="shared" si="71"/>
        <v>6649.6069494243275</v>
      </c>
      <c r="T26" s="197">
        <f t="shared" si="72"/>
        <v>2543.8870444800655</v>
      </c>
      <c r="U26" s="197">
        <f t="shared" si="72"/>
        <v>8346.7450681550326</v>
      </c>
      <c r="V26" s="197">
        <f t="shared" si="72"/>
        <v>-1697.1381187307054</v>
      </c>
      <c r="W26" s="199">
        <f t="shared" si="72"/>
        <v>846.74892574935939</v>
      </c>
      <c r="Z26" s="881">
        <v>15</v>
      </c>
      <c r="AA26" s="197">
        <f t="shared" si="3"/>
        <v>11.617000000000001</v>
      </c>
      <c r="AB26" s="197">
        <f>'Energy Inputs'!$F$58*$AB$8</f>
        <v>82.5</v>
      </c>
      <c r="AC26" s="197">
        <f t="shared" si="25"/>
        <v>958.40250000000003</v>
      </c>
      <c r="AD26" s="197">
        <f>'Margins summary'!$U$14</f>
        <v>220</v>
      </c>
      <c r="AE26" s="197">
        <f t="shared" si="26"/>
        <v>1178.4025000000001</v>
      </c>
      <c r="AF26" s="197"/>
      <c r="AG26" s="897">
        <f>'Energy NPV'!U79</f>
        <v>278.04200000000003</v>
      </c>
      <c r="AH26" s="197"/>
      <c r="AI26" s="197">
        <f t="shared" si="4"/>
        <v>278.04200000000003</v>
      </c>
      <c r="AJ26" s="197">
        <f t="shared" si="5"/>
        <v>680.3605</v>
      </c>
      <c r="AK26" s="197">
        <f t="shared" si="6"/>
        <v>900.36050000000012</v>
      </c>
      <c r="AL26" s="196">
        <f t="shared" si="27"/>
        <v>553.45356306412577</v>
      </c>
      <c r="AM26" s="197">
        <f t="shared" si="28"/>
        <v>127.04451822079727</v>
      </c>
      <c r="AN26" s="197">
        <f t="shared" si="29"/>
        <v>160.56232697794053</v>
      </c>
      <c r="AO26" s="197">
        <f t="shared" si="30"/>
        <v>392.89123608618519</v>
      </c>
      <c r="AP26" s="199">
        <f t="shared" si="31"/>
        <v>519.93575430698252</v>
      </c>
      <c r="AQ26" s="196">
        <f t="shared" si="73"/>
        <v>9974.4104241364912</v>
      </c>
      <c r="AR26" s="197">
        <f t="shared" si="32"/>
        <v>2543.8870444800655</v>
      </c>
      <c r="AS26" s="197">
        <f t="shared" si="33"/>
        <v>8346.7450681550326</v>
      </c>
      <c r="AT26" s="197">
        <f t="shared" si="34"/>
        <v>1627.6653559814574</v>
      </c>
      <c r="AU26" s="199">
        <f t="shared" si="35"/>
        <v>4171.5524004615245</v>
      </c>
      <c r="AX26" s="881">
        <v>15</v>
      </c>
      <c r="AY26" s="197">
        <f t="shared" si="7"/>
        <v>11.617000000000001</v>
      </c>
      <c r="AZ26" s="197">
        <f>'Energy Inputs'!$F$58*$AZ$8</f>
        <v>27.5</v>
      </c>
      <c r="BA26" s="197">
        <f t="shared" si="36"/>
        <v>319.46750000000003</v>
      </c>
      <c r="BB26" s="197">
        <f>'Margins summary'!$U$14</f>
        <v>220</v>
      </c>
      <c r="BC26" s="197">
        <f t="shared" si="37"/>
        <v>539.46749999999997</v>
      </c>
      <c r="BD26" s="197"/>
      <c r="BE26" s="897">
        <f>'Energy NPV'!U79</f>
        <v>278.04200000000003</v>
      </c>
      <c r="BF26" s="197"/>
      <c r="BG26" s="197">
        <f t="shared" si="38"/>
        <v>278.04200000000003</v>
      </c>
      <c r="BH26" s="197">
        <f t="shared" si="8"/>
        <v>41.4255</v>
      </c>
      <c r="BI26" s="197">
        <f t="shared" si="9"/>
        <v>261.42549999999994</v>
      </c>
      <c r="BJ26" s="196">
        <f t="shared" si="39"/>
        <v>184.48452102137526</v>
      </c>
      <c r="BK26" s="197">
        <f t="shared" si="40"/>
        <v>127.04451822079727</v>
      </c>
      <c r="BL26" s="197">
        <f t="shared" si="41"/>
        <v>160.56232697794053</v>
      </c>
      <c r="BM26" s="197">
        <f t="shared" si="42"/>
        <v>23.922194043434715</v>
      </c>
      <c r="BN26" s="199">
        <f t="shared" si="43"/>
        <v>150.96671226423194</v>
      </c>
      <c r="BO26" s="196">
        <f t="shared" si="74"/>
        <v>3324.8034747121637</v>
      </c>
      <c r="BP26" s="197">
        <f t="shared" si="44"/>
        <v>2543.8870444800655</v>
      </c>
      <c r="BQ26" s="197">
        <f t="shared" si="45"/>
        <v>8346.7450681550326</v>
      </c>
      <c r="BR26" s="197">
        <f t="shared" si="46"/>
        <v>-5021.9415934428707</v>
      </c>
      <c r="BS26" s="199">
        <f t="shared" si="47"/>
        <v>-2478.0545489628053</v>
      </c>
      <c r="BV26" s="881">
        <v>15</v>
      </c>
      <c r="BW26" s="197">
        <f t="shared" si="10"/>
        <v>11.617000000000001</v>
      </c>
      <c r="BX26" s="197">
        <f>'Energy Inputs'!$F$58*$BX$8</f>
        <v>110</v>
      </c>
      <c r="BY26" s="197">
        <f t="shared" si="48"/>
        <v>1277.8700000000001</v>
      </c>
      <c r="BZ26" s="197">
        <f>'Margins summary'!$U$14</f>
        <v>220</v>
      </c>
      <c r="CA26" s="197">
        <f t="shared" si="49"/>
        <v>1497.8700000000001</v>
      </c>
      <c r="CB26" s="197"/>
      <c r="CC26" s="897">
        <f>'Energy NPV'!U79</f>
        <v>278.04200000000003</v>
      </c>
      <c r="CD26" s="197"/>
      <c r="CE26" s="197">
        <f t="shared" si="11"/>
        <v>278.04200000000003</v>
      </c>
      <c r="CF26" s="197">
        <f t="shared" si="12"/>
        <v>999.82800000000009</v>
      </c>
      <c r="CG26" s="197">
        <f t="shared" si="13"/>
        <v>1219.828</v>
      </c>
      <c r="CH26" s="196">
        <f t="shared" si="50"/>
        <v>737.93808408550103</v>
      </c>
      <c r="CI26" s="197">
        <f t="shared" si="51"/>
        <v>127.04451822079727</v>
      </c>
      <c r="CJ26" s="197">
        <f t="shared" si="52"/>
        <v>160.56232697794053</v>
      </c>
      <c r="CK26" s="197">
        <f t="shared" si="53"/>
        <v>577.3757571075605</v>
      </c>
      <c r="CL26" s="199">
        <f t="shared" si="54"/>
        <v>704.42027532835766</v>
      </c>
      <c r="CM26" s="196">
        <f t="shared" si="75"/>
        <v>13299.213898848655</v>
      </c>
      <c r="CN26" s="197">
        <f t="shared" si="55"/>
        <v>2543.8870444800655</v>
      </c>
      <c r="CO26" s="197">
        <f t="shared" si="56"/>
        <v>8346.7450681550326</v>
      </c>
      <c r="CP26" s="197">
        <f t="shared" si="57"/>
        <v>4952.4688306936214</v>
      </c>
      <c r="CQ26" s="199">
        <f t="shared" si="58"/>
        <v>7496.3558751736873</v>
      </c>
      <c r="CT26" s="204">
        <f t="shared" si="76"/>
        <v>15</v>
      </c>
      <c r="CU26" s="197">
        <f t="shared" si="14"/>
        <v>11.617000000000001</v>
      </c>
      <c r="CV26" s="197">
        <f>'Energy Inputs'!$F$58*$CV$8</f>
        <v>0</v>
      </c>
      <c r="CW26" s="197">
        <f t="shared" si="59"/>
        <v>0</v>
      </c>
      <c r="CX26" s="197">
        <f>'Margins summary'!$U$14</f>
        <v>220</v>
      </c>
      <c r="CY26" s="197">
        <f t="shared" si="60"/>
        <v>220</v>
      </c>
      <c r="CZ26" s="197"/>
      <c r="DA26" s="897">
        <f>'Energy NPV'!U79</f>
        <v>278.04200000000003</v>
      </c>
      <c r="DB26" s="197"/>
      <c r="DC26" s="197">
        <f t="shared" si="15"/>
        <v>278.04200000000003</v>
      </c>
      <c r="DD26" s="197">
        <f t="shared" si="16"/>
        <v>-278.04200000000003</v>
      </c>
      <c r="DE26" s="197">
        <f t="shared" si="17"/>
        <v>-58.04200000000003</v>
      </c>
      <c r="DF26" s="196">
        <f t="shared" si="61"/>
        <v>0</v>
      </c>
      <c r="DG26" s="197">
        <f t="shared" si="62"/>
        <v>127.04451822079727</v>
      </c>
      <c r="DH26" s="197">
        <f t="shared" si="63"/>
        <v>160.56232697794053</v>
      </c>
      <c r="DI26" s="197">
        <f t="shared" si="64"/>
        <v>-160.56232697794053</v>
      </c>
      <c r="DJ26" s="199">
        <f t="shared" si="65"/>
        <v>-33.517808757143271</v>
      </c>
      <c r="DK26" s="196">
        <f t="shared" si="77"/>
        <v>0</v>
      </c>
      <c r="DL26" s="197">
        <f t="shared" si="66"/>
        <v>2543.8870444800655</v>
      </c>
      <c r="DM26" s="197">
        <f t="shared" si="67"/>
        <v>8346.7450681550326</v>
      </c>
      <c r="DN26" s="197">
        <f t="shared" si="68"/>
        <v>-8346.7450681550326</v>
      </c>
      <c r="DO26" s="199">
        <f t="shared" si="69"/>
        <v>-5802.8580236749667</v>
      </c>
    </row>
    <row r="27" spans="2:119" x14ac:dyDescent="0.3">
      <c r="B27" s="206">
        <f t="shared" si="70"/>
        <v>16</v>
      </c>
      <c r="C27" s="207">
        <f>'Energy NPV'!D80</f>
        <v>11.617000000000001</v>
      </c>
      <c r="D27" s="207">
        <f>'Energy Inputs'!$F$58*$E$8</f>
        <v>55</v>
      </c>
      <c r="E27" s="207">
        <f t="shared" si="18"/>
        <v>638.93500000000006</v>
      </c>
      <c r="F27" s="207">
        <f>'Margins summary'!$U$14</f>
        <v>220</v>
      </c>
      <c r="G27" s="207">
        <f t="shared" si="19"/>
        <v>858.93500000000006</v>
      </c>
      <c r="H27" s="207"/>
      <c r="I27" s="898">
        <f>'Energy NPV'!U80</f>
        <v>278.04200000000003</v>
      </c>
      <c r="J27" s="207">
        <f>'Energy margins'!$X$67</f>
        <v>170</v>
      </c>
      <c r="K27" s="207">
        <f t="shared" si="0"/>
        <v>448.04200000000003</v>
      </c>
      <c r="L27" s="207">
        <f t="shared" si="1"/>
        <v>190.89300000000003</v>
      </c>
      <c r="M27" s="207">
        <f t="shared" si="2"/>
        <v>410.89300000000003</v>
      </c>
      <c r="N27" s="208">
        <f t="shared" si="20"/>
        <v>354.77792504110624</v>
      </c>
      <c r="O27" s="207">
        <f t="shared" si="21"/>
        <v>122.15819059692046</v>
      </c>
      <c r="P27" s="207">
        <f t="shared" si="22"/>
        <v>248.78181832466109</v>
      </c>
      <c r="Q27" s="207">
        <f t="shared" si="23"/>
        <v>105.99610671644518</v>
      </c>
      <c r="R27" s="209">
        <f t="shared" si="24"/>
        <v>228.15429731336565</v>
      </c>
      <c r="S27" s="208">
        <f t="shared" si="71"/>
        <v>7004.3848744654333</v>
      </c>
      <c r="T27" s="207">
        <f t="shared" si="72"/>
        <v>2666.045235076986</v>
      </c>
      <c r="U27" s="207">
        <f t="shared" si="72"/>
        <v>8595.5268864796944</v>
      </c>
      <c r="V27" s="207">
        <f t="shared" si="72"/>
        <v>-1591.1420120142602</v>
      </c>
      <c r="W27" s="209">
        <f t="shared" si="72"/>
        <v>1074.9032230627249</v>
      </c>
      <c r="Z27" s="882">
        <v>16</v>
      </c>
      <c r="AA27" s="207">
        <f t="shared" si="3"/>
        <v>11.617000000000001</v>
      </c>
      <c r="AB27" s="207">
        <f>'Energy Inputs'!$F$58*$AB$8</f>
        <v>82.5</v>
      </c>
      <c r="AC27" s="207">
        <f>AA27*AB27</f>
        <v>958.40250000000003</v>
      </c>
      <c r="AD27" s="207">
        <f>'Margins summary'!$U$14</f>
        <v>220</v>
      </c>
      <c r="AE27" s="207">
        <f t="shared" si="26"/>
        <v>1178.4025000000001</v>
      </c>
      <c r="AF27" s="207"/>
      <c r="AG27" s="898">
        <f>'Energy NPV'!U80</f>
        <v>278.04200000000003</v>
      </c>
      <c r="AH27" s="207">
        <f>'Energy margins'!$X$67</f>
        <v>170</v>
      </c>
      <c r="AI27" s="207">
        <f t="shared" si="4"/>
        <v>448.04200000000003</v>
      </c>
      <c r="AJ27" s="207">
        <f t="shared" si="5"/>
        <v>510.3605</v>
      </c>
      <c r="AK27" s="207">
        <f t="shared" si="6"/>
        <v>730.36050000000012</v>
      </c>
      <c r="AL27" s="208">
        <f t="shared" si="27"/>
        <v>532.16688756165934</v>
      </c>
      <c r="AM27" s="207">
        <f t="shared" si="28"/>
        <v>122.15819059692046</v>
      </c>
      <c r="AN27" s="207">
        <f t="shared" si="29"/>
        <v>248.78181832466109</v>
      </c>
      <c r="AO27" s="207">
        <f t="shared" si="30"/>
        <v>283.38506923699828</v>
      </c>
      <c r="AP27" s="209">
        <f t="shared" si="31"/>
        <v>405.5432598339188</v>
      </c>
      <c r="AQ27" s="208">
        <f t="shared" si="73"/>
        <v>10506.577311698151</v>
      </c>
      <c r="AR27" s="207">
        <f t="shared" si="32"/>
        <v>2666.045235076986</v>
      </c>
      <c r="AS27" s="207">
        <f t="shared" si="33"/>
        <v>8595.5268864796944</v>
      </c>
      <c r="AT27" s="207">
        <f t="shared" si="34"/>
        <v>1911.0504252184558</v>
      </c>
      <c r="AU27" s="209">
        <f t="shared" si="35"/>
        <v>4577.0956602954429</v>
      </c>
      <c r="AX27" s="882">
        <v>16</v>
      </c>
      <c r="AY27" s="207">
        <f t="shared" si="7"/>
        <v>11.617000000000001</v>
      </c>
      <c r="AZ27" s="207">
        <f>'Energy Inputs'!$F$58*$AZ$8</f>
        <v>27.5</v>
      </c>
      <c r="BA27" s="207">
        <f t="shared" si="36"/>
        <v>319.46750000000003</v>
      </c>
      <c r="BB27" s="207">
        <f>'Margins summary'!$U$14</f>
        <v>220</v>
      </c>
      <c r="BC27" s="207">
        <f t="shared" si="37"/>
        <v>539.46749999999997</v>
      </c>
      <c r="BD27" s="207"/>
      <c r="BE27" s="898">
        <f>'Energy NPV'!U80</f>
        <v>278.04200000000003</v>
      </c>
      <c r="BF27" s="207">
        <f>'Energy margins'!$X$67</f>
        <v>170</v>
      </c>
      <c r="BG27" s="207">
        <f t="shared" si="38"/>
        <v>448.04200000000003</v>
      </c>
      <c r="BH27" s="207">
        <f t="shared" si="8"/>
        <v>-128.5745</v>
      </c>
      <c r="BI27" s="207">
        <f t="shared" si="9"/>
        <v>91.425499999999943</v>
      </c>
      <c r="BJ27" s="208">
        <f t="shared" si="39"/>
        <v>177.38896252055312</v>
      </c>
      <c r="BK27" s="207">
        <f t="shared" si="40"/>
        <v>122.15819059692046</v>
      </c>
      <c r="BL27" s="207">
        <f t="shared" si="41"/>
        <v>248.78181832466109</v>
      </c>
      <c r="BM27" s="207">
        <f t="shared" si="42"/>
        <v>-71.392855804107953</v>
      </c>
      <c r="BN27" s="209">
        <f t="shared" si="43"/>
        <v>50.765334792812475</v>
      </c>
      <c r="BO27" s="208">
        <f t="shared" si="74"/>
        <v>3502.1924372327167</v>
      </c>
      <c r="BP27" s="207">
        <f t="shared" si="44"/>
        <v>2666.045235076986</v>
      </c>
      <c r="BQ27" s="207">
        <f t="shared" si="45"/>
        <v>8595.5268864796944</v>
      </c>
      <c r="BR27" s="207">
        <f t="shared" si="46"/>
        <v>-5093.3344492469787</v>
      </c>
      <c r="BS27" s="209">
        <f t="shared" si="47"/>
        <v>-2427.2892141699926</v>
      </c>
      <c r="BV27" s="882">
        <v>16</v>
      </c>
      <c r="BW27" s="207">
        <f t="shared" si="10"/>
        <v>11.617000000000001</v>
      </c>
      <c r="BX27" s="207">
        <f>'Energy Inputs'!$F$58*$BX$8</f>
        <v>110</v>
      </c>
      <c r="BY27" s="207">
        <f t="shared" si="48"/>
        <v>1277.8700000000001</v>
      </c>
      <c r="BZ27" s="207">
        <f>'Margins summary'!$U$14</f>
        <v>220</v>
      </c>
      <c r="CA27" s="207">
        <f t="shared" si="49"/>
        <v>1497.8700000000001</v>
      </c>
      <c r="CB27" s="207"/>
      <c r="CC27" s="898">
        <f>'Energy NPV'!U80</f>
        <v>278.04200000000003</v>
      </c>
      <c r="CD27" s="207">
        <f>'Energy margins'!$X$67</f>
        <v>170</v>
      </c>
      <c r="CE27" s="207">
        <f t="shared" si="11"/>
        <v>448.04200000000003</v>
      </c>
      <c r="CF27" s="207">
        <f t="shared" si="12"/>
        <v>829.82800000000009</v>
      </c>
      <c r="CG27" s="207">
        <f t="shared" si="13"/>
        <v>1049.828</v>
      </c>
      <c r="CH27" s="208">
        <f t="shared" si="50"/>
        <v>709.55585008221249</v>
      </c>
      <c r="CI27" s="207">
        <f t="shared" si="51"/>
        <v>122.15819059692046</v>
      </c>
      <c r="CJ27" s="207">
        <f t="shared" si="52"/>
        <v>248.78181832466109</v>
      </c>
      <c r="CK27" s="207">
        <f t="shared" si="53"/>
        <v>460.77403175755143</v>
      </c>
      <c r="CL27" s="209">
        <f t="shared" si="54"/>
        <v>582.93222235447183</v>
      </c>
      <c r="CM27" s="208">
        <f t="shared" si="75"/>
        <v>14008.769748930867</v>
      </c>
      <c r="CN27" s="207">
        <f t="shared" si="55"/>
        <v>2666.045235076986</v>
      </c>
      <c r="CO27" s="207">
        <f t="shared" si="56"/>
        <v>8595.5268864796944</v>
      </c>
      <c r="CP27" s="207">
        <f t="shared" si="57"/>
        <v>5413.2428624511731</v>
      </c>
      <c r="CQ27" s="209">
        <f t="shared" si="58"/>
        <v>8079.2880975281587</v>
      </c>
      <c r="CT27" s="206">
        <f t="shared" si="76"/>
        <v>16</v>
      </c>
      <c r="CU27" s="207">
        <f t="shared" si="14"/>
        <v>11.617000000000001</v>
      </c>
      <c r="CV27" s="207">
        <f>'Energy Inputs'!$F$58*$CV$8</f>
        <v>0</v>
      </c>
      <c r="CW27" s="207">
        <f t="shared" si="59"/>
        <v>0</v>
      </c>
      <c r="CX27" s="207">
        <f>'Margins summary'!$U$14</f>
        <v>220</v>
      </c>
      <c r="CY27" s="207">
        <f t="shared" si="60"/>
        <v>220</v>
      </c>
      <c r="CZ27" s="207"/>
      <c r="DA27" s="898">
        <f>'Energy NPV'!U80</f>
        <v>278.04200000000003</v>
      </c>
      <c r="DB27" s="207">
        <f>'Energy margins'!$X$67</f>
        <v>170</v>
      </c>
      <c r="DC27" s="207">
        <f t="shared" si="15"/>
        <v>448.04200000000003</v>
      </c>
      <c r="DD27" s="207">
        <f t="shared" si="16"/>
        <v>-448.04200000000003</v>
      </c>
      <c r="DE27" s="207">
        <f t="shared" si="17"/>
        <v>-228.04200000000003</v>
      </c>
      <c r="DF27" s="208">
        <f t="shared" si="61"/>
        <v>0</v>
      </c>
      <c r="DG27" s="207">
        <f t="shared" si="62"/>
        <v>122.15819059692046</v>
      </c>
      <c r="DH27" s="207">
        <f t="shared" si="63"/>
        <v>248.78181832466109</v>
      </c>
      <c r="DI27" s="207">
        <f t="shared" si="64"/>
        <v>-248.78181832466109</v>
      </c>
      <c r="DJ27" s="209">
        <f>DE27/((1+$B$4)^(CT27-1))</f>
        <v>-126.62362772774063</v>
      </c>
      <c r="DK27" s="208">
        <f t="shared" si="77"/>
        <v>0</v>
      </c>
      <c r="DL27" s="207">
        <f t="shared" si="66"/>
        <v>2666.045235076986</v>
      </c>
      <c r="DM27" s="207">
        <f t="shared" si="67"/>
        <v>8595.5268864796944</v>
      </c>
      <c r="DN27" s="207">
        <f t="shared" si="68"/>
        <v>-8595.5268864796944</v>
      </c>
      <c r="DO27" s="209">
        <f t="shared" si="69"/>
        <v>-5929.481651402707</v>
      </c>
    </row>
    <row r="34" spans="2:177" x14ac:dyDescent="0.3">
      <c r="B34" s="228" t="s">
        <v>498</v>
      </c>
      <c r="C34" s="750" t="s">
        <v>407</v>
      </c>
      <c r="D34" s="269" t="s">
        <v>418</v>
      </c>
      <c r="E34" s="194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Y34" s="102"/>
      <c r="Z34" s="228" t="s">
        <v>498</v>
      </c>
      <c r="AA34" s="211" t="s">
        <v>327</v>
      </c>
      <c r="AB34" s="888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498</v>
      </c>
      <c r="AY34" s="211" t="s">
        <v>333</v>
      </c>
      <c r="AZ34" s="889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498</v>
      </c>
      <c r="BW34" s="211" t="s">
        <v>334</v>
      </c>
      <c r="BX34" s="889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498</v>
      </c>
      <c r="CU34" s="211" t="s">
        <v>335</v>
      </c>
      <c r="CV34" s="889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EB34" s="102"/>
      <c r="EC34" s="102"/>
      <c r="ED34" s="102"/>
      <c r="EE34" s="102"/>
      <c r="EF34" s="102"/>
      <c r="EG34" s="102"/>
      <c r="EH34" s="102"/>
      <c r="EI34" s="102"/>
      <c r="EJ34" s="102"/>
      <c r="EK34" s="102"/>
      <c r="EL34" s="102"/>
      <c r="FK34" s="102"/>
      <c r="FL34" s="102"/>
      <c r="FM34" s="102"/>
      <c r="FN34" s="102"/>
      <c r="FO34" s="102"/>
      <c r="FP34" s="102"/>
      <c r="FQ34" s="102"/>
      <c r="FR34" s="102"/>
      <c r="FS34" s="102"/>
      <c r="FT34" s="102"/>
      <c r="FU34" s="102"/>
    </row>
    <row r="35" spans="2:177" x14ac:dyDescent="0.3">
      <c r="B35" s="203"/>
      <c r="C35" s="148"/>
      <c r="D35" s="148"/>
      <c r="E35" s="970"/>
      <c r="F35" s="970"/>
      <c r="G35" s="970"/>
      <c r="H35" s="148"/>
      <c r="I35" s="910"/>
      <c r="J35" s="970"/>
      <c r="K35" s="970"/>
      <c r="L35" s="148"/>
      <c r="M35" s="148"/>
      <c r="N35" s="971" t="s">
        <v>279</v>
      </c>
      <c r="O35" s="972"/>
      <c r="P35" s="972"/>
      <c r="Q35" s="972"/>
      <c r="R35" s="973"/>
      <c r="S35" s="971" t="s">
        <v>280</v>
      </c>
      <c r="T35" s="972"/>
      <c r="U35" s="972"/>
      <c r="V35" s="972"/>
      <c r="W35" s="973"/>
      <c r="Z35" s="203"/>
      <c r="AA35" s="148"/>
      <c r="AB35" s="148"/>
      <c r="AC35" s="966"/>
      <c r="AD35" s="966"/>
      <c r="AE35" s="966"/>
      <c r="AF35" s="148"/>
      <c r="AG35" s="977"/>
      <c r="AH35" s="745"/>
      <c r="AI35" s="745"/>
      <c r="AJ35" s="148"/>
      <c r="AK35" s="148"/>
      <c r="AL35" s="967" t="s">
        <v>279</v>
      </c>
      <c r="AM35" s="968"/>
      <c r="AN35" s="968"/>
      <c r="AO35" s="968"/>
      <c r="AP35" s="969"/>
      <c r="AQ35" s="967" t="s">
        <v>280</v>
      </c>
      <c r="AR35" s="968"/>
      <c r="AS35" s="968"/>
      <c r="AT35" s="968"/>
      <c r="AU35" s="969"/>
      <c r="AX35" s="203"/>
      <c r="AY35" s="148"/>
      <c r="AZ35" s="148"/>
      <c r="BA35" s="970"/>
      <c r="BB35" s="970"/>
      <c r="BC35" s="970"/>
      <c r="BD35" s="148"/>
      <c r="BE35" s="910"/>
      <c r="BF35" s="970"/>
      <c r="BG35" s="970"/>
      <c r="BH35" s="148"/>
      <c r="BI35" s="148"/>
      <c r="BJ35" s="971" t="s">
        <v>279</v>
      </c>
      <c r="BK35" s="972"/>
      <c r="BL35" s="972"/>
      <c r="BM35" s="972"/>
      <c r="BN35" s="973"/>
      <c r="BO35" s="971" t="s">
        <v>280</v>
      </c>
      <c r="BP35" s="972"/>
      <c r="BQ35" s="972"/>
      <c r="BR35" s="972"/>
      <c r="BS35" s="973"/>
      <c r="BV35" s="203"/>
      <c r="BW35" s="148"/>
      <c r="BX35" s="148"/>
      <c r="BY35" s="970"/>
      <c r="BZ35" s="970"/>
      <c r="CA35" s="970"/>
      <c r="CB35" s="148"/>
      <c r="CC35" s="910"/>
      <c r="CD35" s="970"/>
      <c r="CE35" s="970"/>
      <c r="CF35" s="148"/>
      <c r="CG35" s="148"/>
      <c r="CH35" s="971" t="s">
        <v>279</v>
      </c>
      <c r="CI35" s="972"/>
      <c r="CJ35" s="972"/>
      <c r="CK35" s="972"/>
      <c r="CL35" s="973"/>
      <c r="CM35" s="971" t="s">
        <v>280</v>
      </c>
      <c r="CN35" s="972"/>
      <c r="CO35" s="972"/>
      <c r="CP35" s="972"/>
      <c r="CQ35" s="973"/>
      <c r="CT35" s="203"/>
      <c r="CU35" s="148"/>
      <c r="CV35" s="148"/>
      <c r="CW35" s="970"/>
      <c r="CX35" s="970"/>
      <c r="CY35" s="970"/>
      <c r="CZ35" s="148"/>
      <c r="DA35" s="910"/>
      <c r="DB35" s="970"/>
      <c r="DC35" s="970"/>
      <c r="DD35" s="148"/>
      <c r="DE35" s="148"/>
      <c r="DF35" s="971" t="s">
        <v>279</v>
      </c>
      <c r="DG35" s="972"/>
      <c r="DH35" s="972"/>
      <c r="DI35" s="972"/>
      <c r="DJ35" s="973"/>
      <c r="DK35" s="971" t="s">
        <v>280</v>
      </c>
      <c r="DL35" s="972"/>
      <c r="DM35" s="972"/>
      <c r="DN35" s="972"/>
      <c r="DO35" s="973"/>
    </row>
    <row r="36" spans="2:177" ht="51" x14ac:dyDescent="0.3">
      <c r="B36" s="204" t="s">
        <v>281</v>
      </c>
      <c r="C36" s="205" t="s">
        <v>307</v>
      </c>
      <c r="D36" s="205" t="s">
        <v>308</v>
      </c>
      <c r="E36" s="171" t="s">
        <v>283</v>
      </c>
      <c r="F36" s="171" t="s">
        <v>10</v>
      </c>
      <c r="G36" s="171" t="s">
        <v>284</v>
      </c>
      <c r="H36" s="205" t="s">
        <v>305</v>
      </c>
      <c r="I36" s="914" t="str">
        <f>'Energy NPV'!U89</f>
        <v>Total Recurring Costs</v>
      </c>
      <c r="J36" s="205" t="s">
        <v>309</v>
      </c>
      <c r="K36" s="171" t="s">
        <v>287</v>
      </c>
      <c r="L36" s="171" t="s">
        <v>288</v>
      </c>
      <c r="M36" s="171" t="s">
        <v>289</v>
      </c>
      <c r="N36" s="195" t="s">
        <v>290</v>
      </c>
      <c r="O36" s="171" t="s">
        <v>291</v>
      </c>
      <c r="P36" s="171" t="s">
        <v>292</v>
      </c>
      <c r="Q36" s="171" t="s">
        <v>293</v>
      </c>
      <c r="R36" s="198" t="s">
        <v>294</v>
      </c>
      <c r="S36" s="195" t="s">
        <v>295</v>
      </c>
      <c r="T36" s="171" t="s">
        <v>296</v>
      </c>
      <c r="U36" s="171" t="s">
        <v>297</v>
      </c>
      <c r="V36" s="171" t="s">
        <v>298</v>
      </c>
      <c r="W36" s="198" t="s">
        <v>299</v>
      </c>
      <c r="Z36" s="204" t="s">
        <v>281</v>
      </c>
      <c r="AA36" s="205" t="s">
        <v>307</v>
      </c>
      <c r="AB36" s="205" t="s">
        <v>308</v>
      </c>
      <c r="AC36" s="171" t="s">
        <v>283</v>
      </c>
      <c r="AD36" s="171" t="s">
        <v>10</v>
      </c>
      <c r="AE36" s="171" t="s">
        <v>284</v>
      </c>
      <c r="AF36" s="205" t="s">
        <v>305</v>
      </c>
      <c r="AG36" s="914" t="str">
        <f>'Energy NPV'!U89</f>
        <v>Total Recurring Costs</v>
      </c>
      <c r="AH36" s="205" t="s">
        <v>309</v>
      </c>
      <c r="AI36" s="171" t="s">
        <v>287</v>
      </c>
      <c r="AJ36" s="171" t="s">
        <v>288</v>
      </c>
      <c r="AK36" s="171" t="s">
        <v>289</v>
      </c>
      <c r="AL36" s="195" t="s">
        <v>290</v>
      </c>
      <c r="AM36" s="171" t="s">
        <v>291</v>
      </c>
      <c r="AN36" s="171" t="s">
        <v>292</v>
      </c>
      <c r="AO36" s="171" t="s">
        <v>293</v>
      </c>
      <c r="AP36" s="198" t="s">
        <v>294</v>
      </c>
      <c r="AQ36" s="195" t="s">
        <v>295</v>
      </c>
      <c r="AR36" s="171" t="s">
        <v>296</v>
      </c>
      <c r="AS36" s="171" t="s">
        <v>297</v>
      </c>
      <c r="AT36" s="171" t="s">
        <v>298</v>
      </c>
      <c r="AU36" s="198" t="s">
        <v>299</v>
      </c>
      <c r="AX36" s="204" t="s">
        <v>281</v>
      </c>
      <c r="AY36" s="205" t="s">
        <v>307</v>
      </c>
      <c r="AZ36" s="205" t="s">
        <v>308</v>
      </c>
      <c r="BA36" s="171" t="s">
        <v>283</v>
      </c>
      <c r="BB36" s="171" t="s">
        <v>10</v>
      </c>
      <c r="BC36" s="171" t="s">
        <v>284</v>
      </c>
      <c r="BD36" s="205" t="s">
        <v>305</v>
      </c>
      <c r="BE36" s="914" t="s">
        <v>306</v>
      </c>
      <c r="BF36" s="205" t="s">
        <v>309</v>
      </c>
      <c r="BG36" s="171" t="s">
        <v>287</v>
      </c>
      <c r="BH36" s="171" t="s">
        <v>288</v>
      </c>
      <c r="BI36" s="171" t="s">
        <v>289</v>
      </c>
      <c r="BJ36" s="195" t="s">
        <v>290</v>
      </c>
      <c r="BK36" s="171" t="s">
        <v>291</v>
      </c>
      <c r="BL36" s="171" t="s">
        <v>292</v>
      </c>
      <c r="BM36" s="171" t="s">
        <v>293</v>
      </c>
      <c r="BN36" s="198" t="s">
        <v>294</v>
      </c>
      <c r="BO36" s="195" t="s">
        <v>295</v>
      </c>
      <c r="BP36" s="171" t="s">
        <v>296</v>
      </c>
      <c r="BQ36" s="171" t="s">
        <v>297</v>
      </c>
      <c r="BR36" s="171" t="s">
        <v>298</v>
      </c>
      <c r="BS36" s="198" t="s">
        <v>299</v>
      </c>
      <c r="BV36" s="204" t="s">
        <v>281</v>
      </c>
      <c r="BW36" s="205" t="s">
        <v>307</v>
      </c>
      <c r="BX36" s="205" t="s">
        <v>308</v>
      </c>
      <c r="BY36" s="171" t="s">
        <v>283</v>
      </c>
      <c r="BZ36" s="171" t="s">
        <v>10</v>
      </c>
      <c r="CA36" s="171" t="s">
        <v>284</v>
      </c>
      <c r="CB36" s="205" t="s">
        <v>305</v>
      </c>
      <c r="CC36" s="914" t="str">
        <f>'Energy NPV'!U89</f>
        <v>Total Recurring Costs</v>
      </c>
      <c r="CD36" s="205" t="s">
        <v>309</v>
      </c>
      <c r="CE36" s="171" t="s">
        <v>287</v>
      </c>
      <c r="CF36" s="171" t="s">
        <v>288</v>
      </c>
      <c r="CG36" s="171" t="s">
        <v>289</v>
      </c>
      <c r="CH36" s="195" t="s">
        <v>290</v>
      </c>
      <c r="CI36" s="171" t="s">
        <v>291</v>
      </c>
      <c r="CJ36" s="171" t="s">
        <v>292</v>
      </c>
      <c r="CK36" s="171" t="s">
        <v>293</v>
      </c>
      <c r="CL36" s="198" t="s">
        <v>294</v>
      </c>
      <c r="CM36" s="195" t="s">
        <v>295</v>
      </c>
      <c r="CN36" s="171" t="s">
        <v>296</v>
      </c>
      <c r="CO36" s="171" t="s">
        <v>297</v>
      </c>
      <c r="CP36" s="171" t="s">
        <v>298</v>
      </c>
      <c r="CQ36" s="198" t="s">
        <v>299</v>
      </c>
      <c r="CT36" s="204" t="s">
        <v>281</v>
      </c>
      <c r="CU36" s="205" t="s">
        <v>307</v>
      </c>
      <c r="CV36" s="205" t="s">
        <v>308</v>
      </c>
      <c r="CW36" s="171" t="s">
        <v>283</v>
      </c>
      <c r="CX36" s="171" t="s">
        <v>10</v>
      </c>
      <c r="CY36" s="171" t="s">
        <v>284</v>
      </c>
      <c r="CZ36" s="205" t="s">
        <v>305</v>
      </c>
      <c r="DA36" s="914" t="str">
        <f>'Energy NPV'!U89</f>
        <v>Total Recurring Costs</v>
      </c>
      <c r="DB36" s="205" t="s">
        <v>309</v>
      </c>
      <c r="DC36" s="171" t="s">
        <v>287</v>
      </c>
      <c r="DD36" s="171" t="s">
        <v>288</v>
      </c>
      <c r="DE36" s="171" t="s">
        <v>289</v>
      </c>
      <c r="DF36" s="195" t="s">
        <v>290</v>
      </c>
      <c r="DG36" s="171" t="s">
        <v>291</v>
      </c>
      <c r="DH36" s="171" t="s">
        <v>292</v>
      </c>
      <c r="DI36" s="171" t="s">
        <v>293</v>
      </c>
      <c r="DJ36" s="198" t="s">
        <v>294</v>
      </c>
      <c r="DK36" s="195" t="s">
        <v>295</v>
      </c>
      <c r="DL36" s="171" t="s">
        <v>296</v>
      </c>
      <c r="DM36" s="171" t="s">
        <v>297</v>
      </c>
      <c r="DN36" s="171" t="s">
        <v>298</v>
      </c>
      <c r="DO36" s="198" t="s">
        <v>299</v>
      </c>
    </row>
    <row r="37" spans="2:177" x14ac:dyDescent="0.3">
      <c r="B37" s="173"/>
      <c r="C37" s="226" t="s">
        <v>356</v>
      </c>
      <c r="D37" s="226" t="s">
        <v>476</v>
      </c>
      <c r="E37" s="201" t="s">
        <v>474</v>
      </c>
      <c r="F37" s="201" t="s">
        <v>474</v>
      </c>
      <c r="G37" s="201" t="s">
        <v>474</v>
      </c>
      <c r="H37" s="201" t="s">
        <v>474</v>
      </c>
      <c r="I37" s="948" t="str">
        <f>'Energy NPV'!U90</f>
        <v>(£ ha-1)</v>
      </c>
      <c r="J37" s="201" t="s">
        <v>474</v>
      </c>
      <c r="K37" s="201" t="s">
        <v>474</v>
      </c>
      <c r="L37" s="201" t="s">
        <v>474</v>
      </c>
      <c r="M37" s="202" t="s">
        <v>474</v>
      </c>
      <c r="N37" s="201" t="s">
        <v>474</v>
      </c>
      <c r="O37" s="201" t="s">
        <v>474</v>
      </c>
      <c r="P37" s="201" t="s">
        <v>474</v>
      </c>
      <c r="Q37" s="201" t="s">
        <v>474</v>
      </c>
      <c r="R37" s="202" t="s">
        <v>474</v>
      </c>
      <c r="S37" s="201" t="s">
        <v>474</v>
      </c>
      <c r="T37" s="201" t="s">
        <v>474</v>
      </c>
      <c r="U37" s="201" t="s">
        <v>474</v>
      </c>
      <c r="V37" s="201" t="s">
        <v>474</v>
      </c>
      <c r="W37" s="202" t="s">
        <v>474</v>
      </c>
      <c r="Z37" s="173"/>
      <c r="AA37" s="226" t="s">
        <v>356</v>
      </c>
      <c r="AB37" s="226" t="s">
        <v>476</v>
      </c>
      <c r="AC37" s="201" t="s">
        <v>474</v>
      </c>
      <c r="AD37" s="201" t="s">
        <v>474</v>
      </c>
      <c r="AE37" s="201" t="s">
        <v>474</v>
      </c>
      <c r="AF37" s="201" t="s">
        <v>474</v>
      </c>
      <c r="AG37" s="948" t="str">
        <f>'Energy NPV'!U90</f>
        <v>(£ ha-1)</v>
      </c>
      <c r="AH37" s="201" t="s">
        <v>474</v>
      </c>
      <c r="AI37" s="201" t="s">
        <v>474</v>
      </c>
      <c r="AJ37" s="201" t="s">
        <v>474</v>
      </c>
      <c r="AK37" s="202" t="s">
        <v>474</v>
      </c>
      <c r="AL37" s="201" t="s">
        <v>474</v>
      </c>
      <c r="AM37" s="201" t="s">
        <v>474</v>
      </c>
      <c r="AN37" s="201" t="s">
        <v>474</v>
      </c>
      <c r="AO37" s="201" t="s">
        <v>474</v>
      </c>
      <c r="AP37" s="202" t="s">
        <v>474</v>
      </c>
      <c r="AQ37" s="201" t="s">
        <v>474</v>
      </c>
      <c r="AR37" s="201" t="s">
        <v>474</v>
      </c>
      <c r="AS37" s="201" t="s">
        <v>474</v>
      </c>
      <c r="AT37" s="201" t="s">
        <v>474</v>
      </c>
      <c r="AU37" s="202" t="s">
        <v>474</v>
      </c>
      <c r="AX37" s="173"/>
      <c r="AY37" s="226" t="s">
        <v>356</v>
      </c>
      <c r="AZ37" s="226" t="s">
        <v>476</v>
      </c>
      <c r="BA37" s="201" t="s">
        <v>474</v>
      </c>
      <c r="BB37" s="201" t="s">
        <v>474</v>
      </c>
      <c r="BC37" s="201" t="s">
        <v>474</v>
      </c>
      <c r="BD37" s="201" t="s">
        <v>474</v>
      </c>
      <c r="BE37" s="948" t="s">
        <v>474</v>
      </c>
      <c r="BF37" s="201" t="s">
        <v>474</v>
      </c>
      <c r="BG37" s="201" t="s">
        <v>474</v>
      </c>
      <c r="BH37" s="201" t="s">
        <v>474</v>
      </c>
      <c r="BI37" s="202" t="s">
        <v>474</v>
      </c>
      <c r="BJ37" s="201" t="s">
        <v>474</v>
      </c>
      <c r="BK37" s="201" t="s">
        <v>474</v>
      </c>
      <c r="BL37" s="201" t="s">
        <v>474</v>
      </c>
      <c r="BM37" s="201" t="s">
        <v>474</v>
      </c>
      <c r="BN37" s="202" t="s">
        <v>474</v>
      </c>
      <c r="BO37" s="201" t="s">
        <v>474</v>
      </c>
      <c r="BP37" s="201" t="s">
        <v>474</v>
      </c>
      <c r="BQ37" s="201" t="s">
        <v>474</v>
      </c>
      <c r="BR37" s="201" t="s">
        <v>474</v>
      </c>
      <c r="BS37" s="202" t="s">
        <v>474</v>
      </c>
      <c r="BV37" s="173"/>
      <c r="BW37" s="226" t="s">
        <v>356</v>
      </c>
      <c r="BX37" s="226" t="s">
        <v>476</v>
      </c>
      <c r="BY37" s="201" t="s">
        <v>474</v>
      </c>
      <c r="BZ37" s="201" t="s">
        <v>474</v>
      </c>
      <c r="CA37" s="201" t="s">
        <v>474</v>
      </c>
      <c r="CB37" s="201" t="s">
        <v>474</v>
      </c>
      <c r="CC37" s="948" t="str">
        <f>'Energy NPV'!U90</f>
        <v>(£ ha-1)</v>
      </c>
      <c r="CD37" s="201" t="s">
        <v>474</v>
      </c>
      <c r="CE37" s="201" t="s">
        <v>474</v>
      </c>
      <c r="CF37" s="201" t="s">
        <v>474</v>
      </c>
      <c r="CG37" s="202" t="s">
        <v>474</v>
      </c>
      <c r="CH37" s="201" t="s">
        <v>474</v>
      </c>
      <c r="CI37" s="201" t="s">
        <v>474</v>
      </c>
      <c r="CJ37" s="201" t="s">
        <v>474</v>
      </c>
      <c r="CK37" s="201" t="s">
        <v>474</v>
      </c>
      <c r="CL37" s="202" t="s">
        <v>474</v>
      </c>
      <c r="CM37" s="201" t="s">
        <v>474</v>
      </c>
      <c r="CN37" s="201" t="s">
        <v>474</v>
      </c>
      <c r="CO37" s="201" t="s">
        <v>474</v>
      </c>
      <c r="CP37" s="201" t="s">
        <v>474</v>
      </c>
      <c r="CQ37" s="202" t="s">
        <v>474</v>
      </c>
      <c r="CT37" s="173"/>
      <c r="CU37" s="226" t="s">
        <v>356</v>
      </c>
      <c r="CV37" s="226" t="s">
        <v>476</v>
      </c>
      <c r="CW37" s="201" t="s">
        <v>474</v>
      </c>
      <c r="CX37" s="201" t="s">
        <v>474</v>
      </c>
      <c r="CY37" s="201" t="s">
        <v>474</v>
      </c>
      <c r="CZ37" s="201" t="s">
        <v>474</v>
      </c>
      <c r="DA37" s="948" t="str">
        <f>'Energy NPV'!U90</f>
        <v>(£ ha-1)</v>
      </c>
      <c r="DB37" s="201" t="s">
        <v>474</v>
      </c>
      <c r="DC37" s="201" t="s">
        <v>474</v>
      </c>
      <c r="DD37" s="201" t="s">
        <v>474</v>
      </c>
      <c r="DE37" s="202" t="s">
        <v>474</v>
      </c>
      <c r="DF37" s="201" t="s">
        <v>474</v>
      </c>
      <c r="DG37" s="201" t="s">
        <v>474</v>
      </c>
      <c r="DH37" s="201" t="s">
        <v>474</v>
      </c>
      <c r="DI37" s="201" t="s">
        <v>474</v>
      </c>
      <c r="DJ37" s="202" t="s">
        <v>474</v>
      </c>
      <c r="DK37" s="201" t="s">
        <v>474</v>
      </c>
      <c r="DL37" s="201" t="s">
        <v>474</v>
      </c>
      <c r="DM37" s="201" t="s">
        <v>474</v>
      </c>
      <c r="DN37" s="201" t="s">
        <v>474</v>
      </c>
      <c r="DO37" s="202" t="s">
        <v>474</v>
      </c>
    </row>
    <row r="38" spans="2:177" x14ac:dyDescent="0.3">
      <c r="B38" s="204">
        <v>1</v>
      </c>
      <c r="C38" s="197">
        <f>'Energy NPV'!$D91</f>
        <v>0</v>
      </c>
      <c r="D38" s="197">
        <f>'Energy Inputs'!$G$58*$E$34</f>
        <v>55</v>
      </c>
      <c r="E38" s="197">
        <f>C38*D38</f>
        <v>0</v>
      </c>
      <c r="F38" s="197">
        <f>'Margins summary'!$W$14</f>
        <v>220</v>
      </c>
      <c r="G38" s="197">
        <f>E38+F38</f>
        <v>220</v>
      </c>
      <c r="H38" s="197">
        <f>'Margins summary'!$V$20</f>
        <v>1992.2819999999999</v>
      </c>
      <c r="I38" s="897">
        <f>'Energy NPV'!U91</f>
        <v>0</v>
      </c>
      <c r="J38" s="197"/>
      <c r="K38" s="197">
        <f t="shared" ref="K38:K53" si="78">H38+I38+J38</f>
        <v>1992.2819999999999</v>
      </c>
      <c r="L38" s="197">
        <f t="shared" ref="L38:L53" si="79">E38-K38</f>
        <v>-1992.2819999999999</v>
      </c>
      <c r="M38" s="197">
        <f t="shared" ref="M38:M53" si="80">G38-K38</f>
        <v>-1772.2819999999999</v>
      </c>
      <c r="N38" s="1016">
        <f>E38/((1+$B$4)^($B38-1))</f>
        <v>0</v>
      </c>
      <c r="O38" s="213">
        <f>F38/((1+$B$4)^($B38-1))</f>
        <v>220</v>
      </c>
      <c r="P38" s="213">
        <f>K38/((1+$B$4)^($B38-1))</f>
        <v>1992.2819999999999</v>
      </c>
      <c r="Q38" s="213">
        <f>L38/((1+$B$4)^($B38-1))</f>
        <v>-1992.2819999999999</v>
      </c>
      <c r="R38" s="908">
        <f>M38/((1+$B$4)^($B38-1))</f>
        <v>-1772.2819999999999</v>
      </c>
      <c r="S38" s="196">
        <f>N38</f>
        <v>0</v>
      </c>
      <c r="T38" s="197">
        <f>O38</f>
        <v>220</v>
      </c>
      <c r="U38" s="197">
        <f>P38</f>
        <v>1992.2819999999999</v>
      </c>
      <c r="V38" s="197">
        <f>Q38</f>
        <v>-1992.2819999999999</v>
      </c>
      <c r="W38" s="199">
        <f>R38</f>
        <v>-1772.2819999999999</v>
      </c>
      <c r="Z38" s="880">
        <v>1</v>
      </c>
      <c r="AA38" s="197">
        <f t="shared" ref="AA38:AA53" si="81">$C38</f>
        <v>0</v>
      </c>
      <c r="AB38" s="197">
        <f>'Energy Inputs'!$G$58*$AB$34</f>
        <v>82.5</v>
      </c>
      <c r="AC38" s="197">
        <f>AA38*AB38</f>
        <v>0</v>
      </c>
      <c r="AD38" s="197">
        <f>'Margins summary'!$W$14</f>
        <v>220</v>
      </c>
      <c r="AE38" s="197">
        <f>AC38+AD38</f>
        <v>220</v>
      </c>
      <c r="AF38" s="197">
        <f>'Margins summary'!$V$20</f>
        <v>1992.2819999999999</v>
      </c>
      <c r="AG38" s="897">
        <f>'Energy NPV'!U91</f>
        <v>0</v>
      </c>
      <c r="AH38" s="197"/>
      <c r="AI38" s="197">
        <f>AF38+AG38</f>
        <v>1992.2819999999999</v>
      </c>
      <c r="AJ38" s="197">
        <f t="shared" ref="AJ38:AJ53" si="82">AC38-AI38</f>
        <v>-1992.2819999999999</v>
      </c>
      <c r="AK38" s="197">
        <f t="shared" ref="AK38:AK53" si="83">AE38-AI38</f>
        <v>-1772.2819999999999</v>
      </c>
      <c r="AL38" s="1016">
        <f>AC38/((1+$B$4)^($B38-1))</f>
        <v>0</v>
      </c>
      <c r="AM38" s="213">
        <f>AD38/((1+$B$4)^($B38-1))</f>
        <v>220</v>
      </c>
      <c r="AN38" s="213">
        <f>AI38/((1+$B$4)^($B38-1))</f>
        <v>1992.2819999999999</v>
      </c>
      <c r="AO38" s="213">
        <f>AJ38/((1+$B$4)^($B38-1))</f>
        <v>-1992.2819999999999</v>
      </c>
      <c r="AP38" s="908">
        <f>AK38/((1+$B$4)^($B38-1))</f>
        <v>-1772.2819999999999</v>
      </c>
      <c r="AQ38" s="196">
        <f>AL38</f>
        <v>0</v>
      </c>
      <c r="AR38" s="197">
        <f>AM38</f>
        <v>220</v>
      </c>
      <c r="AS38" s="197">
        <f>AN38</f>
        <v>1992.2819999999999</v>
      </c>
      <c r="AT38" s="197">
        <f>AO38</f>
        <v>-1992.2819999999999</v>
      </c>
      <c r="AU38" s="199">
        <f>AP38</f>
        <v>-1772.2819999999999</v>
      </c>
      <c r="AX38" s="880">
        <v>1</v>
      </c>
      <c r="AY38" s="197">
        <f t="shared" ref="AY38:AY53" si="84">$C38</f>
        <v>0</v>
      </c>
      <c r="AZ38" s="197">
        <f>'Energy Inputs'!$G$58*$AZ$34</f>
        <v>27.5</v>
      </c>
      <c r="BA38" s="197">
        <f>AY38*AZ38</f>
        <v>0</v>
      </c>
      <c r="BB38" s="197">
        <f>'Margins summary'!$W$14</f>
        <v>220</v>
      </c>
      <c r="BC38" s="197">
        <f>BA38+BB38</f>
        <v>220</v>
      </c>
      <c r="BD38" s="197">
        <f>'Margins summary'!$V$20</f>
        <v>1992.2819999999999</v>
      </c>
      <c r="BE38" s="897"/>
      <c r="BF38" s="197"/>
      <c r="BG38" s="197">
        <f t="shared" ref="BG38:BG53" si="85">BD38+BE38+BF38</f>
        <v>1992.2819999999999</v>
      </c>
      <c r="BH38" s="197">
        <f t="shared" ref="BH38:BH53" si="86">BA38-BG38</f>
        <v>-1992.2819999999999</v>
      </c>
      <c r="BI38" s="197">
        <f t="shared" ref="BI38:BI53" si="87">BC38-BG38</f>
        <v>-1772.2819999999999</v>
      </c>
      <c r="BJ38" s="1016">
        <f>BA38/((1+$B$4)^($B38-1))</f>
        <v>0</v>
      </c>
      <c r="BK38" s="213">
        <f>BB38/((1+$B$4)^($B38-1))</f>
        <v>220</v>
      </c>
      <c r="BL38" s="213">
        <f>BG38/((1+$B$4)^($B38-1))</f>
        <v>1992.2819999999999</v>
      </c>
      <c r="BM38" s="213">
        <f>BH38/((1+$B$4)^($B38-1))</f>
        <v>-1992.2819999999999</v>
      </c>
      <c r="BN38" s="908">
        <f>BI38/((1+$B$4)^($B38-1))</f>
        <v>-1772.2819999999999</v>
      </c>
      <c r="BO38" s="196">
        <f>BJ38</f>
        <v>0</v>
      </c>
      <c r="BP38" s="197">
        <f>BK38</f>
        <v>220</v>
      </c>
      <c r="BQ38" s="197">
        <f>BL38</f>
        <v>1992.2819999999999</v>
      </c>
      <c r="BR38" s="197">
        <f>BM38</f>
        <v>-1992.2819999999999</v>
      </c>
      <c r="BS38" s="199">
        <f>BN38</f>
        <v>-1772.2819999999999</v>
      </c>
      <c r="BV38" s="880">
        <v>1</v>
      </c>
      <c r="BW38" s="197">
        <f t="shared" ref="BW38:BW53" si="88">$C38</f>
        <v>0</v>
      </c>
      <c r="BX38" s="197">
        <f>'Energy Inputs'!$G$58*$BX$34</f>
        <v>110</v>
      </c>
      <c r="BY38" s="197">
        <f>BW38*BX38</f>
        <v>0</v>
      </c>
      <c r="BZ38" s="197">
        <f>'Margins summary'!$W$14</f>
        <v>220</v>
      </c>
      <c r="CA38" s="197">
        <f>BY38+BZ38</f>
        <v>220</v>
      </c>
      <c r="CB38" s="197">
        <f>'Margins summary'!$V$20</f>
        <v>1992.2819999999999</v>
      </c>
      <c r="CC38" s="897">
        <f>'Energy NPV'!U91</f>
        <v>0</v>
      </c>
      <c r="CD38" s="197"/>
      <c r="CE38" s="197">
        <f t="shared" ref="CE38:CE53" si="89">CB38+CC38+CD38</f>
        <v>1992.2819999999999</v>
      </c>
      <c r="CF38" s="197">
        <f t="shared" ref="CF38:CF53" si="90">BY38-CE38</f>
        <v>-1992.2819999999999</v>
      </c>
      <c r="CG38" s="197">
        <f t="shared" ref="CG38:CG53" si="91">CA38-CE38</f>
        <v>-1772.2819999999999</v>
      </c>
      <c r="CH38" s="1016">
        <f>BY38/((1+$B$4)^($B38-1))</f>
        <v>0</v>
      </c>
      <c r="CI38" s="213">
        <f>BZ38/((1+$B$4)^($B38-1))</f>
        <v>220</v>
      </c>
      <c r="CJ38" s="213">
        <f>CE38/((1+$B$4)^($B38-1))</f>
        <v>1992.2819999999999</v>
      </c>
      <c r="CK38" s="213">
        <f>CF38/((1+$B$4)^($B38-1))</f>
        <v>-1992.2819999999999</v>
      </c>
      <c r="CL38" s="908">
        <f>CG38/((1+$B$4)^($B38-1))</f>
        <v>-1772.2819999999999</v>
      </c>
      <c r="CM38" s="196">
        <f>CH38</f>
        <v>0</v>
      </c>
      <c r="CN38" s="197">
        <f>CI38</f>
        <v>220</v>
      </c>
      <c r="CO38" s="197">
        <f>CJ38</f>
        <v>1992.2819999999999</v>
      </c>
      <c r="CP38" s="197">
        <f>CK38</f>
        <v>-1992.2819999999999</v>
      </c>
      <c r="CQ38" s="199">
        <f>CL38</f>
        <v>-1772.2819999999999</v>
      </c>
      <c r="CT38" s="204">
        <v>1</v>
      </c>
      <c r="CU38" s="197">
        <f t="shared" ref="CU38:CU53" si="92">$C38</f>
        <v>0</v>
      </c>
      <c r="CV38" s="197">
        <f>'Energy Inputs'!$G$58*$CV$34</f>
        <v>0</v>
      </c>
      <c r="CW38" s="197">
        <f>CU38*CV38</f>
        <v>0</v>
      </c>
      <c r="CX38" s="197">
        <f>'Margins summary'!$W$14</f>
        <v>220</v>
      </c>
      <c r="CY38" s="197">
        <f>CW38+CX38</f>
        <v>220</v>
      </c>
      <c r="CZ38" s="197">
        <f>'Margins summary'!$V$20</f>
        <v>1992.2819999999999</v>
      </c>
      <c r="DA38" s="897">
        <f>'Energy NPV'!U91</f>
        <v>0</v>
      </c>
      <c r="DB38" s="197"/>
      <c r="DC38" s="197">
        <f t="shared" ref="DC38:DC53" si="93">CZ38+DA38+DB38</f>
        <v>1992.2819999999999</v>
      </c>
      <c r="DD38" s="197">
        <f t="shared" ref="DD38:DD53" si="94">CW38-DC38</f>
        <v>-1992.2819999999999</v>
      </c>
      <c r="DE38" s="197">
        <f t="shared" ref="DE38:DE53" si="95">CY38-DC38</f>
        <v>-1772.2819999999999</v>
      </c>
      <c r="DF38" s="1016">
        <f>CW38/((1+$B$4)^($B38-1))</f>
        <v>0</v>
      </c>
      <c r="DG38" s="213">
        <f>CX38/((1+$B$4)^($B38-1))</f>
        <v>220</v>
      </c>
      <c r="DH38" s="213">
        <f>DC38/((1+$B$4)^($B38-1))</f>
        <v>1992.2819999999999</v>
      </c>
      <c r="DI38" s="213">
        <f>DD38/((1+$B$4)^($B38-1))</f>
        <v>-1992.2819999999999</v>
      </c>
      <c r="DJ38" s="908">
        <f>DE38/((1+$B$4)^($B38-1))</f>
        <v>-1772.2819999999999</v>
      </c>
      <c r="DK38" s="196">
        <f>DF38</f>
        <v>0</v>
      </c>
      <c r="DL38" s="197">
        <f>DG38</f>
        <v>220</v>
      </c>
      <c r="DM38" s="197">
        <f>DH38</f>
        <v>1992.2819999999999</v>
      </c>
      <c r="DN38" s="197">
        <f>DI38</f>
        <v>-1992.2819999999999</v>
      </c>
      <c r="DO38" s="199">
        <f>DJ38</f>
        <v>-1772.2819999999999</v>
      </c>
    </row>
    <row r="39" spans="2:177" x14ac:dyDescent="0.3">
      <c r="B39" s="204">
        <f>B38+1</f>
        <v>2</v>
      </c>
      <c r="C39" s="197">
        <f>'Energy NPV'!$D92</f>
        <v>9.9333333333333336</v>
      </c>
      <c r="D39" s="197">
        <f>'Energy Inputs'!$G$58*$E$34</f>
        <v>55</v>
      </c>
      <c r="E39" s="197">
        <f>C39*D39</f>
        <v>546.33333333333337</v>
      </c>
      <c r="F39" s="197">
        <f>'Margins summary'!$W$14</f>
        <v>220</v>
      </c>
      <c r="G39" s="197">
        <f t="shared" ref="G39:G53" si="96">E39+F39</f>
        <v>766.33333333333337</v>
      </c>
      <c r="H39" s="197"/>
      <c r="I39" s="897">
        <f>'Energy NPV'!U92</f>
        <v>529.78199999999993</v>
      </c>
      <c r="J39" s="197"/>
      <c r="K39" s="197">
        <f t="shared" si="78"/>
        <v>529.78199999999993</v>
      </c>
      <c r="L39" s="197">
        <f t="shared" si="79"/>
        <v>16.551333333333446</v>
      </c>
      <c r="M39" s="197">
        <f t="shared" si="80"/>
        <v>236.55133333333345</v>
      </c>
      <c r="N39" s="196">
        <f t="shared" ref="N39:N53" si="97">E39/((1+$B$4)^($B39-1))</f>
        <v>525.32051282051282</v>
      </c>
      <c r="O39" s="197">
        <f t="shared" ref="O39:O53" si="98">F39/((1+$B$4)^($B39-1))</f>
        <v>211.53846153846152</v>
      </c>
      <c r="P39" s="197">
        <f t="shared" ref="P39:P53" si="99">K39/((1+$B$4)^($B39-1))</f>
        <v>509.40576923076912</v>
      </c>
      <c r="Q39" s="197">
        <f t="shared" ref="Q39:Q53" si="100">L39/((1+$B$4)^($B39-1))</f>
        <v>15.914743589743697</v>
      </c>
      <c r="R39" s="199">
        <f t="shared" ref="R39:R53" si="101">M39/((1+$B$4)^($B39-1))</f>
        <v>227.45320512820524</v>
      </c>
      <c r="S39" s="196">
        <f>S38+N39</f>
        <v>525.32051282051282</v>
      </c>
      <c r="T39" s="197">
        <f t="shared" ref="T39:W53" si="102">T38+O39</f>
        <v>431.53846153846155</v>
      </c>
      <c r="U39" s="197">
        <f t="shared" si="102"/>
        <v>2501.6877692307689</v>
      </c>
      <c r="V39" s="197">
        <f t="shared" si="102"/>
        <v>-1976.3672564102562</v>
      </c>
      <c r="W39" s="199">
        <f t="shared" si="102"/>
        <v>-1544.8287948717948</v>
      </c>
      <c r="Z39" s="881">
        <v>2</v>
      </c>
      <c r="AA39" s="197">
        <f t="shared" si="81"/>
        <v>9.9333333333333336</v>
      </c>
      <c r="AB39" s="197">
        <f>'Energy Inputs'!$G$58*$AB$34</f>
        <v>82.5</v>
      </c>
      <c r="AC39" s="197">
        <f>AA39*AB39</f>
        <v>819.5</v>
      </c>
      <c r="AD39" s="197">
        <f>'Margins summary'!$W$14</f>
        <v>220</v>
      </c>
      <c r="AE39" s="197">
        <f t="shared" ref="AE39:AE53" si="103">AC39+AD39</f>
        <v>1039.5</v>
      </c>
      <c r="AF39" s="197"/>
      <c r="AG39" s="897">
        <f>'Energy NPV'!U92</f>
        <v>529.78199999999993</v>
      </c>
      <c r="AH39" s="197"/>
      <c r="AI39" s="197">
        <f>AF39+AG39</f>
        <v>529.78199999999993</v>
      </c>
      <c r="AJ39" s="197">
        <f t="shared" si="82"/>
        <v>289.71800000000007</v>
      </c>
      <c r="AK39" s="197">
        <f t="shared" si="83"/>
        <v>509.71800000000007</v>
      </c>
      <c r="AL39" s="196">
        <f t="shared" ref="AL39:AL53" si="104">AC39/((1+$B$4)^($B39-1))</f>
        <v>787.98076923076917</v>
      </c>
      <c r="AM39" s="197">
        <f t="shared" ref="AM39:AM53" si="105">AD39/((1+$B$4)^($B39-1))</f>
        <v>211.53846153846152</v>
      </c>
      <c r="AN39" s="197">
        <f t="shared" ref="AN39:AN53" si="106">AI39/((1+$B$4)^($B39-1))</f>
        <v>509.40576923076912</v>
      </c>
      <c r="AO39" s="197">
        <f t="shared" ref="AO39:AO53" si="107">AJ39/((1+$B$4)^($B39-1))</f>
        <v>278.57500000000005</v>
      </c>
      <c r="AP39" s="199">
        <f t="shared" ref="AP39:AP53" si="108">AK39/((1+$B$4)^($B39-1))</f>
        <v>490.11346153846159</v>
      </c>
      <c r="AQ39" s="196">
        <f>AQ38+AL39</f>
        <v>787.98076923076917</v>
      </c>
      <c r="AR39" s="197">
        <f t="shared" ref="AR39:AR53" si="109">AR38+AM39</f>
        <v>431.53846153846155</v>
      </c>
      <c r="AS39" s="197">
        <f t="shared" ref="AS39:AS53" si="110">AS38+AN39</f>
        <v>2501.6877692307689</v>
      </c>
      <c r="AT39" s="197">
        <f t="shared" ref="AT39:AT53" si="111">AT38+AO39</f>
        <v>-1713.7069999999999</v>
      </c>
      <c r="AU39" s="199">
        <f t="shared" ref="AU39:AU53" si="112">AU38+AP39</f>
        <v>-1282.1685384615384</v>
      </c>
      <c r="AX39" s="881">
        <v>2</v>
      </c>
      <c r="AY39" s="197">
        <f t="shared" si="84"/>
        <v>9.9333333333333336</v>
      </c>
      <c r="AZ39" s="197">
        <f>'Energy Inputs'!$G$58*$AZ$34</f>
        <v>27.5</v>
      </c>
      <c r="BA39" s="197">
        <f>AY39*AZ39</f>
        <v>273.16666666666669</v>
      </c>
      <c r="BB39" s="197">
        <f>'Margins summary'!$W$14</f>
        <v>220</v>
      </c>
      <c r="BC39" s="197">
        <f t="shared" ref="BC39:BC53" si="113">BA39+BB39</f>
        <v>493.16666666666669</v>
      </c>
      <c r="BD39" s="197"/>
      <c r="BE39" s="897">
        <f>'Margins summary'!$W$22</f>
        <v>388.90700000000004</v>
      </c>
      <c r="BF39" s="197"/>
      <c r="BG39" s="197">
        <f t="shared" si="85"/>
        <v>388.90700000000004</v>
      </c>
      <c r="BH39" s="197">
        <f t="shared" si="86"/>
        <v>-115.74033333333335</v>
      </c>
      <c r="BI39" s="197">
        <f t="shared" si="87"/>
        <v>104.25966666666665</v>
      </c>
      <c r="BJ39" s="196">
        <f t="shared" ref="BJ39:BJ53" si="114">BA39/((1+$B$4)^($B39-1))</f>
        <v>262.66025641025641</v>
      </c>
      <c r="BK39" s="197">
        <f t="shared" ref="BK39:BK53" si="115">BB39/((1+$B$4)^($B39-1))</f>
        <v>211.53846153846152</v>
      </c>
      <c r="BL39" s="197">
        <f t="shared" ref="BL39:BL53" si="116">BG39/((1+$B$4)^($B39-1))</f>
        <v>373.94903846153846</v>
      </c>
      <c r="BM39" s="197">
        <f t="shared" ref="BM39:BM53" si="117">BH39/((1+$B$4)^($B39-1))</f>
        <v>-111.28878205128207</v>
      </c>
      <c r="BN39" s="199">
        <f t="shared" ref="BN39:BN53" si="118">BI39/((1+$B$4)^($B39-1))</f>
        <v>100.24967948717946</v>
      </c>
      <c r="BO39" s="196">
        <f>BO38+BJ39</f>
        <v>262.66025641025641</v>
      </c>
      <c r="BP39" s="197">
        <f t="shared" ref="BP39:BP53" si="119">BP38+BK39</f>
        <v>431.53846153846155</v>
      </c>
      <c r="BQ39" s="197">
        <f t="shared" ref="BQ39:BQ53" si="120">BQ38+BL39</f>
        <v>2366.2310384615384</v>
      </c>
      <c r="BR39" s="197">
        <f t="shared" ref="BR39:BR53" si="121">BR38+BM39</f>
        <v>-2103.5707820512821</v>
      </c>
      <c r="BS39" s="199">
        <f t="shared" ref="BS39:BS53" si="122">BS38+BN39</f>
        <v>-1672.0323205128204</v>
      </c>
      <c r="BV39" s="881">
        <v>2</v>
      </c>
      <c r="BW39" s="197">
        <f t="shared" si="88"/>
        <v>9.9333333333333336</v>
      </c>
      <c r="BX39" s="197">
        <f>'Energy Inputs'!$G$58*$BX$34</f>
        <v>110</v>
      </c>
      <c r="BY39" s="197">
        <f>BW39*BX39</f>
        <v>1092.6666666666667</v>
      </c>
      <c r="BZ39" s="197">
        <f>'Margins summary'!$W$14</f>
        <v>220</v>
      </c>
      <c r="CA39" s="197">
        <f t="shared" ref="CA39:CA53" si="123">BY39+BZ39</f>
        <v>1312.6666666666667</v>
      </c>
      <c r="CB39" s="197"/>
      <c r="CC39" s="897">
        <f>'Energy NPV'!U92</f>
        <v>529.78199999999993</v>
      </c>
      <c r="CD39" s="197"/>
      <c r="CE39" s="197">
        <f t="shared" si="89"/>
        <v>529.78199999999993</v>
      </c>
      <c r="CF39" s="197">
        <f t="shared" si="90"/>
        <v>562.88466666666682</v>
      </c>
      <c r="CG39" s="197">
        <f t="shared" si="91"/>
        <v>782.88466666666682</v>
      </c>
      <c r="CH39" s="196">
        <f t="shared" ref="CH39:CH53" si="124">BY39/((1+$B$4)^($B39-1))</f>
        <v>1050.6410256410256</v>
      </c>
      <c r="CI39" s="197">
        <f t="shared" ref="CI39:CI53" si="125">BZ39/((1+$B$4)^($B39-1))</f>
        <v>211.53846153846152</v>
      </c>
      <c r="CJ39" s="197">
        <f t="shared" ref="CJ39:CJ53" si="126">CE39/((1+$B$4)^($B39-1))</f>
        <v>509.40576923076912</v>
      </c>
      <c r="CK39" s="197">
        <f t="shared" ref="CK39:CK53" si="127">CF39/((1+$B$4)^($B39-1))</f>
        <v>541.23525641025651</v>
      </c>
      <c r="CL39" s="199">
        <f t="shared" ref="CL39:CL53" si="128">CG39/((1+$B$4)^($B39-1))</f>
        <v>752.77371794871806</v>
      </c>
      <c r="CM39" s="196">
        <f>CM38+CH39</f>
        <v>1050.6410256410256</v>
      </c>
      <c r="CN39" s="197">
        <f t="shared" ref="CN39:CN53" si="129">CN38+CI39</f>
        <v>431.53846153846155</v>
      </c>
      <c r="CO39" s="197">
        <f t="shared" ref="CO39:CO53" si="130">CO38+CJ39</f>
        <v>2501.6877692307689</v>
      </c>
      <c r="CP39" s="197">
        <f t="shared" ref="CP39:CP53" si="131">CP38+CK39</f>
        <v>-1451.0467435897435</v>
      </c>
      <c r="CQ39" s="199">
        <f t="shared" ref="CQ39:CQ53" si="132">CQ38+CL39</f>
        <v>-1019.5082820512819</v>
      </c>
      <c r="CT39" s="204">
        <v>2</v>
      </c>
      <c r="CU39" s="197">
        <f t="shared" si="92"/>
        <v>9.9333333333333336</v>
      </c>
      <c r="CV39" s="197">
        <f>'Energy Inputs'!$G$58*$CV$34</f>
        <v>0</v>
      </c>
      <c r="CW39" s="197">
        <f>CU39*CV39</f>
        <v>0</v>
      </c>
      <c r="CX39" s="197">
        <f>'Margins summary'!$W$14</f>
        <v>220</v>
      </c>
      <c r="CY39" s="197">
        <f t="shared" ref="CY39:CY53" si="133">CW39+CX39</f>
        <v>220</v>
      </c>
      <c r="CZ39" s="197"/>
      <c r="DA39" s="897">
        <f>'Energy NPV'!U92</f>
        <v>529.78199999999993</v>
      </c>
      <c r="DB39" s="197"/>
      <c r="DC39" s="197">
        <f t="shared" si="93"/>
        <v>529.78199999999993</v>
      </c>
      <c r="DD39" s="197">
        <f t="shared" si="94"/>
        <v>-529.78199999999993</v>
      </c>
      <c r="DE39" s="197">
        <f t="shared" si="95"/>
        <v>-309.78199999999993</v>
      </c>
      <c r="DF39" s="196">
        <f t="shared" ref="DF39:DF53" si="134">CW39/((1+$B$4)^($B39-1))</f>
        <v>0</v>
      </c>
      <c r="DG39" s="197">
        <f t="shared" ref="DG39:DG53" si="135">CX39/((1+$B$4)^($B39-1))</f>
        <v>211.53846153846152</v>
      </c>
      <c r="DH39" s="197">
        <f t="shared" ref="DH39:DH53" si="136">DC39/((1+$B$4)^($B39-1))</f>
        <v>509.40576923076912</v>
      </c>
      <c r="DI39" s="197">
        <f t="shared" ref="DI39:DI53" si="137">DD39/((1+$B$4)^($B39-1))</f>
        <v>-509.40576923076912</v>
      </c>
      <c r="DJ39" s="199">
        <f t="shared" ref="DJ39:DJ53" si="138">DE39/((1+$B$4)^($B39-1))</f>
        <v>-297.86730769230763</v>
      </c>
      <c r="DK39" s="196">
        <f>DK38+DF39</f>
        <v>0</v>
      </c>
      <c r="DL39" s="197">
        <f t="shared" ref="DL39:DL53" si="139">DL38+DG39</f>
        <v>431.53846153846155</v>
      </c>
      <c r="DM39" s="197">
        <f t="shared" ref="DM39:DM53" si="140">DM38+DH39</f>
        <v>2501.6877692307689</v>
      </c>
      <c r="DN39" s="197">
        <f t="shared" ref="DN39:DN53" si="141">DN38+DI39</f>
        <v>-2501.6877692307689</v>
      </c>
      <c r="DO39" s="199">
        <f t="shared" ref="DO39:DO53" si="142">DO38+DJ39</f>
        <v>-2070.1493076923075</v>
      </c>
    </row>
    <row r="40" spans="2:177" x14ac:dyDescent="0.3">
      <c r="B40" s="204">
        <f t="shared" ref="B40:B53" si="143">B39+1</f>
        <v>3</v>
      </c>
      <c r="C40" s="197">
        <f>'Energy NPV'!$D93</f>
        <v>14.700000000000001</v>
      </c>
      <c r="D40" s="197">
        <f>'Energy Inputs'!$G$58*$E$34</f>
        <v>55</v>
      </c>
      <c r="E40" s="197">
        <f t="shared" ref="E40:E53" si="144">C40*D40</f>
        <v>808.50000000000011</v>
      </c>
      <c r="F40" s="197">
        <f>'Margins summary'!$W$14</f>
        <v>220</v>
      </c>
      <c r="G40" s="197">
        <f t="shared" si="96"/>
        <v>1028.5</v>
      </c>
      <c r="H40" s="197"/>
      <c r="I40" s="897">
        <f>'Energy NPV'!U93</f>
        <v>529.78199999999993</v>
      </c>
      <c r="J40" s="197"/>
      <c r="K40" s="197">
        <f t="shared" si="78"/>
        <v>529.78199999999993</v>
      </c>
      <c r="L40" s="197">
        <f t="shared" si="79"/>
        <v>278.71800000000019</v>
      </c>
      <c r="M40" s="197">
        <f t="shared" si="80"/>
        <v>498.71800000000007</v>
      </c>
      <c r="N40" s="196">
        <f t="shared" si="97"/>
        <v>747.50369822485209</v>
      </c>
      <c r="O40" s="197">
        <f t="shared" si="98"/>
        <v>203.40236686390531</v>
      </c>
      <c r="P40" s="197">
        <f t="shared" si="99"/>
        <v>489.81323964497028</v>
      </c>
      <c r="Q40" s="197">
        <f t="shared" si="100"/>
        <v>257.69045857988181</v>
      </c>
      <c r="R40" s="199">
        <f t="shared" si="101"/>
        <v>461.09282544378698</v>
      </c>
      <c r="S40" s="196">
        <f t="shared" ref="S40:S53" si="145">S39+N40</f>
        <v>1272.8242110453648</v>
      </c>
      <c r="T40" s="197">
        <f t="shared" si="102"/>
        <v>634.94082840236683</v>
      </c>
      <c r="U40" s="197">
        <f t="shared" si="102"/>
        <v>2991.501008875739</v>
      </c>
      <c r="V40" s="197">
        <f t="shared" si="102"/>
        <v>-1718.6767978303744</v>
      </c>
      <c r="W40" s="199">
        <f t="shared" si="102"/>
        <v>-1083.7359694280078</v>
      </c>
      <c r="Z40" s="881">
        <v>3</v>
      </c>
      <c r="AA40" s="197">
        <f t="shared" si="81"/>
        <v>14.700000000000001</v>
      </c>
      <c r="AB40" s="197">
        <f>'Energy Inputs'!$G$58*$AB$34</f>
        <v>82.5</v>
      </c>
      <c r="AC40" s="197">
        <f t="shared" ref="AC40:AC53" si="146">AA40*AB40</f>
        <v>1212.75</v>
      </c>
      <c r="AD40" s="197">
        <f>'Margins summary'!$W$14</f>
        <v>220</v>
      </c>
      <c r="AE40" s="197">
        <f t="shared" si="103"/>
        <v>1432.75</v>
      </c>
      <c r="AF40" s="197"/>
      <c r="AG40" s="897">
        <f>'Energy NPV'!U93</f>
        <v>529.78199999999993</v>
      </c>
      <c r="AH40" s="197"/>
      <c r="AI40" s="197">
        <f>AF40+AG40</f>
        <v>529.78199999999993</v>
      </c>
      <c r="AJ40" s="197">
        <f t="shared" si="82"/>
        <v>682.96800000000007</v>
      </c>
      <c r="AK40" s="197">
        <f t="shared" si="83"/>
        <v>902.96800000000007</v>
      </c>
      <c r="AL40" s="196">
        <f t="shared" si="104"/>
        <v>1121.2555473372779</v>
      </c>
      <c r="AM40" s="197">
        <f t="shared" si="105"/>
        <v>203.40236686390531</v>
      </c>
      <c r="AN40" s="197">
        <f t="shared" si="106"/>
        <v>489.81323964497028</v>
      </c>
      <c r="AO40" s="197">
        <f t="shared" si="107"/>
        <v>631.44230769230774</v>
      </c>
      <c r="AP40" s="199">
        <f t="shared" si="108"/>
        <v>834.84467455621302</v>
      </c>
      <c r="AQ40" s="196">
        <f t="shared" ref="AQ40:AQ52" si="147">AQ39+AL40</f>
        <v>1909.2363165680472</v>
      </c>
      <c r="AR40" s="197">
        <f t="shared" si="109"/>
        <v>634.94082840236683</v>
      </c>
      <c r="AS40" s="197">
        <f t="shared" si="110"/>
        <v>2991.501008875739</v>
      </c>
      <c r="AT40" s="197">
        <f t="shared" si="111"/>
        <v>-1082.2646923076923</v>
      </c>
      <c r="AU40" s="199">
        <f t="shared" si="112"/>
        <v>-447.32386390532542</v>
      </c>
      <c r="AX40" s="881">
        <v>3</v>
      </c>
      <c r="AY40" s="197">
        <f t="shared" si="84"/>
        <v>14.700000000000001</v>
      </c>
      <c r="AZ40" s="197">
        <f>'Energy Inputs'!$G$58*$AZ$34</f>
        <v>27.5</v>
      </c>
      <c r="BA40" s="197">
        <f t="shared" ref="BA40:BA53" si="148">AY40*AZ40</f>
        <v>404.25000000000006</v>
      </c>
      <c r="BB40" s="197">
        <f>'Margins summary'!$W$14</f>
        <v>220</v>
      </c>
      <c r="BC40" s="197">
        <f t="shared" si="113"/>
        <v>624.25</v>
      </c>
      <c r="BD40" s="197"/>
      <c r="BE40" s="897">
        <f>'Margins summary'!$W$22</f>
        <v>388.90700000000004</v>
      </c>
      <c r="BF40" s="197"/>
      <c r="BG40" s="197">
        <f t="shared" si="85"/>
        <v>388.90700000000004</v>
      </c>
      <c r="BH40" s="197">
        <f t="shared" si="86"/>
        <v>15.343000000000018</v>
      </c>
      <c r="BI40" s="197">
        <f t="shared" si="87"/>
        <v>235.34299999999996</v>
      </c>
      <c r="BJ40" s="196">
        <f t="shared" si="114"/>
        <v>373.75184911242604</v>
      </c>
      <c r="BK40" s="197">
        <f t="shared" si="115"/>
        <v>203.40236686390531</v>
      </c>
      <c r="BL40" s="197">
        <f t="shared" si="116"/>
        <v>359.56638313609466</v>
      </c>
      <c r="BM40" s="197">
        <f t="shared" si="117"/>
        <v>14.185465976331376</v>
      </c>
      <c r="BN40" s="199">
        <f t="shared" si="118"/>
        <v>217.58783284023662</v>
      </c>
      <c r="BO40" s="196">
        <f t="shared" ref="BO40:BO53" si="149">BO39+BJ40</f>
        <v>636.4121055226824</v>
      </c>
      <c r="BP40" s="197">
        <f t="shared" si="119"/>
        <v>634.94082840236683</v>
      </c>
      <c r="BQ40" s="197">
        <f t="shared" si="120"/>
        <v>2725.7974215976333</v>
      </c>
      <c r="BR40" s="197">
        <f t="shared" si="121"/>
        <v>-2089.3853160749509</v>
      </c>
      <c r="BS40" s="199">
        <f t="shared" si="122"/>
        <v>-1454.4444876725838</v>
      </c>
      <c r="BV40" s="881">
        <v>3</v>
      </c>
      <c r="BW40" s="197">
        <f t="shared" si="88"/>
        <v>14.700000000000001</v>
      </c>
      <c r="BX40" s="197">
        <f>'Energy Inputs'!$G$58*$BX$34</f>
        <v>110</v>
      </c>
      <c r="BY40" s="197">
        <f t="shared" ref="BY40:BY53" si="150">BW40*BX40</f>
        <v>1617.0000000000002</v>
      </c>
      <c r="BZ40" s="197">
        <f>'Margins summary'!$W$14</f>
        <v>220</v>
      </c>
      <c r="CA40" s="197">
        <f t="shared" si="123"/>
        <v>1837.0000000000002</v>
      </c>
      <c r="CB40" s="197"/>
      <c r="CC40" s="897">
        <f>'Energy NPV'!U93</f>
        <v>529.78199999999993</v>
      </c>
      <c r="CD40" s="197"/>
      <c r="CE40" s="197">
        <f t="shared" si="89"/>
        <v>529.78199999999993</v>
      </c>
      <c r="CF40" s="197">
        <f t="shared" si="90"/>
        <v>1087.2180000000003</v>
      </c>
      <c r="CG40" s="197">
        <f t="shared" si="91"/>
        <v>1307.2180000000003</v>
      </c>
      <c r="CH40" s="196">
        <f t="shared" si="124"/>
        <v>1495.0073964497042</v>
      </c>
      <c r="CI40" s="197">
        <f t="shared" si="125"/>
        <v>203.40236686390531</v>
      </c>
      <c r="CJ40" s="197">
        <f t="shared" si="126"/>
        <v>489.81323964497028</v>
      </c>
      <c r="CK40" s="197">
        <f t="shared" si="127"/>
        <v>1005.1941568047339</v>
      </c>
      <c r="CL40" s="199">
        <f t="shared" si="128"/>
        <v>1208.5965236686393</v>
      </c>
      <c r="CM40" s="196">
        <f t="shared" ref="CM40:CM53" si="151">CM39+CH40</f>
        <v>2545.6484220907296</v>
      </c>
      <c r="CN40" s="197">
        <f t="shared" si="129"/>
        <v>634.94082840236683</v>
      </c>
      <c r="CO40" s="197">
        <f t="shared" si="130"/>
        <v>2991.501008875739</v>
      </c>
      <c r="CP40" s="197">
        <f t="shared" si="131"/>
        <v>-445.85258678500963</v>
      </c>
      <c r="CQ40" s="199">
        <f t="shared" si="132"/>
        <v>189.08824161735743</v>
      </c>
      <c r="CT40" s="204">
        <f t="shared" ref="CT40:CT53" si="152">CT39+1</f>
        <v>3</v>
      </c>
      <c r="CU40" s="197">
        <f t="shared" si="92"/>
        <v>14.700000000000001</v>
      </c>
      <c r="CV40" s="197">
        <f>'Energy Inputs'!$G$58*$CV$34</f>
        <v>0</v>
      </c>
      <c r="CW40" s="197">
        <f t="shared" ref="CW40:CW53" si="153">CU40*CV40</f>
        <v>0</v>
      </c>
      <c r="CX40" s="197">
        <f>'Margins summary'!$W$14</f>
        <v>220</v>
      </c>
      <c r="CY40" s="197">
        <f t="shared" si="133"/>
        <v>220</v>
      </c>
      <c r="CZ40" s="197"/>
      <c r="DA40" s="897">
        <f>'Energy NPV'!U93</f>
        <v>529.78199999999993</v>
      </c>
      <c r="DB40" s="197"/>
      <c r="DC40" s="197">
        <f t="shared" si="93"/>
        <v>529.78199999999993</v>
      </c>
      <c r="DD40" s="197">
        <f t="shared" si="94"/>
        <v>-529.78199999999993</v>
      </c>
      <c r="DE40" s="197">
        <f t="shared" si="95"/>
        <v>-309.78199999999993</v>
      </c>
      <c r="DF40" s="196">
        <f t="shared" si="134"/>
        <v>0</v>
      </c>
      <c r="DG40" s="197">
        <f t="shared" si="135"/>
        <v>203.40236686390531</v>
      </c>
      <c r="DH40" s="197">
        <f t="shared" si="136"/>
        <v>489.81323964497028</v>
      </c>
      <c r="DI40" s="197">
        <f t="shared" si="137"/>
        <v>-489.81323964497028</v>
      </c>
      <c r="DJ40" s="199">
        <f t="shared" si="138"/>
        <v>-286.410872781065</v>
      </c>
      <c r="DK40" s="196">
        <f t="shared" ref="DK40:DK53" si="154">DK39+DF40</f>
        <v>0</v>
      </c>
      <c r="DL40" s="197">
        <f t="shared" si="139"/>
        <v>634.94082840236683</v>
      </c>
      <c r="DM40" s="197">
        <f t="shared" si="140"/>
        <v>2991.501008875739</v>
      </c>
      <c r="DN40" s="197">
        <f t="shared" si="141"/>
        <v>-2991.501008875739</v>
      </c>
      <c r="DO40" s="199">
        <f t="shared" si="142"/>
        <v>-2356.5601804733724</v>
      </c>
    </row>
    <row r="41" spans="2:177" x14ac:dyDescent="0.3">
      <c r="B41" s="204">
        <f t="shared" si="143"/>
        <v>4</v>
      </c>
      <c r="C41" s="197">
        <f>'Energy NPV'!$D94</f>
        <v>15.733333333333334</v>
      </c>
      <c r="D41" s="197">
        <f>'Energy Inputs'!$G$58*$E$34</f>
        <v>55</v>
      </c>
      <c r="E41" s="197">
        <f t="shared" si="144"/>
        <v>865.33333333333337</v>
      </c>
      <c r="F41" s="197">
        <f>'Margins summary'!$W$14</f>
        <v>220</v>
      </c>
      <c r="G41" s="197">
        <f t="shared" si="96"/>
        <v>1085.3333333333335</v>
      </c>
      <c r="H41" s="197"/>
      <c r="I41" s="897">
        <f>'Energy NPV'!U94</f>
        <v>368.78200000000004</v>
      </c>
      <c r="J41" s="197"/>
      <c r="K41" s="197">
        <f t="shared" si="78"/>
        <v>368.78200000000004</v>
      </c>
      <c r="L41" s="197">
        <f t="shared" si="79"/>
        <v>496.55133333333333</v>
      </c>
      <c r="M41" s="197">
        <f t="shared" si="80"/>
        <v>716.55133333333345</v>
      </c>
      <c r="N41" s="196">
        <f t="shared" si="97"/>
        <v>769.27818236989833</v>
      </c>
      <c r="O41" s="197">
        <f t="shared" si="98"/>
        <v>195.57919890760127</v>
      </c>
      <c r="P41" s="197">
        <f t="shared" si="99"/>
        <v>327.84585514337732</v>
      </c>
      <c r="Q41" s="197">
        <f t="shared" si="100"/>
        <v>441.43232722652095</v>
      </c>
      <c r="R41" s="199">
        <f t="shared" si="101"/>
        <v>637.01152613412239</v>
      </c>
      <c r="S41" s="196">
        <f t="shared" si="145"/>
        <v>2042.1023934152631</v>
      </c>
      <c r="T41" s="197">
        <f t="shared" si="102"/>
        <v>830.5200273099681</v>
      </c>
      <c r="U41" s="197">
        <f t="shared" si="102"/>
        <v>3319.3468640191163</v>
      </c>
      <c r="V41" s="197">
        <f t="shared" si="102"/>
        <v>-1277.2444706038534</v>
      </c>
      <c r="W41" s="199">
        <f t="shared" si="102"/>
        <v>-446.72444329388543</v>
      </c>
      <c r="Z41" s="881">
        <v>4</v>
      </c>
      <c r="AA41" s="197">
        <f t="shared" si="81"/>
        <v>15.733333333333334</v>
      </c>
      <c r="AB41" s="197">
        <f>'Energy Inputs'!$G$58*$AB$34</f>
        <v>82.5</v>
      </c>
      <c r="AC41" s="197">
        <f t="shared" si="146"/>
        <v>1298</v>
      </c>
      <c r="AD41" s="197">
        <f>'Margins summary'!$W$14</f>
        <v>220</v>
      </c>
      <c r="AE41" s="197">
        <f t="shared" si="103"/>
        <v>1518</v>
      </c>
      <c r="AF41" s="197"/>
      <c r="AG41" s="897">
        <f>'Energy NPV'!U94</f>
        <v>368.78200000000004</v>
      </c>
      <c r="AH41" s="197"/>
      <c r="AI41" s="197">
        <f t="shared" ref="AI41:AI52" si="155">AG41</f>
        <v>368.78200000000004</v>
      </c>
      <c r="AJ41" s="197">
        <f t="shared" si="82"/>
        <v>929.21799999999996</v>
      </c>
      <c r="AK41" s="197">
        <f t="shared" si="83"/>
        <v>1149.2179999999998</v>
      </c>
      <c r="AL41" s="196">
        <f t="shared" si="104"/>
        <v>1153.9172735548475</v>
      </c>
      <c r="AM41" s="197">
        <f t="shared" si="105"/>
        <v>195.57919890760127</v>
      </c>
      <c r="AN41" s="197">
        <f t="shared" si="106"/>
        <v>327.84585514337732</v>
      </c>
      <c r="AO41" s="197">
        <f t="shared" si="107"/>
        <v>826.07141841147006</v>
      </c>
      <c r="AP41" s="199">
        <f t="shared" si="108"/>
        <v>1021.6506173190712</v>
      </c>
      <c r="AQ41" s="196">
        <f t="shared" si="147"/>
        <v>3063.1535901228945</v>
      </c>
      <c r="AR41" s="197">
        <f t="shared" si="109"/>
        <v>830.5200273099681</v>
      </c>
      <c r="AS41" s="197">
        <f t="shared" si="110"/>
        <v>3319.3468640191163</v>
      </c>
      <c r="AT41" s="197">
        <f t="shared" si="111"/>
        <v>-256.19327389622219</v>
      </c>
      <c r="AU41" s="199">
        <f t="shared" si="112"/>
        <v>574.32675341374579</v>
      </c>
      <c r="AX41" s="881">
        <v>4</v>
      </c>
      <c r="AY41" s="197">
        <f t="shared" si="84"/>
        <v>15.733333333333334</v>
      </c>
      <c r="AZ41" s="197">
        <f>'Energy Inputs'!$G$58*$AZ$34</f>
        <v>27.5</v>
      </c>
      <c r="BA41" s="197">
        <f t="shared" si="148"/>
        <v>432.66666666666669</v>
      </c>
      <c r="BB41" s="197">
        <f>'Margins summary'!$W$14</f>
        <v>220</v>
      </c>
      <c r="BC41" s="197">
        <f t="shared" si="113"/>
        <v>652.66666666666674</v>
      </c>
      <c r="BD41" s="197"/>
      <c r="BE41" s="897">
        <f>'Margins summary'!$W$22</f>
        <v>388.90700000000004</v>
      </c>
      <c r="BF41" s="197"/>
      <c r="BG41" s="197">
        <f t="shared" si="85"/>
        <v>388.90700000000004</v>
      </c>
      <c r="BH41" s="197">
        <f t="shared" si="86"/>
        <v>43.759666666666647</v>
      </c>
      <c r="BI41" s="197">
        <f t="shared" si="87"/>
        <v>263.7596666666667</v>
      </c>
      <c r="BJ41" s="196">
        <f t="shared" si="114"/>
        <v>384.63909118494917</v>
      </c>
      <c r="BK41" s="197">
        <f t="shared" si="115"/>
        <v>195.57919890760127</v>
      </c>
      <c r="BL41" s="197">
        <f t="shared" si="116"/>
        <v>345.73690686162951</v>
      </c>
      <c r="BM41" s="197">
        <f t="shared" si="117"/>
        <v>38.902184323319659</v>
      </c>
      <c r="BN41" s="199">
        <f t="shared" si="118"/>
        <v>234.48138323092095</v>
      </c>
      <c r="BO41" s="196">
        <f t="shared" si="149"/>
        <v>1021.0511967076316</v>
      </c>
      <c r="BP41" s="197">
        <f t="shared" si="119"/>
        <v>830.5200273099681</v>
      </c>
      <c r="BQ41" s="197">
        <f t="shared" si="120"/>
        <v>3071.5343284592627</v>
      </c>
      <c r="BR41" s="197">
        <f t="shared" si="121"/>
        <v>-2050.4831317516314</v>
      </c>
      <c r="BS41" s="199">
        <f t="shared" si="122"/>
        <v>-1219.9631044416628</v>
      </c>
      <c r="BV41" s="881">
        <v>4</v>
      </c>
      <c r="BW41" s="197">
        <f t="shared" si="88"/>
        <v>15.733333333333334</v>
      </c>
      <c r="BX41" s="197">
        <f>'Energy Inputs'!$G$58*$BX$34</f>
        <v>110</v>
      </c>
      <c r="BY41" s="197">
        <f t="shared" si="150"/>
        <v>1730.6666666666667</v>
      </c>
      <c r="BZ41" s="197">
        <f>'Margins summary'!$W$14</f>
        <v>220</v>
      </c>
      <c r="CA41" s="197">
        <f t="shared" si="123"/>
        <v>1950.6666666666667</v>
      </c>
      <c r="CB41" s="197"/>
      <c r="CC41" s="897">
        <f>'Energy NPV'!U94</f>
        <v>368.78200000000004</v>
      </c>
      <c r="CD41" s="197"/>
      <c r="CE41" s="197">
        <f t="shared" si="89"/>
        <v>368.78200000000004</v>
      </c>
      <c r="CF41" s="197">
        <f t="shared" si="90"/>
        <v>1361.8846666666668</v>
      </c>
      <c r="CG41" s="197">
        <f t="shared" si="91"/>
        <v>1581.8846666666668</v>
      </c>
      <c r="CH41" s="196">
        <f t="shared" si="124"/>
        <v>1538.5563647397967</v>
      </c>
      <c r="CI41" s="197">
        <f t="shared" si="125"/>
        <v>195.57919890760127</v>
      </c>
      <c r="CJ41" s="197">
        <f t="shared" si="126"/>
        <v>327.84585514337732</v>
      </c>
      <c r="CK41" s="197">
        <f t="shared" si="127"/>
        <v>1210.7105095964193</v>
      </c>
      <c r="CL41" s="199">
        <f t="shared" si="128"/>
        <v>1406.2897085040206</v>
      </c>
      <c r="CM41" s="196">
        <f t="shared" si="151"/>
        <v>4084.2047868305262</v>
      </c>
      <c r="CN41" s="197">
        <f t="shared" si="129"/>
        <v>830.5200273099681</v>
      </c>
      <c r="CO41" s="197">
        <f t="shared" si="130"/>
        <v>3319.3468640191163</v>
      </c>
      <c r="CP41" s="197">
        <f t="shared" si="131"/>
        <v>764.85792281140971</v>
      </c>
      <c r="CQ41" s="199">
        <f t="shared" si="132"/>
        <v>1595.377950121378</v>
      </c>
      <c r="CT41" s="204">
        <f t="shared" si="152"/>
        <v>4</v>
      </c>
      <c r="CU41" s="197">
        <f t="shared" si="92"/>
        <v>15.733333333333334</v>
      </c>
      <c r="CV41" s="197">
        <f>'Energy Inputs'!$G$58*$CV$34</f>
        <v>0</v>
      </c>
      <c r="CW41" s="197">
        <f t="shared" si="153"/>
        <v>0</v>
      </c>
      <c r="CX41" s="197">
        <f>'Margins summary'!$W$14</f>
        <v>220</v>
      </c>
      <c r="CY41" s="197">
        <f t="shared" si="133"/>
        <v>220</v>
      </c>
      <c r="CZ41" s="197"/>
      <c r="DA41" s="897">
        <f>'Energy NPV'!U94</f>
        <v>368.78200000000004</v>
      </c>
      <c r="DB41" s="197"/>
      <c r="DC41" s="197">
        <f t="shared" si="93"/>
        <v>368.78200000000004</v>
      </c>
      <c r="DD41" s="197">
        <f t="shared" si="94"/>
        <v>-368.78200000000004</v>
      </c>
      <c r="DE41" s="197">
        <f t="shared" si="95"/>
        <v>-148.78200000000004</v>
      </c>
      <c r="DF41" s="196">
        <f t="shared" si="134"/>
        <v>0</v>
      </c>
      <c r="DG41" s="197">
        <f t="shared" si="135"/>
        <v>195.57919890760127</v>
      </c>
      <c r="DH41" s="197">
        <f t="shared" si="136"/>
        <v>327.84585514337732</v>
      </c>
      <c r="DI41" s="197">
        <f t="shared" si="137"/>
        <v>-327.84585514337732</v>
      </c>
      <c r="DJ41" s="199">
        <f t="shared" si="138"/>
        <v>-132.26665623577608</v>
      </c>
      <c r="DK41" s="196">
        <f t="shared" si="154"/>
        <v>0</v>
      </c>
      <c r="DL41" s="197">
        <f t="shared" si="139"/>
        <v>830.5200273099681</v>
      </c>
      <c r="DM41" s="197">
        <f t="shared" si="140"/>
        <v>3319.3468640191163</v>
      </c>
      <c r="DN41" s="197">
        <f t="shared" si="141"/>
        <v>-3319.3468640191163</v>
      </c>
      <c r="DO41" s="199">
        <f t="shared" si="142"/>
        <v>-2488.8268367091487</v>
      </c>
    </row>
    <row r="42" spans="2:177" x14ac:dyDescent="0.3">
      <c r="B42" s="204">
        <f t="shared" si="143"/>
        <v>5</v>
      </c>
      <c r="C42" s="197">
        <f>'Energy NPV'!$D95</f>
        <v>16.3</v>
      </c>
      <c r="D42" s="197">
        <f>'Energy Inputs'!$G$58*$E$34</f>
        <v>55</v>
      </c>
      <c r="E42" s="197">
        <f t="shared" si="144"/>
        <v>896.5</v>
      </c>
      <c r="F42" s="197">
        <f>'Margins summary'!$W$14</f>
        <v>220</v>
      </c>
      <c r="G42" s="197">
        <f t="shared" si="96"/>
        <v>1116.5</v>
      </c>
      <c r="H42" s="197"/>
      <c r="I42" s="897">
        <f>'Energy NPV'!U95</f>
        <v>368.78200000000004</v>
      </c>
      <c r="J42" s="197"/>
      <c r="K42" s="197">
        <f t="shared" si="78"/>
        <v>368.78200000000004</v>
      </c>
      <c r="L42" s="197">
        <f t="shared" si="79"/>
        <v>527.71799999999996</v>
      </c>
      <c r="M42" s="197">
        <f t="shared" si="80"/>
        <v>747.71799999999996</v>
      </c>
      <c r="N42" s="196">
        <f t="shared" si="97"/>
        <v>766.33195725814903</v>
      </c>
      <c r="O42" s="197">
        <f t="shared" si="98"/>
        <v>188.05692202653967</v>
      </c>
      <c r="P42" s="197">
        <f t="shared" si="99"/>
        <v>315.23639917632431</v>
      </c>
      <c r="Q42" s="197">
        <f t="shared" si="100"/>
        <v>451.09555808182478</v>
      </c>
      <c r="R42" s="199">
        <f t="shared" si="101"/>
        <v>639.15248010836444</v>
      </c>
      <c r="S42" s="196">
        <f t="shared" si="145"/>
        <v>2808.4343506734122</v>
      </c>
      <c r="T42" s="197">
        <f t="shared" si="102"/>
        <v>1018.5769493365078</v>
      </c>
      <c r="U42" s="197">
        <f t="shared" si="102"/>
        <v>3634.5832631954408</v>
      </c>
      <c r="V42" s="197">
        <f t="shared" si="102"/>
        <v>-826.1489125220287</v>
      </c>
      <c r="W42" s="199">
        <f t="shared" si="102"/>
        <v>192.42803681447901</v>
      </c>
      <c r="Z42" s="881">
        <v>5</v>
      </c>
      <c r="AA42" s="197">
        <f t="shared" si="81"/>
        <v>16.3</v>
      </c>
      <c r="AB42" s="197">
        <f>'Energy Inputs'!$G$58*$AB$34</f>
        <v>82.5</v>
      </c>
      <c r="AC42" s="197">
        <f t="shared" si="146"/>
        <v>1344.75</v>
      </c>
      <c r="AD42" s="197">
        <f>'Margins summary'!$W$14</f>
        <v>220</v>
      </c>
      <c r="AE42" s="197">
        <f t="shared" si="103"/>
        <v>1564.75</v>
      </c>
      <c r="AF42" s="197"/>
      <c r="AG42" s="897">
        <f>'Energy NPV'!U95</f>
        <v>368.78200000000004</v>
      </c>
      <c r="AH42" s="197"/>
      <c r="AI42" s="197">
        <f t="shared" si="155"/>
        <v>368.78200000000004</v>
      </c>
      <c r="AJ42" s="197">
        <f t="shared" si="82"/>
        <v>975.96799999999996</v>
      </c>
      <c r="AK42" s="197">
        <f t="shared" si="83"/>
        <v>1195.9679999999998</v>
      </c>
      <c r="AL42" s="196">
        <f t="shared" si="104"/>
        <v>1149.4979358872235</v>
      </c>
      <c r="AM42" s="197">
        <f t="shared" si="105"/>
        <v>188.05692202653967</v>
      </c>
      <c r="AN42" s="197">
        <f t="shared" si="106"/>
        <v>315.23639917632431</v>
      </c>
      <c r="AO42" s="197">
        <f t="shared" si="107"/>
        <v>834.26153671089924</v>
      </c>
      <c r="AP42" s="199">
        <f t="shared" si="108"/>
        <v>1022.3184587374388</v>
      </c>
      <c r="AQ42" s="196">
        <f t="shared" si="147"/>
        <v>4212.6515260101178</v>
      </c>
      <c r="AR42" s="197">
        <f t="shared" si="109"/>
        <v>1018.5769493365078</v>
      </c>
      <c r="AS42" s="197">
        <f t="shared" si="110"/>
        <v>3634.5832631954408</v>
      </c>
      <c r="AT42" s="197">
        <f t="shared" si="111"/>
        <v>578.06826281467704</v>
      </c>
      <c r="AU42" s="199">
        <f t="shared" si="112"/>
        <v>1596.6452121511848</v>
      </c>
      <c r="AX42" s="881">
        <v>5</v>
      </c>
      <c r="AY42" s="197">
        <f t="shared" si="84"/>
        <v>16.3</v>
      </c>
      <c r="AZ42" s="197">
        <f>'Energy Inputs'!$G$58*$AZ$34</f>
        <v>27.5</v>
      </c>
      <c r="BA42" s="197">
        <f t="shared" si="148"/>
        <v>448.25</v>
      </c>
      <c r="BB42" s="197">
        <f>'Margins summary'!$W$14</f>
        <v>220</v>
      </c>
      <c r="BC42" s="197">
        <f t="shared" si="113"/>
        <v>668.25</v>
      </c>
      <c r="BD42" s="197"/>
      <c r="BE42" s="897">
        <f>'Margins summary'!$W$22</f>
        <v>388.90700000000004</v>
      </c>
      <c r="BF42" s="197"/>
      <c r="BG42" s="197">
        <f t="shared" si="85"/>
        <v>388.90700000000004</v>
      </c>
      <c r="BH42" s="197">
        <f t="shared" si="86"/>
        <v>59.342999999999961</v>
      </c>
      <c r="BI42" s="197">
        <f t="shared" si="87"/>
        <v>279.34299999999996</v>
      </c>
      <c r="BJ42" s="196">
        <f t="shared" si="114"/>
        <v>383.16597862907452</v>
      </c>
      <c r="BK42" s="197">
        <f t="shared" si="115"/>
        <v>188.05692202653967</v>
      </c>
      <c r="BL42" s="197">
        <f t="shared" si="116"/>
        <v>332.43933352079756</v>
      </c>
      <c r="BM42" s="197">
        <f t="shared" si="117"/>
        <v>50.726645108276976</v>
      </c>
      <c r="BN42" s="199">
        <f t="shared" si="118"/>
        <v>238.78356713481662</v>
      </c>
      <c r="BO42" s="196">
        <f t="shared" si="149"/>
        <v>1404.2171753367061</v>
      </c>
      <c r="BP42" s="197">
        <f t="shared" si="119"/>
        <v>1018.5769493365078</v>
      </c>
      <c r="BQ42" s="197">
        <f t="shared" si="120"/>
        <v>3403.9736619800601</v>
      </c>
      <c r="BR42" s="197">
        <f t="shared" si="121"/>
        <v>-1999.7564866433545</v>
      </c>
      <c r="BS42" s="199">
        <f t="shared" si="122"/>
        <v>-981.17953730684621</v>
      </c>
      <c r="BV42" s="881">
        <v>5</v>
      </c>
      <c r="BW42" s="197">
        <f t="shared" si="88"/>
        <v>16.3</v>
      </c>
      <c r="BX42" s="197">
        <f>'Energy Inputs'!$G$58*$BX$34</f>
        <v>110</v>
      </c>
      <c r="BY42" s="197">
        <f t="shared" si="150"/>
        <v>1793</v>
      </c>
      <c r="BZ42" s="197">
        <f>'Margins summary'!$W$14</f>
        <v>220</v>
      </c>
      <c r="CA42" s="197">
        <f t="shared" si="123"/>
        <v>2013</v>
      </c>
      <c r="CB42" s="197"/>
      <c r="CC42" s="897">
        <f>'Energy NPV'!U95</f>
        <v>368.78200000000004</v>
      </c>
      <c r="CD42" s="197"/>
      <c r="CE42" s="197">
        <f t="shared" si="89"/>
        <v>368.78200000000004</v>
      </c>
      <c r="CF42" s="197">
        <f t="shared" si="90"/>
        <v>1424.2179999999998</v>
      </c>
      <c r="CG42" s="197">
        <f t="shared" si="91"/>
        <v>1644.2179999999998</v>
      </c>
      <c r="CH42" s="196">
        <f t="shared" si="124"/>
        <v>1532.6639145162981</v>
      </c>
      <c r="CI42" s="197">
        <f t="shared" si="125"/>
        <v>188.05692202653967</v>
      </c>
      <c r="CJ42" s="197">
        <f t="shared" si="126"/>
        <v>315.23639917632431</v>
      </c>
      <c r="CK42" s="197">
        <f t="shared" si="127"/>
        <v>1217.4275153399738</v>
      </c>
      <c r="CL42" s="199">
        <f t="shared" si="128"/>
        <v>1405.4844373665135</v>
      </c>
      <c r="CM42" s="196">
        <f t="shared" si="151"/>
        <v>5616.8687013468243</v>
      </c>
      <c r="CN42" s="197">
        <f t="shared" si="129"/>
        <v>1018.5769493365078</v>
      </c>
      <c r="CO42" s="197">
        <f t="shared" si="130"/>
        <v>3634.5832631954408</v>
      </c>
      <c r="CP42" s="197">
        <f t="shared" si="131"/>
        <v>1982.2854381513835</v>
      </c>
      <c r="CQ42" s="199">
        <f t="shared" si="132"/>
        <v>3000.8623874878913</v>
      </c>
      <c r="CT42" s="204">
        <f t="shared" si="152"/>
        <v>5</v>
      </c>
      <c r="CU42" s="197">
        <f t="shared" si="92"/>
        <v>16.3</v>
      </c>
      <c r="CV42" s="197">
        <f>'Energy Inputs'!$G$58*$CV$34</f>
        <v>0</v>
      </c>
      <c r="CW42" s="197">
        <f t="shared" si="153"/>
        <v>0</v>
      </c>
      <c r="CX42" s="197">
        <f>'Margins summary'!$W$14</f>
        <v>220</v>
      </c>
      <c r="CY42" s="197">
        <f t="shared" si="133"/>
        <v>220</v>
      </c>
      <c r="CZ42" s="197"/>
      <c r="DA42" s="897">
        <f>'Energy NPV'!U95</f>
        <v>368.78200000000004</v>
      </c>
      <c r="DB42" s="197"/>
      <c r="DC42" s="197">
        <f t="shared" si="93"/>
        <v>368.78200000000004</v>
      </c>
      <c r="DD42" s="197">
        <f t="shared" si="94"/>
        <v>-368.78200000000004</v>
      </c>
      <c r="DE42" s="197">
        <f t="shared" si="95"/>
        <v>-148.78200000000004</v>
      </c>
      <c r="DF42" s="196">
        <f t="shared" si="134"/>
        <v>0</v>
      </c>
      <c r="DG42" s="197">
        <f t="shared" si="135"/>
        <v>188.05692202653967</v>
      </c>
      <c r="DH42" s="197">
        <f t="shared" si="136"/>
        <v>315.23639917632431</v>
      </c>
      <c r="DI42" s="197">
        <f t="shared" si="137"/>
        <v>-315.23639917632431</v>
      </c>
      <c r="DJ42" s="199">
        <f t="shared" si="138"/>
        <v>-127.17947714978469</v>
      </c>
      <c r="DK42" s="196">
        <f t="shared" si="154"/>
        <v>0</v>
      </c>
      <c r="DL42" s="197">
        <f t="shared" si="139"/>
        <v>1018.5769493365078</v>
      </c>
      <c r="DM42" s="197">
        <f t="shared" si="140"/>
        <v>3634.5832631954408</v>
      </c>
      <c r="DN42" s="197">
        <f t="shared" si="141"/>
        <v>-3634.5832631954408</v>
      </c>
      <c r="DO42" s="199">
        <f t="shared" si="142"/>
        <v>-2616.0063138589335</v>
      </c>
    </row>
    <row r="43" spans="2:177" x14ac:dyDescent="0.3">
      <c r="B43" s="204">
        <f t="shared" si="143"/>
        <v>6</v>
      </c>
      <c r="C43" s="197">
        <f>'Energy NPV'!$D96</f>
        <v>16.3</v>
      </c>
      <c r="D43" s="197">
        <f>'Energy Inputs'!$G$58*$E$34</f>
        <v>55</v>
      </c>
      <c r="E43" s="197">
        <f t="shared" si="144"/>
        <v>896.5</v>
      </c>
      <c r="F43" s="197">
        <f>'Margins summary'!$W$14</f>
        <v>220</v>
      </c>
      <c r="G43" s="197">
        <f t="shared" si="96"/>
        <v>1116.5</v>
      </c>
      <c r="H43" s="197"/>
      <c r="I43" s="897">
        <f>'Energy NPV'!U96</f>
        <v>368.78200000000004</v>
      </c>
      <c r="J43" s="197"/>
      <c r="K43" s="197">
        <f t="shared" si="78"/>
        <v>368.78200000000004</v>
      </c>
      <c r="L43" s="197">
        <f t="shared" si="79"/>
        <v>527.71799999999996</v>
      </c>
      <c r="M43" s="197">
        <f t="shared" si="80"/>
        <v>747.71799999999996</v>
      </c>
      <c r="N43" s="196">
        <f t="shared" si="97"/>
        <v>736.85765120975861</v>
      </c>
      <c r="O43" s="197">
        <f t="shared" si="98"/>
        <v>180.82396348705734</v>
      </c>
      <c r="P43" s="197">
        <f t="shared" si="99"/>
        <v>303.11192228492723</v>
      </c>
      <c r="Q43" s="197">
        <f t="shared" si="100"/>
        <v>433.74572892483144</v>
      </c>
      <c r="R43" s="199">
        <f t="shared" si="101"/>
        <v>614.56969241188881</v>
      </c>
      <c r="S43" s="196">
        <f t="shared" si="145"/>
        <v>3545.292001883171</v>
      </c>
      <c r="T43" s="197">
        <f t="shared" si="102"/>
        <v>1199.4009128235652</v>
      </c>
      <c r="U43" s="197">
        <f t="shared" si="102"/>
        <v>3937.6951854803683</v>
      </c>
      <c r="V43" s="197">
        <f t="shared" si="102"/>
        <v>-392.40318359719726</v>
      </c>
      <c r="W43" s="199">
        <f t="shared" si="102"/>
        <v>806.99772922636782</v>
      </c>
      <c r="Z43" s="881">
        <v>6</v>
      </c>
      <c r="AA43" s="197">
        <f t="shared" si="81"/>
        <v>16.3</v>
      </c>
      <c r="AB43" s="197">
        <f>'Energy Inputs'!$G$58*$AB$34</f>
        <v>82.5</v>
      </c>
      <c r="AC43" s="197">
        <f t="shared" si="146"/>
        <v>1344.75</v>
      </c>
      <c r="AD43" s="197">
        <f>'Margins summary'!$W$14</f>
        <v>220</v>
      </c>
      <c r="AE43" s="197">
        <f t="shared" si="103"/>
        <v>1564.75</v>
      </c>
      <c r="AF43" s="197"/>
      <c r="AG43" s="897">
        <f>'Energy NPV'!U96</f>
        <v>368.78200000000004</v>
      </c>
      <c r="AH43" s="197"/>
      <c r="AI43" s="197">
        <f t="shared" si="155"/>
        <v>368.78200000000004</v>
      </c>
      <c r="AJ43" s="197">
        <f t="shared" si="82"/>
        <v>975.96799999999996</v>
      </c>
      <c r="AK43" s="197">
        <f t="shared" si="83"/>
        <v>1195.9679999999998</v>
      </c>
      <c r="AL43" s="196">
        <f t="shared" si="104"/>
        <v>1105.286476814638</v>
      </c>
      <c r="AM43" s="197">
        <f t="shared" si="105"/>
        <v>180.82396348705734</v>
      </c>
      <c r="AN43" s="197">
        <f t="shared" si="106"/>
        <v>303.11192228492723</v>
      </c>
      <c r="AO43" s="197">
        <f t="shared" si="107"/>
        <v>802.1745545297108</v>
      </c>
      <c r="AP43" s="199">
        <f t="shared" si="108"/>
        <v>982.998518016768</v>
      </c>
      <c r="AQ43" s="196">
        <f t="shared" si="147"/>
        <v>5317.938002824756</v>
      </c>
      <c r="AR43" s="197">
        <f t="shared" si="109"/>
        <v>1199.4009128235652</v>
      </c>
      <c r="AS43" s="197">
        <f t="shared" si="110"/>
        <v>3937.6951854803683</v>
      </c>
      <c r="AT43" s="197">
        <f t="shared" si="111"/>
        <v>1380.2428173443877</v>
      </c>
      <c r="AU43" s="199">
        <f t="shared" si="112"/>
        <v>2579.6437301679525</v>
      </c>
      <c r="AX43" s="881">
        <v>6</v>
      </c>
      <c r="AY43" s="197">
        <f t="shared" si="84"/>
        <v>16.3</v>
      </c>
      <c r="AZ43" s="197">
        <f>'Energy Inputs'!$G$58*$AZ$34</f>
        <v>27.5</v>
      </c>
      <c r="BA43" s="197">
        <f t="shared" si="148"/>
        <v>448.25</v>
      </c>
      <c r="BB43" s="197">
        <f>'Margins summary'!$W$14</f>
        <v>220</v>
      </c>
      <c r="BC43" s="197">
        <f t="shared" si="113"/>
        <v>668.25</v>
      </c>
      <c r="BD43" s="197"/>
      <c r="BE43" s="897">
        <f>'Margins summary'!$W$22</f>
        <v>388.90700000000004</v>
      </c>
      <c r="BF43" s="197"/>
      <c r="BG43" s="197">
        <f t="shared" si="85"/>
        <v>388.90700000000004</v>
      </c>
      <c r="BH43" s="197">
        <f t="shared" si="86"/>
        <v>59.342999999999961</v>
      </c>
      <c r="BI43" s="197">
        <f t="shared" si="87"/>
        <v>279.34299999999996</v>
      </c>
      <c r="BJ43" s="196">
        <f t="shared" si="114"/>
        <v>368.42882560487931</v>
      </c>
      <c r="BK43" s="197">
        <f t="shared" si="115"/>
        <v>180.82396348705734</v>
      </c>
      <c r="BL43" s="197">
        <f t="shared" si="116"/>
        <v>319.65320530845918</v>
      </c>
      <c r="BM43" s="197">
        <f t="shared" si="117"/>
        <v>48.775620296420165</v>
      </c>
      <c r="BN43" s="199">
        <f t="shared" si="118"/>
        <v>229.5995837834775</v>
      </c>
      <c r="BO43" s="196">
        <f t="shared" si="149"/>
        <v>1772.6460009415855</v>
      </c>
      <c r="BP43" s="197">
        <f t="shared" si="119"/>
        <v>1199.4009128235652</v>
      </c>
      <c r="BQ43" s="197">
        <f t="shared" si="120"/>
        <v>3723.6268672885194</v>
      </c>
      <c r="BR43" s="197">
        <f t="shared" si="121"/>
        <v>-1950.9808663469344</v>
      </c>
      <c r="BS43" s="199">
        <f t="shared" si="122"/>
        <v>-751.57995352336866</v>
      </c>
      <c r="BV43" s="881">
        <v>6</v>
      </c>
      <c r="BW43" s="197">
        <f t="shared" si="88"/>
        <v>16.3</v>
      </c>
      <c r="BX43" s="197">
        <f>'Energy Inputs'!$G$58*$BX$34</f>
        <v>110</v>
      </c>
      <c r="BY43" s="197">
        <f t="shared" si="150"/>
        <v>1793</v>
      </c>
      <c r="BZ43" s="197">
        <f>'Margins summary'!$W$14</f>
        <v>220</v>
      </c>
      <c r="CA43" s="197">
        <f t="shared" si="123"/>
        <v>2013</v>
      </c>
      <c r="CB43" s="197"/>
      <c r="CC43" s="897">
        <f>'Energy NPV'!U96</f>
        <v>368.78200000000004</v>
      </c>
      <c r="CD43" s="197"/>
      <c r="CE43" s="197">
        <f t="shared" si="89"/>
        <v>368.78200000000004</v>
      </c>
      <c r="CF43" s="197">
        <f t="shared" si="90"/>
        <v>1424.2179999999998</v>
      </c>
      <c r="CG43" s="197">
        <f t="shared" si="91"/>
        <v>1644.2179999999998</v>
      </c>
      <c r="CH43" s="196">
        <f t="shared" si="124"/>
        <v>1473.7153024195172</v>
      </c>
      <c r="CI43" s="197">
        <f t="shared" si="125"/>
        <v>180.82396348705734</v>
      </c>
      <c r="CJ43" s="197">
        <f t="shared" si="126"/>
        <v>303.11192228492723</v>
      </c>
      <c r="CK43" s="197">
        <f t="shared" si="127"/>
        <v>1170.60338013459</v>
      </c>
      <c r="CL43" s="199">
        <f t="shared" si="128"/>
        <v>1351.4273436216474</v>
      </c>
      <c r="CM43" s="196">
        <f t="shared" si="151"/>
        <v>7090.584003766342</v>
      </c>
      <c r="CN43" s="197">
        <f t="shared" si="129"/>
        <v>1199.4009128235652</v>
      </c>
      <c r="CO43" s="197">
        <f t="shared" si="130"/>
        <v>3937.6951854803683</v>
      </c>
      <c r="CP43" s="197">
        <f t="shared" si="131"/>
        <v>3152.8888182859737</v>
      </c>
      <c r="CQ43" s="199">
        <f t="shared" si="132"/>
        <v>4352.2897311095385</v>
      </c>
      <c r="CT43" s="204">
        <f t="shared" si="152"/>
        <v>6</v>
      </c>
      <c r="CU43" s="197">
        <f t="shared" si="92"/>
        <v>16.3</v>
      </c>
      <c r="CV43" s="197">
        <f>'Energy Inputs'!$G$58*$CV$34</f>
        <v>0</v>
      </c>
      <c r="CW43" s="197">
        <f t="shared" si="153"/>
        <v>0</v>
      </c>
      <c r="CX43" s="197">
        <f>'Margins summary'!$W$14</f>
        <v>220</v>
      </c>
      <c r="CY43" s="197">
        <f t="shared" si="133"/>
        <v>220</v>
      </c>
      <c r="CZ43" s="197"/>
      <c r="DA43" s="897">
        <f>'Energy NPV'!U96</f>
        <v>368.78200000000004</v>
      </c>
      <c r="DB43" s="197"/>
      <c r="DC43" s="197">
        <f t="shared" si="93"/>
        <v>368.78200000000004</v>
      </c>
      <c r="DD43" s="197">
        <f t="shared" si="94"/>
        <v>-368.78200000000004</v>
      </c>
      <c r="DE43" s="197">
        <f t="shared" si="95"/>
        <v>-148.78200000000004</v>
      </c>
      <c r="DF43" s="196">
        <f t="shared" si="134"/>
        <v>0</v>
      </c>
      <c r="DG43" s="197">
        <f t="shared" si="135"/>
        <v>180.82396348705734</v>
      </c>
      <c r="DH43" s="197">
        <f t="shared" si="136"/>
        <v>303.11192228492723</v>
      </c>
      <c r="DI43" s="197">
        <f t="shared" si="137"/>
        <v>-303.11192228492723</v>
      </c>
      <c r="DJ43" s="199">
        <f t="shared" si="138"/>
        <v>-122.28795879786988</v>
      </c>
      <c r="DK43" s="196">
        <f t="shared" si="154"/>
        <v>0</v>
      </c>
      <c r="DL43" s="197">
        <f t="shared" si="139"/>
        <v>1199.4009128235652</v>
      </c>
      <c r="DM43" s="197">
        <f t="shared" si="140"/>
        <v>3937.6951854803683</v>
      </c>
      <c r="DN43" s="197">
        <f t="shared" si="141"/>
        <v>-3937.6951854803683</v>
      </c>
      <c r="DO43" s="199">
        <f t="shared" si="142"/>
        <v>-2738.2942726568035</v>
      </c>
    </row>
    <row r="44" spans="2:177" x14ac:dyDescent="0.3">
      <c r="B44" s="204">
        <f t="shared" si="143"/>
        <v>7</v>
      </c>
      <c r="C44" s="197">
        <f>'Energy NPV'!$D97</f>
        <v>16.3</v>
      </c>
      <c r="D44" s="197">
        <f>'Energy Inputs'!$G$58*$E$34</f>
        <v>55</v>
      </c>
      <c r="E44" s="197">
        <f t="shared" si="144"/>
        <v>896.5</v>
      </c>
      <c r="F44" s="197">
        <f>'Margins summary'!$W$14</f>
        <v>220</v>
      </c>
      <c r="G44" s="197">
        <f t="shared" si="96"/>
        <v>1116.5</v>
      </c>
      <c r="H44" s="197"/>
      <c r="I44" s="897">
        <f>'Energy NPV'!U97</f>
        <v>368.78200000000004</v>
      </c>
      <c r="J44" s="197"/>
      <c r="K44" s="197">
        <f t="shared" si="78"/>
        <v>368.78200000000004</v>
      </c>
      <c r="L44" s="197">
        <f t="shared" si="79"/>
        <v>527.71799999999996</v>
      </c>
      <c r="M44" s="197">
        <f t="shared" si="80"/>
        <v>747.71799999999996</v>
      </c>
      <c r="N44" s="196">
        <f t="shared" si="97"/>
        <v>708.51697231707567</v>
      </c>
      <c r="O44" s="197">
        <f t="shared" si="98"/>
        <v>173.86919566063204</v>
      </c>
      <c r="P44" s="197">
        <f t="shared" si="99"/>
        <v>291.45377142781462</v>
      </c>
      <c r="Q44" s="197">
        <f t="shared" si="100"/>
        <v>417.063200889261</v>
      </c>
      <c r="R44" s="199">
        <f t="shared" si="101"/>
        <v>590.93239654989304</v>
      </c>
      <c r="S44" s="196">
        <f t="shared" si="145"/>
        <v>4253.8089742002467</v>
      </c>
      <c r="T44" s="197">
        <f t="shared" si="102"/>
        <v>1373.2701084841974</v>
      </c>
      <c r="U44" s="197">
        <f t="shared" si="102"/>
        <v>4229.1489569081832</v>
      </c>
      <c r="V44" s="197">
        <f t="shared" si="102"/>
        <v>24.660017292063742</v>
      </c>
      <c r="W44" s="199">
        <f t="shared" si="102"/>
        <v>1397.9301257762609</v>
      </c>
      <c r="Z44" s="881">
        <v>7</v>
      </c>
      <c r="AA44" s="197">
        <f t="shared" si="81"/>
        <v>16.3</v>
      </c>
      <c r="AB44" s="197">
        <f>'Energy Inputs'!$G$58*$AB$34</f>
        <v>82.5</v>
      </c>
      <c r="AC44" s="197">
        <f t="shared" si="146"/>
        <v>1344.75</v>
      </c>
      <c r="AD44" s="197">
        <f>'Margins summary'!$W$14</f>
        <v>220</v>
      </c>
      <c r="AE44" s="197">
        <f t="shared" si="103"/>
        <v>1564.75</v>
      </c>
      <c r="AF44" s="197"/>
      <c r="AG44" s="897">
        <f>'Energy NPV'!U97</f>
        <v>368.78200000000004</v>
      </c>
      <c r="AH44" s="197"/>
      <c r="AI44" s="197">
        <f t="shared" si="155"/>
        <v>368.78200000000004</v>
      </c>
      <c r="AJ44" s="197">
        <f t="shared" si="82"/>
        <v>975.96799999999996</v>
      </c>
      <c r="AK44" s="197">
        <f t="shared" si="83"/>
        <v>1195.9679999999998</v>
      </c>
      <c r="AL44" s="196">
        <f t="shared" si="104"/>
        <v>1062.7754584756135</v>
      </c>
      <c r="AM44" s="197">
        <f t="shared" si="105"/>
        <v>173.86919566063204</v>
      </c>
      <c r="AN44" s="197">
        <f t="shared" si="106"/>
        <v>291.45377142781462</v>
      </c>
      <c r="AO44" s="197">
        <f t="shared" si="107"/>
        <v>771.32168704779883</v>
      </c>
      <c r="AP44" s="199">
        <f t="shared" si="108"/>
        <v>945.19088270843076</v>
      </c>
      <c r="AQ44" s="196">
        <f t="shared" si="147"/>
        <v>6380.7134613003691</v>
      </c>
      <c r="AR44" s="197">
        <f t="shared" si="109"/>
        <v>1373.2701084841974</v>
      </c>
      <c r="AS44" s="197">
        <f t="shared" si="110"/>
        <v>4229.1489569081832</v>
      </c>
      <c r="AT44" s="197">
        <f t="shared" si="111"/>
        <v>2151.5645043921868</v>
      </c>
      <c r="AU44" s="199">
        <f t="shared" si="112"/>
        <v>3524.8346128763833</v>
      </c>
      <c r="AX44" s="881">
        <v>7</v>
      </c>
      <c r="AY44" s="197">
        <f t="shared" si="84"/>
        <v>16.3</v>
      </c>
      <c r="AZ44" s="197">
        <f>'Energy Inputs'!$G$58*$AZ$34</f>
        <v>27.5</v>
      </c>
      <c r="BA44" s="197">
        <f t="shared" si="148"/>
        <v>448.25</v>
      </c>
      <c r="BB44" s="197">
        <f>'Margins summary'!$W$14</f>
        <v>220</v>
      </c>
      <c r="BC44" s="197">
        <f t="shared" si="113"/>
        <v>668.25</v>
      </c>
      <c r="BD44" s="197"/>
      <c r="BE44" s="897">
        <f>'Margins summary'!$W$22</f>
        <v>388.90700000000004</v>
      </c>
      <c r="BF44" s="197"/>
      <c r="BG44" s="197">
        <f t="shared" si="85"/>
        <v>388.90700000000004</v>
      </c>
      <c r="BH44" s="197">
        <f t="shared" si="86"/>
        <v>59.342999999999961</v>
      </c>
      <c r="BI44" s="197">
        <f t="shared" si="87"/>
        <v>279.34299999999996</v>
      </c>
      <c r="BJ44" s="196">
        <f t="shared" si="114"/>
        <v>354.25848615853783</v>
      </c>
      <c r="BK44" s="197">
        <f t="shared" si="115"/>
        <v>173.86919566063204</v>
      </c>
      <c r="BL44" s="197">
        <f t="shared" si="116"/>
        <v>307.35885125813383</v>
      </c>
      <c r="BM44" s="197">
        <f t="shared" si="117"/>
        <v>46.899634900404003</v>
      </c>
      <c r="BN44" s="199">
        <f t="shared" si="118"/>
        <v>220.76883056103605</v>
      </c>
      <c r="BO44" s="196">
        <f t="shared" si="149"/>
        <v>2126.9044871001233</v>
      </c>
      <c r="BP44" s="197">
        <f t="shared" si="119"/>
        <v>1373.2701084841974</v>
      </c>
      <c r="BQ44" s="197">
        <f t="shared" si="120"/>
        <v>4030.9857185466531</v>
      </c>
      <c r="BR44" s="197">
        <f t="shared" si="121"/>
        <v>-1904.0812314465304</v>
      </c>
      <c r="BS44" s="199">
        <f t="shared" si="122"/>
        <v>-530.81112296233255</v>
      </c>
      <c r="BV44" s="881">
        <v>7</v>
      </c>
      <c r="BW44" s="197">
        <f t="shared" si="88"/>
        <v>16.3</v>
      </c>
      <c r="BX44" s="197">
        <f>'Energy Inputs'!$G$58*$BX$34</f>
        <v>110</v>
      </c>
      <c r="BY44" s="197">
        <f t="shared" si="150"/>
        <v>1793</v>
      </c>
      <c r="BZ44" s="197">
        <f>'Margins summary'!$W$14</f>
        <v>220</v>
      </c>
      <c r="CA44" s="197">
        <f t="shared" si="123"/>
        <v>2013</v>
      </c>
      <c r="CB44" s="197"/>
      <c r="CC44" s="897">
        <f>'Energy NPV'!U97</f>
        <v>368.78200000000004</v>
      </c>
      <c r="CD44" s="197"/>
      <c r="CE44" s="197">
        <f t="shared" si="89"/>
        <v>368.78200000000004</v>
      </c>
      <c r="CF44" s="197">
        <f t="shared" si="90"/>
        <v>1424.2179999999998</v>
      </c>
      <c r="CG44" s="197">
        <f t="shared" si="91"/>
        <v>1644.2179999999998</v>
      </c>
      <c r="CH44" s="196">
        <f t="shared" si="124"/>
        <v>1417.0339446341513</v>
      </c>
      <c r="CI44" s="197">
        <f t="shared" si="125"/>
        <v>173.86919566063204</v>
      </c>
      <c r="CJ44" s="197">
        <f t="shared" si="126"/>
        <v>291.45377142781462</v>
      </c>
      <c r="CK44" s="197">
        <f t="shared" si="127"/>
        <v>1125.5801732063364</v>
      </c>
      <c r="CL44" s="199">
        <f t="shared" si="128"/>
        <v>1299.4493688669686</v>
      </c>
      <c r="CM44" s="196">
        <f t="shared" si="151"/>
        <v>8507.6179484004933</v>
      </c>
      <c r="CN44" s="197">
        <f t="shared" si="129"/>
        <v>1373.2701084841974</v>
      </c>
      <c r="CO44" s="197">
        <f t="shared" si="130"/>
        <v>4229.1489569081832</v>
      </c>
      <c r="CP44" s="197">
        <f t="shared" si="131"/>
        <v>4278.4689914923101</v>
      </c>
      <c r="CQ44" s="199">
        <f t="shared" si="132"/>
        <v>5651.7390999765066</v>
      </c>
      <c r="CT44" s="204">
        <f t="shared" si="152"/>
        <v>7</v>
      </c>
      <c r="CU44" s="197">
        <f t="shared" si="92"/>
        <v>16.3</v>
      </c>
      <c r="CV44" s="197">
        <f>'Energy Inputs'!$G$58*$CV$34</f>
        <v>0</v>
      </c>
      <c r="CW44" s="197">
        <f t="shared" si="153"/>
        <v>0</v>
      </c>
      <c r="CX44" s="197">
        <f>'Margins summary'!$W$14</f>
        <v>220</v>
      </c>
      <c r="CY44" s="197">
        <f t="shared" si="133"/>
        <v>220</v>
      </c>
      <c r="CZ44" s="197"/>
      <c r="DA44" s="897">
        <f>'Energy NPV'!U97</f>
        <v>368.78200000000004</v>
      </c>
      <c r="DB44" s="197"/>
      <c r="DC44" s="197">
        <f t="shared" si="93"/>
        <v>368.78200000000004</v>
      </c>
      <c r="DD44" s="197">
        <f t="shared" si="94"/>
        <v>-368.78200000000004</v>
      </c>
      <c r="DE44" s="197">
        <f t="shared" si="95"/>
        <v>-148.78200000000004</v>
      </c>
      <c r="DF44" s="196">
        <f t="shared" si="134"/>
        <v>0</v>
      </c>
      <c r="DG44" s="197">
        <f t="shared" si="135"/>
        <v>173.86919566063204</v>
      </c>
      <c r="DH44" s="197">
        <f t="shared" si="136"/>
        <v>291.45377142781462</v>
      </c>
      <c r="DI44" s="197">
        <f t="shared" si="137"/>
        <v>-291.45377142781462</v>
      </c>
      <c r="DJ44" s="199">
        <f t="shared" si="138"/>
        <v>-117.58457576718257</v>
      </c>
      <c r="DK44" s="196">
        <f t="shared" si="154"/>
        <v>0</v>
      </c>
      <c r="DL44" s="197">
        <f t="shared" si="139"/>
        <v>1373.2701084841974</v>
      </c>
      <c r="DM44" s="197">
        <f t="shared" si="140"/>
        <v>4229.1489569081832</v>
      </c>
      <c r="DN44" s="197">
        <f t="shared" si="141"/>
        <v>-4229.1489569081832</v>
      </c>
      <c r="DO44" s="199">
        <f t="shared" si="142"/>
        <v>-2855.8788484239863</v>
      </c>
    </row>
    <row r="45" spans="2:177" x14ac:dyDescent="0.3">
      <c r="B45" s="204">
        <f t="shared" si="143"/>
        <v>8</v>
      </c>
      <c r="C45" s="197">
        <f>'Energy NPV'!$D98</f>
        <v>16.3</v>
      </c>
      <c r="D45" s="197">
        <f>'Energy Inputs'!$G$58*$E$34</f>
        <v>55</v>
      </c>
      <c r="E45" s="197">
        <f t="shared" si="144"/>
        <v>896.5</v>
      </c>
      <c r="F45" s="197">
        <f>'Margins summary'!$W$14</f>
        <v>220</v>
      </c>
      <c r="G45" s="197">
        <f t="shared" si="96"/>
        <v>1116.5</v>
      </c>
      <c r="H45" s="197"/>
      <c r="I45" s="897">
        <f>'Energy NPV'!U98</f>
        <v>368.78200000000004</v>
      </c>
      <c r="J45" s="197"/>
      <c r="K45" s="197">
        <f t="shared" si="78"/>
        <v>368.78200000000004</v>
      </c>
      <c r="L45" s="197">
        <f t="shared" si="79"/>
        <v>527.71799999999996</v>
      </c>
      <c r="M45" s="197">
        <f t="shared" si="80"/>
        <v>747.71799999999996</v>
      </c>
      <c r="N45" s="196">
        <f t="shared" si="97"/>
        <v>681.2663195356497</v>
      </c>
      <c r="O45" s="197">
        <f t="shared" si="98"/>
        <v>167.18191890445391</v>
      </c>
      <c r="P45" s="197">
        <f t="shared" si="99"/>
        <v>280.24401098828332</v>
      </c>
      <c r="Q45" s="197">
        <f t="shared" si="100"/>
        <v>401.02230854736638</v>
      </c>
      <c r="R45" s="199">
        <f t="shared" si="101"/>
        <v>568.20422745182032</v>
      </c>
      <c r="S45" s="196">
        <f t="shared" si="145"/>
        <v>4935.0752937358966</v>
      </c>
      <c r="T45" s="197">
        <f t="shared" si="102"/>
        <v>1540.4520273886512</v>
      </c>
      <c r="U45" s="197">
        <f t="shared" si="102"/>
        <v>4509.3929678964669</v>
      </c>
      <c r="V45" s="197">
        <f t="shared" si="102"/>
        <v>425.68232583943012</v>
      </c>
      <c r="W45" s="199">
        <f t="shared" si="102"/>
        <v>1966.1343532280812</v>
      </c>
      <c r="Z45" s="881">
        <v>8</v>
      </c>
      <c r="AA45" s="197">
        <f t="shared" si="81"/>
        <v>16.3</v>
      </c>
      <c r="AB45" s="197">
        <f>'Energy Inputs'!$G$58*$AB$34</f>
        <v>82.5</v>
      </c>
      <c r="AC45" s="197">
        <f t="shared" si="146"/>
        <v>1344.75</v>
      </c>
      <c r="AD45" s="197">
        <f>'Margins summary'!$W$14</f>
        <v>220</v>
      </c>
      <c r="AE45" s="197">
        <f t="shared" si="103"/>
        <v>1564.75</v>
      </c>
      <c r="AF45" s="197"/>
      <c r="AG45" s="897">
        <f>'Energy NPV'!U98</f>
        <v>368.78200000000004</v>
      </c>
      <c r="AH45" s="197"/>
      <c r="AI45" s="197">
        <f t="shared" si="155"/>
        <v>368.78200000000004</v>
      </c>
      <c r="AJ45" s="197">
        <f t="shared" si="82"/>
        <v>975.96799999999996</v>
      </c>
      <c r="AK45" s="197">
        <f t="shared" si="83"/>
        <v>1195.9679999999998</v>
      </c>
      <c r="AL45" s="196">
        <f t="shared" si="104"/>
        <v>1021.8994793034745</v>
      </c>
      <c r="AM45" s="197">
        <f t="shared" si="105"/>
        <v>167.18191890445391</v>
      </c>
      <c r="AN45" s="197">
        <f t="shared" si="106"/>
        <v>280.24401098828332</v>
      </c>
      <c r="AO45" s="197">
        <f t="shared" si="107"/>
        <v>741.65546831519123</v>
      </c>
      <c r="AP45" s="199">
        <f t="shared" si="108"/>
        <v>908.83738721964505</v>
      </c>
      <c r="AQ45" s="196">
        <f t="shared" si="147"/>
        <v>7402.6129406038435</v>
      </c>
      <c r="AR45" s="197">
        <f t="shared" si="109"/>
        <v>1540.4520273886512</v>
      </c>
      <c r="AS45" s="197">
        <f t="shared" si="110"/>
        <v>4509.3929678964669</v>
      </c>
      <c r="AT45" s="197">
        <f t="shared" si="111"/>
        <v>2893.219972707378</v>
      </c>
      <c r="AU45" s="199">
        <f t="shared" si="112"/>
        <v>4433.6720000960286</v>
      </c>
      <c r="AX45" s="881">
        <v>8</v>
      </c>
      <c r="AY45" s="197">
        <f t="shared" si="84"/>
        <v>16.3</v>
      </c>
      <c r="AZ45" s="197">
        <f>'Energy Inputs'!$G$58*$AZ$34</f>
        <v>27.5</v>
      </c>
      <c r="BA45" s="197">
        <f t="shared" si="148"/>
        <v>448.25</v>
      </c>
      <c r="BB45" s="197">
        <f>'Margins summary'!$W$14</f>
        <v>220</v>
      </c>
      <c r="BC45" s="197">
        <f t="shared" si="113"/>
        <v>668.25</v>
      </c>
      <c r="BD45" s="197"/>
      <c r="BE45" s="897">
        <f>'Margins summary'!$W$22</f>
        <v>388.90700000000004</v>
      </c>
      <c r="BF45" s="197"/>
      <c r="BG45" s="197">
        <f t="shared" si="85"/>
        <v>388.90700000000004</v>
      </c>
      <c r="BH45" s="197">
        <f t="shared" si="86"/>
        <v>59.342999999999961</v>
      </c>
      <c r="BI45" s="197">
        <f t="shared" si="87"/>
        <v>279.34299999999996</v>
      </c>
      <c r="BJ45" s="196">
        <f t="shared" si="114"/>
        <v>340.63315976782485</v>
      </c>
      <c r="BK45" s="197">
        <f t="shared" si="115"/>
        <v>167.18191890445391</v>
      </c>
      <c r="BL45" s="197">
        <f t="shared" si="116"/>
        <v>295.53735697897486</v>
      </c>
      <c r="BM45" s="197">
        <f t="shared" si="117"/>
        <v>45.095802788850008</v>
      </c>
      <c r="BN45" s="199">
        <f t="shared" si="118"/>
        <v>212.27772169330393</v>
      </c>
      <c r="BO45" s="196">
        <f t="shared" si="149"/>
        <v>2467.5376468679483</v>
      </c>
      <c r="BP45" s="197">
        <f t="shared" si="119"/>
        <v>1540.4520273886512</v>
      </c>
      <c r="BQ45" s="197">
        <f t="shared" si="120"/>
        <v>4326.523075525628</v>
      </c>
      <c r="BR45" s="197">
        <f t="shared" si="121"/>
        <v>-1858.9854286576804</v>
      </c>
      <c r="BS45" s="199">
        <f t="shared" si="122"/>
        <v>-318.53340126902862</v>
      </c>
      <c r="BV45" s="881">
        <v>8</v>
      </c>
      <c r="BW45" s="197">
        <f t="shared" si="88"/>
        <v>16.3</v>
      </c>
      <c r="BX45" s="197">
        <f>'Energy Inputs'!$G$58*$BX$34</f>
        <v>110</v>
      </c>
      <c r="BY45" s="197">
        <f t="shared" si="150"/>
        <v>1793</v>
      </c>
      <c r="BZ45" s="197">
        <f>'Margins summary'!$W$14</f>
        <v>220</v>
      </c>
      <c r="CA45" s="197">
        <f t="shared" si="123"/>
        <v>2013</v>
      </c>
      <c r="CB45" s="197"/>
      <c r="CC45" s="897">
        <f>'Energy NPV'!U98</f>
        <v>368.78200000000004</v>
      </c>
      <c r="CD45" s="197"/>
      <c r="CE45" s="197">
        <f t="shared" si="89"/>
        <v>368.78200000000004</v>
      </c>
      <c r="CF45" s="197">
        <f t="shared" si="90"/>
        <v>1424.2179999999998</v>
      </c>
      <c r="CG45" s="197">
        <f t="shared" si="91"/>
        <v>1644.2179999999998</v>
      </c>
      <c r="CH45" s="196">
        <f t="shared" si="124"/>
        <v>1362.5326390712994</v>
      </c>
      <c r="CI45" s="197">
        <f t="shared" si="125"/>
        <v>167.18191890445391</v>
      </c>
      <c r="CJ45" s="197">
        <f t="shared" si="126"/>
        <v>280.24401098828332</v>
      </c>
      <c r="CK45" s="197">
        <f t="shared" si="127"/>
        <v>1082.288628083016</v>
      </c>
      <c r="CL45" s="199">
        <f t="shared" si="128"/>
        <v>1249.47054698747</v>
      </c>
      <c r="CM45" s="196">
        <f t="shared" si="151"/>
        <v>9870.1505874717932</v>
      </c>
      <c r="CN45" s="197">
        <f t="shared" si="129"/>
        <v>1540.4520273886512</v>
      </c>
      <c r="CO45" s="197">
        <f t="shared" si="130"/>
        <v>4509.3929678964669</v>
      </c>
      <c r="CP45" s="197">
        <f t="shared" si="131"/>
        <v>5360.7576195753263</v>
      </c>
      <c r="CQ45" s="199">
        <f t="shared" si="132"/>
        <v>6901.2096469639764</v>
      </c>
      <c r="CT45" s="204">
        <f t="shared" si="152"/>
        <v>8</v>
      </c>
      <c r="CU45" s="197">
        <f t="shared" si="92"/>
        <v>16.3</v>
      </c>
      <c r="CV45" s="197">
        <f>'Energy Inputs'!$G$58*$CV$34</f>
        <v>0</v>
      </c>
      <c r="CW45" s="197">
        <f t="shared" si="153"/>
        <v>0</v>
      </c>
      <c r="CX45" s="197">
        <f>'Margins summary'!$W$14</f>
        <v>220</v>
      </c>
      <c r="CY45" s="197">
        <f t="shared" si="133"/>
        <v>220</v>
      </c>
      <c r="CZ45" s="197"/>
      <c r="DA45" s="897">
        <f>'Energy NPV'!U98</f>
        <v>368.78200000000004</v>
      </c>
      <c r="DB45" s="197"/>
      <c r="DC45" s="197">
        <f t="shared" si="93"/>
        <v>368.78200000000004</v>
      </c>
      <c r="DD45" s="197">
        <f t="shared" si="94"/>
        <v>-368.78200000000004</v>
      </c>
      <c r="DE45" s="197">
        <f t="shared" si="95"/>
        <v>-148.78200000000004</v>
      </c>
      <c r="DF45" s="196">
        <f t="shared" si="134"/>
        <v>0</v>
      </c>
      <c r="DG45" s="197">
        <f t="shared" si="135"/>
        <v>167.18191890445391</v>
      </c>
      <c r="DH45" s="197">
        <f t="shared" si="136"/>
        <v>280.24401098828332</v>
      </c>
      <c r="DI45" s="197">
        <f t="shared" si="137"/>
        <v>-280.24401098828332</v>
      </c>
      <c r="DJ45" s="199">
        <f t="shared" si="138"/>
        <v>-113.0620920838294</v>
      </c>
      <c r="DK45" s="196">
        <f t="shared" si="154"/>
        <v>0</v>
      </c>
      <c r="DL45" s="197">
        <f t="shared" si="139"/>
        <v>1540.4520273886512</v>
      </c>
      <c r="DM45" s="197">
        <f t="shared" si="140"/>
        <v>4509.3929678964669</v>
      </c>
      <c r="DN45" s="197">
        <f t="shared" si="141"/>
        <v>-4509.3929678964669</v>
      </c>
      <c r="DO45" s="199">
        <f t="shared" si="142"/>
        <v>-2968.9409405078159</v>
      </c>
    </row>
    <row r="46" spans="2:177" x14ac:dyDescent="0.3">
      <c r="B46" s="204">
        <f t="shared" si="143"/>
        <v>9</v>
      </c>
      <c r="C46" s="197">
        <f>'Energy NPV'!$D99</f>
        <v>16.3</v>
      </c>
      <c r="D46" s="197">
        <f>'Energy Inputs'!$G$58*$E$34</f>
        <v>55</v>
      </c>
      <c r="E46" s="197">
        <f t="shared" si="144"/>
        <v>896.5</v>
      </c>
      <c r="F46" s="197">
        <f>'Margins summary'!$W$14</f>
        <v>220</v>
      </c>
      <c r="G46" s="197">
        <f t="shared" si="96"/>
        <v>1116.5</v>
      </c>
      <c r="H46" s="197"/>
      <c r="I46" s="897">
        <f>'Energy NPV'!U99</f>
        <v>368.78200000000004</v>
      </c>
      <c r="J46" s="197"/>
      <c r="K46" s="197">
        <f t="shared" si="78"/>
        <v>368.78200000000004</v>
      </c>
      <c r="L46" s="197">
        <f t="shared" si="79"/>
        <v>527.71799999999996</v>
      </c>
      <c r="M46" s="197">
        <f t="shared" si="80"/>
        <v>747.71799999999996</v>
      </c>
      <c r="N46" s="196">
        <f t="shared" si="97"/>
        <v>655.06376878427841</v>
      </c>
      <c r="O46" s="197">
        <f t="shared" si="98"/>
        <v>160.75184510043644</v>
      </c>
      <c r="P46" s="197">
        <f t="shared" si="99"/>
        <v>269.46539518104163</v>
      </c>
      <c r="Q46" s="197">
        <f t="shared" si="100"/>
        <v>385.59837360323684</v>
      </c>
      <c r="R46" s="199">
        <f t="shared" si="101"/>
        <v>546.35021870367325</v>
      </c>
      <c r="S46" s="196">
        <f t="shared" si="145"/>
        <v>5590.1390625201748</v>
      </c>
      <c r="T46" s="197">
        <f t="shared" si="102"/>
        <v>1701.2038724890876</v>
      </c>
      <c r="U46" s="197">
        <f t="shared" si="102"/>
        <v>4778.8583630775083</v>
      </c>
      <c r="V46" s="197">
        <f t="shared" si="102"/>
        <v>811.2806994426669</v>
      </c>
      <c r="W46" s="199">
        <f t="shared" si="102"/>
        <v>2512.4845719317545</v>
      </c>
      <c r="Z46" s="881">
        <v>9</v>
      </c>
      <c r="AA46" s="197">
        <f t="shared" si="81"/>
        <v>16.3</v>
      </c>
      <c r="AB46" s="197">
        <f>'Energy Inputs'!$G$58*$AB$34</f>
        <v>82.5</v>
      </c>
      <c r="AC46" s="197">
        <f t="shared" si="146"/>
        <v>1344.75</v>
      </c>
      <c r="AD46" s="197">
        <f>'Margins summary'!$W$14</f>
        <v>220</v>
      </c>
      <c r="AE46" s="197">
        <f t="shared" si="103"/>
        <v>1564.75</v>
      </c>
      <c r="AF46" s="197"/>
      <c r="AG46" s="897">
        <f>'Energy NPV'!U99</f>
        <v>368.78200000000004</v>
      </c>
      <c r="AH46" s="197"/>
      <c r="AI46" s="197">
        <f t="shared" si="155"/>
        <v>368.78200000000004</v>
      </c>
      <c r="AJ46" s="197">
        <f t="shared" si="82"/>
        <v>975.96799999999996</v>
      </c>
      <c r="AK46" s="197">
        <f t="shared" si="83"/>
        <v>1195.9679999999998</v>
      </c>
      <c r="AL46" s="196">
        <f t="shared" si="104"/>
        <v>982.59565317641773</v>
      </c>
      <c r="AM46" s="197">
        <f t="shared" si="105"/>
        <v>160.75184510043644</v>
      </c>
      <c r="AN46" s="197">
        <f t="shared" si="106"/>
        <v>269.46539518104163</v>
      </c>
      <c r="AO46" s="197">
        <f t="shared" si="107"/>
        <v>713.13025799537604</v>
      </c>
      <c r="AP46" s="199">
        <f t="shared" si="108"/>
        <v>873.88210309581245</v>
      </c>
      <c r="AQ46" s="196">
        <f t="shared" si="147"/>
        <v>8385.2085937802622</v>
      </c>
      <c r="AR46" s="197">
        <f t="shared" si="109"/>
        <v>1701.2038724890876</v>
      </c>
      <c r="AS46" s="197">
        <f t="shared" si="110"/>
        <v>4778.8583630775083</v>
      </c>
      <c r="AT46" s="197">
        <f t="shared" si="111"/>
        <v>3606.3502307027538</v>
      </c>
      <c r="AU46" s="199">
        <f t="shared" si="112"/>
        <v>5307.554103191841</v>
      </c>
      <c r="AX46" s="881">
        <v>9</v>
      </c>
      <c r="AY46" s="197">
        <f t="shared" si="84"/>
        <v>16.3</v>
      </c>
      <c r="AZ46" s="197">
        <f>'Energy Inputs'!$G$58*$AZ$34</f>
        <v>27.5</v>
      </c>
      <c r="BA46" s="197">
        <f t="shared" si="148"/>
        <v>448.25</v>
      </c>
      <c r="BB46" s="197">
        <f>'Margins summary'!$W$14</f>
        <v>220</v>
      </c>
      <c r="BC46" s="197">
        <f t="shared" si="113"/>
        <v>668.25</v>
      </c>
      <c r="BD46" s="197"/>
      <c r="BE46" s="897">
        <f>'Margins summary'!$W$22</f>
        <v>388.90700000000004</v>
      </c>
      <c r="BF46" s="197"/>
      <c r="BG46" s="197">
        <f t="shared" si="85"/>
        <v>388.90700000000004</v>
      </c>
      <c r="BH46" s="197">
        <f t="shared" si="86"/>
        <v>59.342999999999961</v>
      </c>
      <c r="BI46" s="197">
        <f t="shared" si="87"/>
        <v>279.34299999999996</v>
      </c>
      <c r="BJ46" s="196">
        <f t="shared" si="114"/>
        <v>327.5318843921392</v>
      </c>
      <c r="BK46" s="197">
        <f t="shared" si="115"/>
        <v>160.75184510043644</v>
      </c>
      <c r="BL46" s="197">
        <f t="shared" si="116"/>
        <v>284.17053555670651</v>
      </c>
      <c r="BM46" s="197">
        <f t="shared" si="117"/>
        <v>43.361348835432693</v>
      </c>
      <c r="BN46" s="199">
        <f t="shared" si="118"/>
        <v>204.11319393586913</v>
      </c>
      <c r="BO46" s="196">
        <f t="shared" si="149"/>
        <v>2795.0695312600874</v>
      </c>
      <c r="BP46" s="197">
        <f t="shared" si="119"/>
        <v>1701.2038724890876</v>
      </c>
      <c r="BQ46" s="197">
        <f t="shared" si="120"/>
        <v>4610.6936110823344</v>
      </c>
      <c r="BR46" s="197">
        <f t="shared" si="121"/>
        <v>-1815.6240798222477</v>
      </c>
      <c r="BS46" s="199">
        <f t="shared" si="122"/>
        <v>-114.42020733315948</v>
      </c>
      <c r="BV46" s="881">
        <v>9</v>
      </c>
      <c r="BW46" s="197">
        <f t="shared" si="88"/>
        <v>16.3</v>
      </c>
      <c r="BX46" s="197">
        <f>'Energy Inputs'!$G$58*$BX$34</f>
        <v>110</v>
      </c>
      <c r="BY46" s="197">
        <f t="shared" si="150"/>
        <v>1793</v>
      </c>
      <c r="BZ46" s="197">
        <f>'Margins summary'!$W$14</f>
        <v>220</v>
      </c>
      <c r="CA46" s="197">
        <f t="shared" si="123"/>
        <v>2013</v>
      </c>
      <c r="CB46" s="197"/>
      <c r="CC46" s="897">
        <f>'Energy NPV'!U99</f>
        <v>368.78200000000004</v>
      </c>
      <c r="CD46" s="197"/>
      <c r="CE46" s="197">
        <f t="shared" si="89"/>
        <v>368.78200000000004</v>
      </c>
      <c r="CF46" s="197">
        <f t="shared" si="90"/>
        <v>1424.2179999999998</v>
      </c>
      <c r="CG46" s="197">
        <f t="shared" si="91"/>
        <v>1644.2179999999998</v>
      </c>
      <c r="CH46" s="196">
        <f t="shared" si="124"/>
        <v>1310.1275375685568</v>
      </c>
      <c r="CI46" s="197">
        <f t="shared" si="125"/>
        <v>160.75184510043644</v>
      </c>
      <c r="CJ46" s="197">
        <f t="shared" si="126"/>
        <v>269.46539518104163</v>
      </c>
      <c r="CK46" s="197">
        <f t="shared" si="127"/>
        <v>1040.6621423875151</v>
      </c>
      <c r="CL46" s="199">
        <f t="shared" si="128"/>
        <v>1201.4139874879515</v>
      </c>
      <c r="CM46" s="196">
        <f t="shared" si="151"/>
        <v>11180.27812504035</v>
      </c>
      <c r="CN46" s="197">
        <f t="shared" si="129"/>
        <v>1701.2038724890876</v>
      </c>
      <c r="CO46" s="197">
        <f t="shared" si="130"/>
        <v>4778.8583630775083</v>
      </c>
      <c r="CP46" s="197">
        <f t="shared" si="131"/>
        <v>6401.4197619628412</v>
      </c>
      <c r="CQ46" s="199">
        <f t="shared" si="132"/>
        <v>8102.6236344519275</v>
      </c>
      <c r="CT46" s="204">
        <f t="shared" si="152"/>
        <v>9</v>
      </c>
      <c r="CU46" s="197">
        <f t="shared" si="92"/>
        <v>16.3</v>
      </c>
      <c r="CV46" s="197">
        <f>'Energy Inputs'!$G$58*$CV$34</f>
        <v>0</v>
      </c>
      <c r="CW46" s="197">
        <f t="shared" si="153"/>
        <v>0</v>
      </c>
      <c r="CX46" s="197">
        <f>'Margins summary'!$W$14</f>
        <v>220</v>
      </c>
      <c r="CY46" s="197">
        <f t="shared" si="133"/>
        <v>220</v>
      </c>
      <c r="CZ46" s="197"/>
      <c r="DA46" s="897">
        <f>'Energy NPV'!U99</f>
        <v>368.78200000000004</v>
      </c>
      <c r="DB46" s="197"/>
      <c r="DC46" s="197">
        <f t="shared" si="93"/>
        <v>368.78200000000004</v>
      </c>
      <c r="DD46" s="197">
        <f t="shared" si="94"/>
        <v>-368.78200000000004</v>
      </c>
      <c r="DE46" s="197">
        <f t="shared" si="95"/>
        <v>-148.78200000000004</v>
      </c>
      <c r="DF46" s="196">
        <f t="shared" si="134"/>
        <v>0</v>
      </c>
      <c r="DG46" s="197">
        <f t="shared" si="135"/>
        <v>160.75184510043644</v>
      </c>
      <c r="DH46" s="197">
        <f t="shared" si="136"/>
        <v>269.46539518104163</v>
      </c>
      <c r="DI46" s="197">
        <f t="shared" si="137"/>
        <v>-269.46539518104163</v>
      </c>
      <c r="DJ46" s="199">
        <f t="shared" si="138"/>
        <v>-108.71355008060517</v>
      </c>
      <c r="DK46" s="196">
        <f t="shared" si="154"/>
        <v>0</v>
      </c>
      <c r="DL46" s="197">
        <f t="shared" si="139"/>
        <v>1701.2038724890876</v>
      </c>
      <c r="DM46" s="197">
        <f t="shared" si="140"/>
        <v>4778.8583630775083</v>
      </c>
      <c r="DN46" s="197">
        <f t="shared" si="141"/>
        <v>-4778.8583630775083</v>
      </c>
      <c r="DO46" s="199">
        <f t="shared" si="142"/>
        <v>-3077.6544905884211</v>
      </c>
    </row>
    <row r="47" spans="2:177" x14ac:dyDescent="0.3">
      <c r="B47" s="204">
        <f t="shared" si="143"/>
        <v>10</v>
      </c>
      <c r="C47" s="197">
        <f>'Energy NPV'!$D100</f>
        <v>16.3</v>
      </c>
      <c r="D47" s="197">
        <f>'Energy Inputs'!$G$58*$E$34</f>
        <v>55</v>
      </c>
      <c r="E47" s="197">
        <f t="shared" si="144"/>
        <v>896.5</v>
      </c>
      <c r="F47" s="197">
        <f>'Margins summary'!$W$14</f>
        <v>220</v>
      </c>
      <c r="G47" s="197">
        <f t="shared" si="96"/>
        <v>1116.5</v>
      </c>
      <c r="H47" s="197"/>
      <c r="I47" s="897">
        <f>'Energy NPV'!U100</f>
        <v>368.78200000000004</v>
      </c>
      <c r="J47" s="197"/>
      <c r="K47" s="197">
        <f t="shared" si="78"/>
        <v>368.78200000000004</v>
      </c>
      <c r="L47" s="197">
        <f t="shared" si="79"/>
        <v>527.71799999999996</v>
      </c>
      <c r="M47" s="197">
        <f t="shared" si="80"/>
        <v>747.71799999999996</v>
      </c>
      <c r="N47" s="196">
        <f t="shared" si="97"/>
        <v>629.8690084464215</v>
      </c>
      <c r="O47" s="197">
        <f t="shared" si="98"/>
        <v>154.5690818273427</v>
      </c>
      <c r="P47" s="197">
        <f t="shared" si="99"/>
        <v>259.10134152023227</v>
      </c>
      <c r="Q47" s="197">
        <f t="shared" si="100"/>
        <v>370.76766692618924</v>
      </c>
      <c r="R47" s="199">
        <f t="shared" si="101"/>
        <v>525.33674875353199</v>
      </c>
      <c r="S47" s="196">
        <f t="shared" si="145"/>
        <v>6220.0080709665963</v>
      </c>
      <c r="T47" s="197">
        <f t="shared" si="102"/>
        <v>1855.7729543164303</v>
      </c>
      <c r="U47" s="197">
        <f t="shared" si="102"/>
        <v>5037.9597045977407</v>
      </c>
      <c r="V47" s="197">
        <f t="shared" si="102"/>
        <v>1182.048366368856</v>
      </c>
      <c r="W47" s="199">
        <f t="shared" si="102"/>
        <v>3037.8213206852865</v>
      </c>
      <c r="Z47" s="881">
        <v>10</v>
      </c>
      <c r="AA47" s="197">
        <f t="shared" si="81"/>
        <v>16.3</v>
      </c>
      <c r="AB47" s="197">
        <f>'Energy Inputs'!$G$58*$AB$34</f>
        <v>82.5</v>
      </c>
      <c r="AC47" s="197">
        <f t="shared" si="146"/>
        <v>1344.75</v>
      </c>
      <c r="AD47" s="197">
        <f>'Margins summary'!$W$14</f>
        <v>220</v>
      </c>
      <c r="AE47" s="197">
        <f t="shared" si="103"/>
        <v>1564.75</v>
      </c>
      <c r="AF47" s="197"/>
      <c r="AG47" s="897">
        <f>'Energy NPV'!U100</f>
        <v>368.78200000000004</v>
      </c>
      <c r="AH47" s="197"/>
      <c r="AI47" s="197">
        <f t="shared" si="155"/>
        <v>368.78200000000004</v>
      </c>
      <c r="AJ47" s="197">
        <f t="shared" si="82"/>
        <v>975.96799999999996</v>
      </c>
      <c r="AK47" s="197">
        <f t="shared" si="83"/>
        <v>1195.9679999999998</v>
      </c>
      <c r="AL47" s="196">
        <f t="shared" si="104"/>
        <v>944.80351266963225</v>
      </c>
      <c r="AM47" s="197">
        <f t="shared" si="105"/>
        <v>154.5690818273427</v>
      </c>
      <c r="AN47" s="197">
        <f t="shared" si="106"/>
        <v>259.10134152023227</v>
      </c>
      <c r="AO47" s="197">
        <f t="shared" si="107"/>
        <v>685.70217114939999</v>
      </c>
      <c r="AP47" s="199">
        <f t="shared" si="108"/>
        <v>840.27125297674263</v>
      </c>
      <c r="AQ47" s="196">
        <f t="shared" si="147"/>
        <v>9330.0121064498944</v>
      </c>
      <c r="AR47" s="197">
        <f t="shared" si="109"/>
        <v>1855.7729543164303</v>
      </c>
      <c r="AS47" s="197">
        <f t="shared" si="110"/>
        <v>5037.9597045977407</v>
      </c>
      <c r="AT47" s="197">
        <f t="shared" si="111"/>
        <v>4292.0524018521537</v>
      </c>
      <c r="AU47" s="199">
        <f t="shared" si="112"/>
        <v>6147.8253561685833</v>
      </c>
      <c r="AX47" s="881">
        <v>10</v>
      </c>
      <c r="AY47" s="197">
        <f t="shared" si="84"/>
        <v>16.3</v>
      </c>
      <c r="AZ47" s="197">
        <f>'Energy Inputs'!$G$58*$AZ$34</f>
        <v>27.5</v>
      </c>
      <c r="BA47" s="197">
        <f t="shared" si="148"/>
        <v>448.25</v>
      </c>
      <c r="BB47" s="197">
        <f>'Margins summary'!$W$14</f>
        <v>220</v>
      </c>
      <c r="BC47" s="197">
        <f t="shared" si="113"/>
        <v>668.25</v>
      </c>
      <c r="BD47" s="197"/>
      <c r="BE47" s="897">
        <f>'Margins summary'!$W$22</f>
        <v>388.90700000000004</v>
      </c>
      <c r="BF47" s="197"/>
      <c r="BG47" s="197">
        <f t="shared" si="85"/>
        <v>388.90700000000004</v>
      </c>
      <c r="BH47" s="197">
        <f t="shared" si="86"/>
        <v>59.342999999999961</v>
      </c>
      <c r="BI47" s="197">
        <f t="shared" si="87"/>
        <v>279.34299999999996</v>
      </c>
      <c r="BJ47" s="196">
        <f t="shared" si="114"/>
        <v>314.93450422321075</v>
      </c>
      <c r="BK47" s="197">
        <f t="shared" si="115"/>
        <v>154.5690818273427</v>
      </c>
      <c r="BL47" s="197">
        <f t="shared" si="116"/>
        <v>273.24089957375628</v>
      </c>
      <c r="BM47" s="197">
        <f t="shared" si="117"/>
        <v>41.693604649454514</v>
      </c>
      <c r="BN47" s="199">
        <f t="shared" si="118"/>
        <v>196.26268647679723</v>
      </c>
      <c r="BO47" s="196">
        <f t="shared" si="149"/>
        <v>3110.0040354832981</v>
      </c>
      <c r="BP47" s="197">
        <f t="shared" si="119"/>
        <v>1855.7729543164303</v>
      </c>
      <c r="BQ47" s="197">
        <f t="shared" si="120"/>
        <v>4883.9345106560904</v>
      </c>
      <c r="BR47" s="197">
        <f t="shared" si="121"/>
        <v>-1773.9304751727932</v>
      </c>
      <c r="BS47" s="199">
        <f t="shared" si="122"/>
        <v>81.842479143637746</v>
      </c>
      <c r="BV47" s="881">
        <v>10</v>
      </c>
      <c r="BW47" s="197">
        <f t="shared" si="88"/>
        <v>16.3</v>
      </c>
      <c r="BX47" s="197">
        <f>'Energy Inputs'!$G$58*$BX$34</f>
        <v>110</v>
      </c>
      <c r="BY47" s="197">
        <f t="shared" si="150"/>
        <v>1793</v>
      </c>
      <c r="BZ47" s="197">
        <f>'Margins summary'!$W$14</f>
        <v>220</v>
      </c>
      <c r="CA47" s="197">
        <f t="shared" si="123"/>
        <v>2013</v>
      </c>
      <c r="CB47" s="197"/>
      <c r="CC47" s="897">
        <f>'Energy NPV'!U100</f>
        <v>368.78200000000004</v>
      </c>
      <c r="CD47" s="197"/>
      <c r="CE47" s="197">
        <f t="shared" si="89"/>
        <v>368.78200000000004</v>
      </c>
      <c r="CF47" s="197">
        <f t="shared" si="90"/>
        <v>1424.2179999999998</v>
      </c>
      <c r="CG47" s="197">
        <f t="shared" si="91"/>
        <v>1644.2179999999998</v>
      </c>
      <c r="CH47" s="196">
        <f t="shared" si="124"/>
        <v>1259.738016892843</v>
      </c>
      <c r="CI47" s="197">
        <f t="shared" si="125"/>
        <v>154.5690818273427</v>
      </c>
      <c r="CJ47" s="197">
        <f t="shared" si="126"/>
        <v>259.10134152023227</v>
      </c>
      <c r="CK47" s="197">
        <f t="shared" si="127"/>
        <v>1000.6366753726107</v>
      </c>
      <c r="CL47" s="199">
        <f t="shared" si="128"/>
        <v>1155.2057571999535</v>
      </c>
      <c r="CM47" s="196">
        <f t="shared" si="151"/>
        <v>12440.016141933193</v>
      </c>
      <c r="CN47" s="197">
        <f t="shared" si="129"/>
        <v>1855.7729543164303</v>
      </c>
      <c r="CO47" s="197">
        <f t="shared" si="130"/>
        <v>5037.9597045977407</v>
      </c>
      <c r="CP47" s="197">
        <f t="shared" si="131"/>
        <v>7402.0564373354518</v>
      </c>
      <c r="CQ47" s="199">
        <f t="shared" si="132"/>
        <v>9257.8293916518815</v>
      </c>
      <c r="CT47" s="204">
        <f t="shared" si="152"/>
        <v>10</v>
      </c>
      <c r="CU47" s="197">
        <f t="shared" si="92"/>
        <v>16.3</v>
      </c>
      <c r="CV47" s="197">
        <f>'Energy Inputs'!$G$58*$CV$34</f>
        <v>0</v>
      </c>
      <c r="CW47" s="197">
        <f t="shared" si="153"/>
        <v>0</v>
      </c>
      <c r="CX47" s="197">
        <f>'Margins summary'!$W$14</f>
        <v>220</v>
      </c>
      <c r="CY47" s="197">
        <f t="shared" si="133"/>
        <v>220</v>
      </c>
      <c r="CZ47" s="197"/>
      <c r="DA47" s="897">
        <f>'Energy NPV'!U100</f>
        <v>368.78200000000004</v>
      </c>
      <c r="DB47" s="197"/>
      <c r="DC47" s="197">
        <f t="shared" si="93"/>
        <v>368.78200000000004</v>
      </c>
      <c r="DD47" s="197">
        <f t="shared" si="94"/>
        <v>-368.78200000000004</v>
      </c>
      <c r="DE47" s="197">
        <f t="shared" si="95"/>
        <v>-148.78200000000004</v>
      </c>
      <c r="DF47" s="196">
        <f t="shared" si="134"/>
        <v>0</v>
      </c>
      <c r="DG47" s="197">
        <f t="shared" si="135"/>
        <v>154.5690818273427</v>
      </c>
      <c r="DH47" s="197">
        <f t="shared" si="136"/>
        <v>259.10134152023227</v>
      </c>
      <c r="DI47" s="197">
        <f t="shared" si="137"/>
        <v>-259.10134152023227</v>
      </c>
      <c r="DJ47" s="199">
        <f t="shared" si="138"/>
        <v>-104.53225969288958</v>
      </c>
      <c r="DK47" s="196">
        <f t="shared" si="154"/>
        <v>0</v>
      </c>
      <c r="DL47" s="197">
        <f t="shared" si="139"/>
        <v>1855.7729543164303</v>
      </c>
      <c r="DM47" s="197">
        <f t="shared" si="140"/>
        <v>5037.9597045977407</v>
      </c>
      <c r="DN47" s="197">
        <f t="shared" si="141"/>
        <v>-5037.9597045977407</v>
      </c>
      <c r="DO47" s="199">
        <f t="shared" si="142"/>
        <v>-3182.1867502813107</v>
      </c>
    </row>
    <row r="48" spans="2:177" x14ac:dyDescent="0.3">
      <c r="B48" s="204">
        <f t="shared" si="143"/>
        <v>11</v>
      </c>
      <c r="C48" s="197">
        <f>'Energy NPV'!$D101</f>
        <v>16.3</v>
      </c>
      <c r="D48" s="197">
        <f>'Energy Inputs'!$G$58*$E$34</f>
        <v>55</v>
      </c>
      <c r="E48" s="197">
        <f t="shared" si="144"/>
        <v>896.5</v>
      </c>
      <c r="F48" s="197">
        <f>'Margins summary'!$W$14</f>
        <v>220</v>
      </c>
      <c r="G48" s="197">
        <f t="shared" si="96"/>
        <v>1116.5</v>
      </c>
      <c r="H48" s="197"/>
      <c r="I48" s="897">
        <f>'Energy NPV'!U101</f>
        <v>368.78200000000004</v>
      </c>
      <c r="J48" s="197"/>
      <c r="K48" s="197">
        <f t="shared" si="78"/>
        <v>368.78200000000004</v>
      </c>
      <c r="L48" s="197">
        <f t="shared" si="79"/>
        <v>527.71799999999996</v>
      </c>
      <c r="M48" s="197">
        <f t="shared" si="80"/>
        <v>747.71799999999996</v>
      </c>
      <c r="N48" s="196">
        <f t="shared" si="97"/>
        <v>605.64327735232837</v>
      </c>
      <c r="O48" s="197">
        <f t="shared" si="98"/>
        <v>148.62411714167567</v>
      </c>
      <c r="P48" s="197">
        <f t="shared" si="99"/>
        <v>249.13590530791566</v>
      </c>
      <c r="Q48" s="197">
        <f t="shared" si="100"/>
        <v>356.50737204441276</v>
      </c>
      <c r="R48" s="199">
        <f t="shared" si="101"/>
        <v>505.1314891860884</v>
      </c>
      <c r="S48" s="196">
        <f t="shared" si="145"/>
        <v>6825.6513483189246</v>
      </c>
      <c r="T48" s="197">
        <f t="shared" si="102"/>
        <v>2004.397071458106</v>
      </c>
      <c r="U48" s="197">
        <f t="shared" si="102"/>
        <v>5287.0956099056566</v>
      </c>
      <c r="V48" s="197">
        <f t="shared" si="102"/>
        <v>1538.5557384132687</v>
      </c>
      <c r="W48" s="199">
        <f t="shared" si="102"/>
        <v>3542.9528098713749</v>
      </c>
      <c r="Z48" s="881">
        <v>11</v>
      </c>
      <c r="AA48" s="197">
        <f t="shared" si="81"/>
        <v>16.3</v>
      </c>
      <c r="AB48" s="197">
        <f>'Energy Inputs'!$G$58*$AB$34</f>
        <v>82.5</v>
      </c>
      <c r="AC48" s="197">
        <f t="shared" si="146"/>
        <v>1344.75</v>
      </c>
      <c r="AD48" s="197">
        <f>'Margins summary'!$W$14</f>
        <v>220</v>
      </c>
      <c r="AE48" s="197">
        <f t="shared" si="103"/>
        <v>1564.75</v>
      </c>
      <c r="AF48" s="197"/>
      <c r="AG48" s="897">
        <f>'Energy NPV'!U101</f>
        <v>368.78200000000004</v>
      </c>
      <c r="AH48" s="197"/>
      <c r="AI48" s="197">
        <f t="shared" si="155"/>
        <v>368.78200000000004</v>
      </c>
      <c r="AJ48" s="197">
        <f t="shared" si="82"/>
        <v>975.96799999999996</v>
      </c>
      <c r="AK48" s="197">
        <f t="shared" si="83"/>
        <v>1195.9679999999998</v>
      </c>
      <c r="AL48" s="196">
        <f t="shared" si="104"/>
        <v>908.46491602849255</v>
      </c>
      <c r="AM48" s="197">
        <f t="shared" si="105"/>
        <v>148.62411714167567</v>
      </c>
      <c r="AN48" s="197">
        <f t="shared" si="106"/>
        <v>249.13590530791566</v>
      </c>
      <c r="AO48" s="197">
        <f t="shared" si="107"/>
        <v>659.32901072057689</v>
      </c>
      <c r="AP48" s="199">
        <f t="shared" si="108"/>
        <v>807.95312786225259</v>
      </c>
      <c r="AQ48" s="196">
        <f t="shared" si="147"/>
        <v>10238.477022478386</v>
      </c>
      <c r="AR48" s="197">
        <f t="shared" si="109"/>
        <v>2004.397071458106</v>
      </c>
      <c r="AS48" s="197">
        <f t="shared" si="110"/>
        <v>5287.0956099056566</v>
      </c>
      <c r="AT48" s="197">
        <f t="shared" si="111"/>
        <v>4951.3814125727304</v>
      </c>
      <c r="AU48" s="199">
        <f t="shared" si="112"/>
        <v>6955.7784840308359</v>
      </c>
      <c r="AX48" s="881">
        <v>11</v>
      </c>
      <c r="AY48" s="197">
        <f t="shared" si="84"/>
        <v>16.3</v>
      </c>
      <c r="AZ48" s="197">
        <f>'Energy Inputs'!$G$58*$AZ$34</f>
        <v>27.5</v>
      </c>
      <c r="BA48" s="197">
        <f t="shared" si="148"/>
        <v>448.25</v>
      </c>
      <c r="BB48" s="197">
        <f>'Margins summary'!$W$14</f>
        <v>220</v>
      </c>
      <c r="BC48" s="197">
        <f t="shared" si="113"/>
        <v>668.25</v>
      </c>
      <c r="BD48" s="197"/>
      <c r="BE48" s="897">
        <f>'Margins summary'!$W$22</f>
        <v>388.90700000000004</v>
      </c>
      <c r="BF48" s="197"/>
      <c r="BG48" s="197">
        <f t="shared" si="85"/>
        <v>388.90700000000004</v>
      </c>
      <c r="BH48" s="197">
        <f t="shared" si="86"/>
        <v>59.342999999999961</v>
      </c>
      <c r="BI48" s="197">
        <f t="shared" si="87"/>
        <v>279.34299999999996</v>
      </c>
      <c r="BJ48" s="196">
        <f t="shared" si="114"/>
        <v>302.82163867616418</v>
      </c>
      <c r="BK48" s="197">
        <f t="shared" si="115"/>
        <v>148.62411714167567</v>
      </c>
      <c r="BL48" s="197">
        <f t="shared" si="116"/>
        <v>262.73163420553487</v>
      </c>
      <c r="BM48" s="197">
        <f t="shared" si="117"/>
        <v>40.090004470629339</v>
      </c>
      <c r="BN48" s="199">
        <f t="shared" si="118"/>
        <v>188.71412161230501</v>
      </c>
      <c r="BO48" s="196">
        <f t="shared" si="149"/>
        <v>3412.8256741594623</v>
      </c>
      <c r="BP48" s="197">
        <f t="shared" si="119"/>
        <v>2004.397071458106</v>
      </c>
      <c r="BQ48" s="197">
        <f t="shared" si="120"/>
        <v>5146.6661448616251</v>
      </c>
      <c r="BR48" s="197">
        <f t="shared" si="121"/>
        <v>-1733.8404707021639</v>
      </c>
      <c r="BS48" s="199">
        <f t="shared" si="122"/>
        <v>270.55660075594278</v>
      </c>
      <c r="BV48" s="881">
        <v>11</v>
      </c>
      <c r="BW48" s="197">
        <f t="shared" si="88"/>
        <v>16.3</v>
      </c>
      <c r="BX48" s="197">
        <f>'Energy Inputs'!$G$58*$BX$34</f>
        <v>110</v>
      </c>
      <c r="BY48" s="197">
        <f t="shared" si="150"/>
        <v>1793</v>
      </c>
      <c r="BZ48" s="197">
        <f>'Margins summary'!$W$14</f>
        <v>220</v>
      </c>
      <c r="CA48" s="197">
        <f t="shared" si="123"/>
        <v>2013</v>
      </c>
      <c r="CB48" s="197"/>
      <c r="CC48" s="897">
        <f>'Energy NPV'!U101</f>
        <v>368.78200000000004</v>
      </c>
      <c r="CD48" s="197"/>
      <c r="CE48" s="197">
        <f t="shared" si="89"/>
        <v>368.78200000000004</v>
      </c>
      <c r="CF48" s="197">
        <f t="shared" si="90"/>
        <v>1424.2179999999998</v>
      </c>
      <c r="CG48" s="197">
        <f t="shared" si="91"/>
        <v>1644.2179999999998</v>
      </c>
      <c r="CH48" s="196">
        <f t="shared" si="124"/>
        <v>1211.2865547046567</v>
      </c>
      <c r="CI48" s="197">
        <f t="shared" si="125"/>
        <v>148.62411714167567</v>
      </c>
      <c r="CJ48" s="197">
        <f t="shared" si="126"/>
        <v>249.13590530791566</v>
      </c>
      <c r="CK48" s="197">
        <f t="shared" si="127"/>
        <v>962.15064939674107</v>
      </c>
      <c r="CL48" s="199">
        <f t="shared" si="128"/>
        <v>1110.7747665384168</v>
      </c>
      <c r="CM48" s="196">
        <f t="shared" si="151"/>
        <v>13651.302696637849</v>
      </c>
      <c r="CN48" s="197">
        <f t="shared" si="129"/>
        <v>2004.397071458106</v>
      </c>
      <c r="CO48" s="197">
        <f t="shared" si="130"/>
        <v>5287.0956099056566</v>
      </c>
      <c r="CP48" s="197">
        <f t="shared" si="131"/>
        <v>8364.2070867321927</v>
      </c>
      <c r="CQ48" s="199">
        <f t="shared" si="132"/>
        <v>10368.604158190297</v>
      </c>
      <c r="CT48" s="204">
        <f t="shared" si="152"/>
        <v>11</v>
      </c>
      <c r="CU48" s="197">
        <f t="shared" si="92"/>
        <v>16.3</v>
      </c>
      <c r="CV48" s="197">
        <f>'Energy Inputs'!$G$58*$CV$34</f>
        <v>0</v>
      </c>
      <c r="CW48" s="197">
        <f t="shared" si="153"/>
        <v>0</v>
      </c>
      <c r="CX48" s="197">
        <f>'Margins summary'!$W$14</f>
        <v>220</v>
      </c>
      <c r="CY48" s="197">
        <f t="shared" si="133"/>
        <v>220</v>
      </c>
      <c r="CZ48" s="197"/>
      <c r="DA48" s="897">
        <f>'Energy NPV'!U101</f>
        <v>368.78200000000004</v>
      </c>
      <c r="DB48" s="197"/>
      <c r="DC48" s="197">
        <f t="shared" si="93"/>
        <v>368.78200000000004</v>
      </c>
      <c r="DD48" s="197">
        <f t="shared" si="94"/>
        <v>-368.78200000000004</v>
      </c>
      <c r="DE48" s="197">
        <f t="shared" si="95"/>
        <v>-148.78200000000004</v>
      </c>
      <c r="DF48" s="196">
        <f t="shared" si="134"/>
        <v>0</v>
      </c>
      <c r="DG48" s="197">
        <f t="shared" si="135"/>
        <v>148.62411714167567</v>
      </c>
      <c r="DH48" s="197">
        <f t="shared" si="136"/>
        <v>249.13590530791566</v>
      </c>
      <c r="DI48" s="197">
        <f t="shared" si="137"/>
        <v>-249.13590530791566</v>
      </c>
      <c r="DJ48" s="199">
        <f t="shared" si="138"/>
        <v>-100.51178816623998</v>
      </c>
      <c r="DK48" s="196">
        <f t="shared" si="154"/>
        <v>0</v>
      </c>
      <c r="DL48" s="197">
        <f t="shared" si="139"/>
        <v>2004.397071458106</v>
      </c>
      <c r="DM48" s="197">
        <f t="shared" si="140"/>
        <v>5287.0956099056566</v>
      </c>
      <c r="DN48" s="197">
        <f t="shared" si="141"/>
        <v>-5287.0956099056566</v>
      </c>
      <c r="DO48" s="199">
        <f t="shared" si="142"/>
        <v>-3282.6985384475506</v>
      </c>
    </row>
    <row r="49" spans="2:178" x14ac:dyDescent="0.3">
      <c r="B49" s="204">
        <f t="shared" si="143"/>
        <v>12</v>
      </c>
      <c r="C49" s="197">
        <f>'Energy NPV'!$D102</f>
        <v>16.3</v>
      </c>
      <c r="D49" s="197">
        <f>'Energy Inputs'!$G$58*$E$34</f>
        <v>55</v>
      </c>
      <c r="E49" s="197">
        <f t="shared" si="144"/>
        <v>896.5</v>
      </c>
      <c r="F49" s="197">
        <f>'Margins summary'!$W$14</f>
        <v>220</v>
      </c>
      <c r="G49" s="197">
        <f t="shared" si="96"/>
        <v>1116.5</v>
      </c>
      <c r="H49" s="197"/>
      <c r="I49" s="897">
        <f>'Energy NPV'!U102</f>
        <v>368.78200000000004</v>
      </c>
      <c r="J49" s="197"/>
      <c r="K49" s="197">
        <f t="shared" si="78"/>
        <v>368.78200000000004</v>
      </c>
      <c r="L49" s="197">
        <f t="shared" si="79"/>
        <v>527.71799999999996</v>
      </c>
      <c r="M49" s="197">
        <f t="shared" si="80"/>
        <v>747.71799999999996</v>
      </c>
      <c r="N49" s="196">
        <f t="shared" si="97"/>
        <v>582.34930514646965</v>
      </c>
      <c r="O49" s="197">
        <f t="shared" si="98"/>
        <v>142.90780494391893</v>
      </c>
      <c r="P49" s="197">
        <f t="shared" si="99"/>
        <v>239.55375510376507</v>
      </c>
      <c r="Q49" s="197">
        <f t="shared" si="100"/>
        <v>342.79555004270458</v>
      </c>
      <c r="R49" s="199">
        <f t="shared" si="101"/>
        <v>485.70335498662354</v>
      </c>
      <c r="S49" s="196">
        <f t="shared" si="145"/>
        <v>7408.000653465394</v>
      </c>
      <c r="T49" s="197">
        <f t="shared" si="102"/>
        <v>2147.304876402025</v>
      </c>
      <c r="U49" s="197">
        <f t="shared" si="102"/>
        <v>5526.6493650094217</v>
      </c>
      <c r="V49" s="197">
        <f t="shared" si="102"/>
        <v>1881.3512884559732</v>
      </c>
      <c r="W49" s="199">
        <f t="shared" si="102"/>
        <v>4028.6561648579986</v>
      </c>
      <c r="Z49" s="881">
        <v>12</v>
      </c>
      <c r="AA49" s="197">
        <f t="shared" si="81"/>
        <v>16.3</v>
      </c>
      <c r="AB49" s="197">
        <f>'Energy Inputs'!$G$58*$AB$34</f>
        <v>82.5</v>
      </c>
      <c r="AC49" s="197">
        <f t="shared" si="146"/>
        <v>1344.75</v>
      </c>
      <c r="AD49" s="197">
        <f>'Margins summary'!$W$14</f>
        <v>220</v>
      </c>
      <c r="AE49" s="197">
        <f t="shared" si="103"/>
        <v>1564.75</v>
      </c>
      <c r="AF49" s="197"/>
      <c r="AG49" s="897">
        <f>'Energy NPV'!U102</f>
        <v>368.78200000000004</v>
      </c>
      <c r="AH49" s="197"/>
      <c r="AI49" s="197">
        <f t="shared" si="155"/>
        <v>368.78200000000004</v>
      </c>
      <c r="AJ49" s="197">
        <f t="shared" si="82"/>
        <v>975.96799999999996</v>
      </c>
      <c r="AK49" s="197">
        <f t="shared" si="83"/>
        <v>1195.9679999999998</v>
      </c>
      <c r="AL49" s="196">
        <f t="shared" si="104"/>
        <v>873.52395771970453</v>
      </c>
      <c r="AM49" s="197">
        <f t="shared" si="105"/>
        <v>142.90780494391893</v>
      </c>
      <c r="AN49" s="197">
        <f t="shared" si="106"/>
        <v>239.55375510376507</v>
      </c>
      <c r="AO49" s="197">
        <f t="shared" si="107"/>
        <v>633.97020261593946</v>
      </c>
      <c r="AP49" s="199">
        <f t="shared" si="108"/>
        <v>776.87800755985825</v>
      </c>
      <c r="AQ49" s="196">
        <f t="shared" si="147"/>
        <v>11112.00098019809</v>
      </c>
      <c r="AR49" s="197">
        <f t="shared" si="109"/>
        <v>2147.304876402025</v>
      </c>
      <c r="AS49" s="197">
        <f t="shared" si="110"/>
        <v>5526.6493650094217</v>
      </c>
      <c r="AT49" s="197">
        <f t="shared" si="111"/>
        <v>5585.3516151886697</v>
      </c>
      <c r="AU49" s="199">
        <f t="shared" si="112"/>
        <v>7732.6564915906938</v>
      </c>
      <c r="AX49" s="881">
        <v>12</v>
      </c>
      <c r="AY49" s="197">
        <f t="shared" si="84"/>
        <v>16.3</v>
      </c>
      <c r="AZ49" s="197">
        <f>'Energy Inputs'!$G$58*$AZ$34</f>
        <v>27.5</v>
      </c>
      <c r="BA49" s="197">
        <f t="shared" si="148"/>
        <v>448.25</v>
      </c>
      <c r="BB49" s="197">
        <f>'Margins summary'!$W$14</f>
        <v>220</v>
      </c>
      <c r="BC49" s="197">
        <f t="shared" si="113"/>
        <v>668.25</v>
      </c>
      <c r="BD49" s="197"/>
      <c r="BE49" s="897">
        <f>'Margins summary'!$W$22</f>
        <v>388.90700000000004</v>
      </c>
      <c r="BF49" s="197"/>
      <c r="BG49" s="197">
        <f t="shared" si="85"/>
        <v>388.90700000000004</v>
      </c>
      <c r="BH49" s="197">
        <f t="shared" si="86"/>
        <v>59.342999999999961</v>
      </c>
      <c r="BI49" s="197">
        <f t="shared" si="87"/>
        <v>279.34299999999996</v>
      </c>
      <c r="BJ49" s="196">
        <f t="shared" si="114"/>
        <v>291.17465257323482</v>
      </c>
      <c r="BK49" s="197">
        <f t="shared" si="115"/>
        <v>142.90780494391893</v>
      </c>
      <c r="BL49" s="197">
        <f t="shared" si="116"/>
        <v>252.62657135147586</v>
      </c>
      <c r="BM49" s="197">
        <f t="shared" si="117"/>
        <v>38.548081221758984</v>
      </c>
      <c r="BN49" s="199">
        <f t="shared" si="118"/>
        <v>181.45588616567792</v>
      </c>
      <c r="BO49" s="196">
        <f t="shared" si="149"/>
        <v>3704.000326732697</v>
      </c>
      <c r="BP49" s="197">
        <f t="shared" si="119"/>
        <v>2147.304876402025</v>
      </c>
      <c r="BQ49" s="197">
        <f t="shared" si="120"/>
        <v>5399.2927162131009</v>
      </c>
      <c r="BR49" s="197">
        <f t="shared" si="121"/>
        <v>-1695.2923894804048</v>
      </c>
      <c r="BS49" s="199">
        <f t="shared" si="122"/>
        <v>452.01248692162073</v>
      </c>
      <c r="BV49" s="881">
        <v>12</v>
      </c>
      <c r="BW49" s="197">
        <f t="shared" si="88"/>
        <v>16.3</v>
      </c>
      <c r="BX49" s="197">
        <f>'Energy Inputs'!$G$58*$BX$34</f>
        <v>110</v>
      </c>
      <c r="BY49" s="197">
        <f t="shared" si="150"/>
        <v>1793</v>
      </c>
      <c r="BZ49" s="197">
        <f>'Margins summary'!$W$14</f>
        <v>220</v>
      </c>
      <c r="CA49" s="197">
        <f t="shared" si="123"/>
        <v>2013</v>
      </c>
      <c r="CB49" s="197"/>
      <c r="CC49" s="897">
        <f>'Energy NPV'!U102</f>
        <v>368.78200000000004</v>
      </c>
      <c r="CD49" s="197"/>
      <c r="CE49" s="197">
        <f t="shared" si="89"/>
        <v>368.78200000000004</v>
      </c>
      <c r="CF49" s="197">
        <f t="shared" si="90"/>
        <v>1424.2179999999998</v>
      </c>
      <c r="CG49" s="197">
        <f t="shared" si="91"/>
        <v>1644.2179999999998</v>
      </c>
      <c r="CH49" s="196">
        <f t="shared" si="124"/>
        <v>1164.6986102929393</v>
      </c>
      <c r="CI49" s="197">
        <f t="shared" si="125"/>
        <v>142.90780494391893</v>
      </c>
      <c r="CJ49" s="197">
        <f t="shared" si="126"/>
        <v>239.55375510376507</v>
      </c>
      <c r="CK49" s="197">
        <f t="shared" si="127"/>
        <v>925.14485518917422</v>
      </c>
      <c r="CL49" s="199">
        <f t="shared" si="128"/>
        <v>1068.052660133093</v>
      </c>
      <c r="CM49" s="196">
        <f t="shared" si="151"/>
        <v>14816.001306930788</v>
      </c>
      <c r="CN49" s="197">
        <f t="shared" si="129"/>
        <v>2147.304876402025</v>
      </c>
      <c r="CO49" s="197">
        <f t="shared" si="130"/>
        <v>5526.6493650094217</v>
      </c>
      <c r="CP49" s="197">
        <f t="shared" si="131"/>
        <v>9289.3519419213662</v>
      </c>
      <c r="CQ49" s="199">
        <f t="shared" si="132"/>
        <v>11436.65681832339</v>
      </c>
      <c r="CT49" s="204">
        <f t="shared" si="152"/>
        <v>12</v>
      </c>
      <c r="CU49" s="197">
        <f t="shared" si="92"/>
        <v>16.3</v>
      </c>
      <c r="CV49" s="197">
        <f>'Energy Inputs'!$G$58*$CV$34</f>
        <v>0</v>
      </c>
      <c r="CW49" s="197">
        <f t="shared" si="153"/>
        <v>0</v>
      </c>
      <c r="CX49" s="197">
        <f>'Margins summary'!$W$14</f>
        <v>220</v>
      </c>
      <c r="CY49" s="197">
        <f t="shared" si="133"/>
        <v>220</v>
      </c>
      <c r="CZ49" s="197"/>
      <c r="DA49" s="897">
        <f>'Energy NPV'!U102</f>
        <v>368.78200000000004</v>
      </c>
      <c r="DB49" s="197"/>
      <c r="DC49" s="197">
        <f t="shared" si="93"/>
        <v>368.78200000000004</v>
      </c>
      <c r="DD49" s="197">
        <f t="shared" si="94"/>
        <v>-368.78200000000004</v>
      </c>
      <c r="DE49" s="197">
        <f t="shared" si="95"/>
        <v>-148.78200000000004</v>
      </c>
      <c r="DF49" s="196">
        <f t="shared" si="134"/>
        <v>0</v>
      </c>
      <c r="DG49" s="197">
        <f t="shared" si="135"/>
        <v>142.90780494391893</v>
      </c>
      <c r="DH49" s="197">
        <f t="shared" si="136"/>
        <v>239.55375510376507</v>
      </c>
      <c r="DI49" s="197">
        <f t="shared" si="137"/>
        <v>-239.55375510376507</v>
      </c>
      <c r="DJ49" s="199">
        <f t="shared" si="138"/>
        <v>-96.645950159846151</v>
      </c>
      <c r="DK49" s="196">
        <f t="shared" si="154"/>
        <v>0</v>
      </c>
      <c r="DL49" s="197">
        <f t="shared" si="139"/>
        <v>2147.304876402025</v>
      </c>
      <c r="DM49" s="197">
        <f t="shared" si="140"/>
        <v>5526.6493650094217</v>
      </c>
      <c r="DN49" s="197">
        <f t="shared" si="141"/>
        <v>-5526.6493650094217</v>
      </c>
      <c r="DO49" s="199">
        <f t="shared" si="142"/>
        <v>-3379.3444886073967</v>
      </c>
    </row>
    <row r="50" spans="2:178" x14ac:dyDescent="0.3">
      <c r="B50" s="204">
        <f t="shared" si="143"/>
        <v>13</v>
      </c>
      <c r="C50" s="197">
        <f>'Energy NPV'!$D103</f>
        <v>16.3</v>
      </c>
      <c r="D50" s="197">
        <f>'Energy Inputs'!$G$58*$E$34</f>
        <v>55</v>
      </c>
      <c r="E50" s="197">
        <f t="shared" si="144"/>
        <v>896.5</v>
      </c>
      <c r="F50" s="197">
        <f>'Margins summary'!$W$14</f>
        <v>220</v>
      </c>
      <c r="G50" s="197">
        <f t="shared" si="96"/>
        <v>1116.5</v>
      </c>
      <c r="H50" s="197"/>
      <c r="I50" s="897">
        <f>'Energy NPV'!U103</f>
        <v>368.78200000000004</v>
      </c>
      <c r="J50" s="197"/>
      <c r="K50" s="197">
        <f t="shared" si="78"/>
        <v>368.78200000000004</v>
      </c>
      <c r="L50" s="197">
        <f t="shared" si="79"/>
        <v>527.71799999999996</v>
      </c>
      <c r="M50" s="197">
        <f t="shared" si="80"/>
        <v>747.71799999999996</v>
      </c>
      <c r="N50" s="196">
        <f t="shared" si="97"/>
        <v>559.95125494852834</v>
      </c>
      <c r="O50" s="197">
        <f t="shared" si="98"/>
        <v>137.41135090761432</v>
      </c>
      <c r="P50" s="197">
        <f t="shared" si="99"/>
        <v>230.3401491382356</v>
      </c>
      <c r="Q50" s="197">
        <f t="shared" si="100"/>
        <v>329.61110581029277</v>
      </c>
      <c r="R50" s="199">
        <f t="shared" si="101"/>
        <v>467.02245671790712</v>
      </c>
      <c r="S50" s="196">
        <f t="shared" si="145"/>
        <v>7967.951908413922</v>
      </c>
      <c r="T50" s="197">
        <f t="shared" si="102"/>
        <v>2284.7162273096392</v>
      </c>
      <c r="U50" s="197">
        <f t="shared" si="102"/>
        <v>5756.9895141476572</v>
      </c>
      <c r="V50" s="197">
        <f t="shared" si="102"/>
        <v>2210.9623942662661</v>
      </c>
      <c r="W50" s="199">
        <f t="shared" si="102"/>
        <v>4495.6786215759057</v>
      </c>
      <c r="Z50" s="881">
        <v>13</v>
      </c>
      <c r="AA50" s="197">
        <f t="shared" si="81"/>
        <v>16.3</v>
      </c>
      <c r="AB50" s="197">
        <f>'Energy Inputs'!$G$58*$AB$34</f>
        <v>82.5</v>
      </c>
      <c r="AC50" s="197">
        <f t="shared" si="146"/>
        <v>1344.75</v>
      </c>
      <c r="AD50" s="197">
        <f>'Margins summary'!$W$14</f>
        <v>220</v>
      </c>
      <c r="AE50" s="197">
        <f t="shared" si="103"/>
        <v>1564.75</v>
      </c>
      <c r="AF50" s="197"/>
      <c r="AG50" s="897">
        <f>'Energy NPV'!U103</f>
        <v>368.78200000000004</v>
      </c>
      <c r="AH50" s="197"/>
      <c r="AI50" s="197">
        <f t="shared" si="155"/>
        <v>368.78200000000004</v>
      </c>
      <c r="AJ50" s="197">
        <f t="shared" si="82"/>
        <v>975.96799999999996</v>
      </c>
      <c r="AK50" s="197">
        <f t="shared" si="83"/>
        <v>1195.9679999999998</v>
      </c>
      <c r="AL50" s="196">
        <f t="shared" si="104"/>
        <v>839.92688242279257</v>
      </c>
      <c r="AM50" s="197">
        <f t="shared" si="105"/>
        <v>137.41135090761432</v>
      </c>
      <c r="AN50" s="197">
        <f t="shared" si="106"/>
        <v>230.3401491382356</v>
      </c>
      <c r="AO50" s="197">
        <f t="shared" si="107"/>
        <v>609.586733284557</v>
      </c>
      <c r="AP50" s="199">
        <f t="shared" si="108"/>
        <v>746.99808419217129</v>
      </c>
      <c r="AQ50" s="196">
        <f t="shared" si="147"/>
        <v>11951.927862620883</v>
      </c>
      <c r="AR50" s="197">
        <f t="shared" si="109"/>
        <v>2284.7162273096392</v>
      </c>
      <c r="AS50" s="197">
        <f t="shared" si="110"/>
        <v>5756.9895141476572</v>
      </c>
      <c r="AT50" s="197">
        <f t="shared" si="111"/>
        <v>6194.9383484732271</v>
      </c>
      <c r="AU50" s="199">
        <f t="shared" si="112"/>
        <v>8479.6545757828644</v>
      </c>
      <c r="AX50" s="881">
        <v>13</v>
      </c>
      <c r="AY50" s="197">
        <f t="shared" si="84"/>
        <v>16.3</v>
      </c>
      <c r="AZ50" s="197">
        <f>'Energy Inputs'!$G$58*$AZ$34</f>
        <v>27.5</v>
      </c>
      <c r="BA50" s="197">
        <f t="shared" si="148"/>
        <v>448.25</v>
      </c>
      <c r="BB50" s="197">
        <f>'Margins summary'!$W$14</f>
        <v>220</v>
      </c>
      <c r="BC50" s="197">
        <f t="shared" si="113"/>
        <v>668.25</v>
      </c>
      <c r="BD50" s="197"/>
      <c r="BE50" s="897">
        <f>'Margins summary'!$W$22</f>
        <v>388.90700000000004</v>
      </c>
      <c r="BF50" s="197"/>
      <c r="BG50" s="197">
        <f t="shared" si="85"/>
        <v>388.90700000000004</v>
      </c>
      <c r="BH50" s="197">
        <f t="shared" si="86"/>
        <v>59.342999999999961</v>
      </c>
      <c r="BI50" s="197">
        <f t="shared" si="87"/>
        <v>279.34299999999996</v>
      </c>
      <c r="BJ50" s="196">
        <f t="shared" si="114"/>
        <v>279.97562747426417</v>
      </c>
      <c r="BK50" s="197">
        <f t="shared" si="115"/>
        <v>137.41135090761432</v>
      </c>
      <c r="BL50" s="197">
        <f t="shared" si="116"/>
        <v>242.91016476103442</v>
      </c>
      <c r="BM50" s="197">
        <f t="shared" si="117"/>
        <v>37.065462713229785</v>
      </c>
      <c r="BN50" s="199">
        <f t="shared" si="118"/>
        <v>174.4768136208441</v>
      </c>
      <c r="BO50" s="196">
        <f t="shared" si="149"/>
        <v>3983.975954206961</v>
      </c>
      <c r="BP50" s="197">
        <f t="shared" si="119"/>
        <v>2284.7162273096392</v>
      </c>
      <c r="BQ50" s="197">
        <f t="shared" si="120"/>
        <v>5642.202880974135</v>
      </c>
      <c r="BR50" s="197">
        <f t="shared" si="121"/>
        <v>-1658.226926767175</v>
      </c>
      <c r="BS50" s="199">
        <f t="shared" si="122"/>
        <v>626.48930054246489</v>
      </c>
      <c r="BV50" s="881">
        <v>13</v>
      </c>
      <c r="BW50" s="197">
        <f t="shared" si="88"/>
        <v>16.3</v>
      </c>
      <c r="BX50" s="197">
        <f>'Energy Inputs'!$G$58*$BX$34</f>
        <v>110</v>
      </c>
      <c r="BY50" s="197">
        <f t="shared" si="150"/>
        <v>1793</v>
      </c>
      <c r="BZ50" s="197">
        <f>'Margins summary'!$W$14</f>
        <v>220</v>
      </c>
      <c r="CA50" s="197">
        <f t="shared" si="123"/>
        <v>2013</v>
      </c>
      <c r="CB50" s="197"/>
      <c r="CC50" s="897">
        <f>'Energy NPV'!U103</f>
        <v>368.78200000000004</v>
      </c>
      <c r="CD50" s="197"/>
      <c r="CE50" s="197">
        <f t="shared" si="89"/>
        <v>368.78200000000004</v>
      </c>
      <c r="CF50" s="197">
        <f t="shared" si="90"/>
        <v>1424.2179999999998</v>
      </c>
      <c r="CG50" s="197">
        <f t="shared" si="91"/>
        <v>1644.2179999999998</v>
      </c>
      <c r="CH50" s="196">
        <f t="shared" si="124"/>
        <v>1119.9025098970567</v>
      </c>
      <c r="CI50" s="197">
        <f t="shared" si="125"/>
        <v>137.41135090761432</v>
      </c>
      <c r="CJ50" s="197">
        <f t="shared" si="126"/>
        <v>230.3401491382356</v>
      </c>
      <c r="CK50" s="197">
        <f t="shared" si="127"/>
        <v>889.56236075882111</v>
      </c>
      <c r="CL50" s="199">
        <f t="shared" si="128"/>
        <v>1026.9737116664355</v>
      </c>
      <c r="CM50" s="196">
        <f t="shared" si="151"/>
        <v>15935.903816827844</v>
      </c>
      <c r="CN50" s="197">
        <f t="shared" si="129"/>
        <v>2284.7162273096392</v>
      </c>
      <c r="CO50" s="197">
        <f t="shared" si="130"/>
        <v>5756.9895141476572</v>
      </c>
      <c r="CP50" s="197">
        <f t="shared" si="131"/>
        <v>10178.914302680187</v>
      </c>
      <c r="CQ50" s="199">
        <f t="shared" si="132"/>
        <v>12463.630529989827</v>
      </c>
      <c r="CT50" s="204">
        <f t="shared" si="152"/>
        <v>13</v>
      </c>
      <c r="CU50" s="197">
        <f t="shared" si="92"/>
        <v>16.3</v>
      </c>
      <c r="CV50" s="197">
        <f>'Energy Inputs'!$G$58*$CV$34</f>
        <v>0</v>
      </c>
      <c r="CW50" s="197">
        <f t="shared" si="153"/>
        <v>0</v>
      </c>
      <c r="CX50" s="197">
        <f>'Margins summary'!$W$14</f>
        <v>220</v>
      </c>
      <c r="CY50" s="197">
        <f t="shared" si="133"/>
        <v>220</v>
      </c>
      <c r="CZ50" s="197"/>
      <c r="DA50" s="897">
        <f>'Energy NPV'!U103</f>
        <v>368.78200000000004</v>
      </c>
      <c r="DB50" s="197"/>
      <c r="DC50" s="197">
        <f t="shared" si="93"/>
        <v>368.78200000000004</v>
      </c>
      <c r="DD50" s="197">
        <f t="shared" si="94"/>
        <v>-368.78200000000004</v>
      </c>
      <c r="DE50" s="197">
        <f t="shared" si="95"/>
        <v>-148.78200000000004</v>
      </c>
      <c r="DF50" s="196">
        <f t="shared" si="134"/>
        <v>0</v>
      </c>
      <c r="DG50" s="197">
        <f t="shared" si="135"/>
        <v>137.41135090761432</v>
      </c>
      <c r="DH50" s="197">
        <f t="shared" si="136"/>
        <v>230.3401491382356</v>
      </c>
      <c r="DI50" s="197">
        <f t="shared" si="137"/>
        <v>-230.3401491382356</v>
      </c>
      <c r="DJ50" s="199">
        <f t="shared" si="138"/>
        <v>-92.928798230621283</v>
      </c>
      <c r="DK50" s="196">
        <f t="shared" si="154"/>
        <v>0</v>
      </c>
      <c r="DL50" s="197">
        <f t="shared" si="139"/>
        <v>2284.7162273096392</v>
      </c>
      <c r="DM50" s="197">
        <f t="shared" si="140"/>
        <v>5756.9895141476572</v>
      </c>
      <c r="DN50" s="197">
        <f t="shared" si="141"/>
        <v>-5756.9895141476572</v>
      </c>
      <c r="DO50" s="199">
        <f t="shared" si="142"/>
        <v>-3472.2732868380181</v>
      </c>
    </row>
    <row r="51" spans="2:178" x14ac:dyDescent="0.3">
      <c r="B51" s="204">
        <f t="shared" si="143"/>
        <v>14</v>
      </c>
      <c r="C51" s="197">
        <f>'Energy NPV'!$D104</f>
        <v>16.3</v>
      </c>
      <c r="D51" s="197">
        <f>'Energy Inputs'!$G$58*$E$34</f>
        <v>55</v>
      </c>
      <c r="E51" s="197">
        <f t="shared" si="144"/>
        <v>896.5</v>
      </c>
      <c r="F51" s="197">
        <f>'Margins summary'!$W$14</f>
        <v>220</v>
      </c>
      <c r="G51" s="197">
        <f t="shared" si="96"/>
        <v>1116.5</v>
      </c>
      <c r="H51" s="197"/>
      <c r="I51" s="897">
        <f>'Energy NPV'!U104</f>
        <v>368.78200000000004</v>
      </c>
      <c r="J51" s="197"/>
      <c r="K51" s="197">
        <f t="shared" si="78"/>
        <v>368.78200000000004</v>
      </c>
      <c r="L51" s="197">
        <f t="shared" si="79"/>
        <v>527.71799999999996</v>
      </c>
      <c r="M51" s="197">
        <f t="shared" si="80"/>
        <v>747.71799999999996</v>
      </c>
      <c r="N51" s="196">
        <f t="shared" si="97"/>
        <v>538.41466821973881</v>
      </c>
      <c r="O51" s="197">
        <f t="shared" si="98"/>
        <v>132.12629894962916</v>
      </c>
      <c r="P51" s="197">
        <f t="shared" si="99"/>
        <v>221.48091263291886</v>
      </c>
      <c r="Q51" s="197">
        <f t="shared" si="100"/>
        <v>316.93375558681998</v>
      </c>
      <c r="R51" s="199">
        <f t="shared" si="101"/>
        <v>449.06005453644912</v>
      </c>
      <c r="S51" s="196">
        <f t="shared" si="145"/>
        <v>8506.3665766336599</v>
      </c>
      <c r="T51" s="197">
        <f t="shared" si="102"/>
        <v>2416.8425262592682</v>
      </c>
      <c r="U51" s="197">
        <f t="shared" si="102"/>
        <v>5978.4704267805764</v>
      </c>
      <c r="V51" s="197">
        <f t="shared" si="102"/>
        <v>2527.8961498530862</v>
      </c>
      <c r="W51" s="199">
        <f t="shared" si="102"/>
        <v>4944.7386761123544</v>
      </c>
      <c r="Z51" s="881">
        <v>14</v>
      </c>
      <c r="AA51" s="197">
        <f t="shared" si="81"/>
        <v>16.3</v>
      </c>
      <c r="AB51" s="197">
        <f>'Energy Inputs'!$G$58*$AB$34</f>
        <v>82.5</v>
      </c>
      <c r="AC51" s="197">
        <f t="shared" si="146"/>
        <v>1344.75</v>
      </c>
      <c r="AD51" s="197">
        <f>'Margins summary'!$W$14</f>
        <v>220</v>
      </c>
      <c r="AE51" s="197">
        <f t="shared" si="103"/>
        <v>1564.75</v>
      </c>
      <c r="AF51" s="197"/>
      <c r="AG51" s="897">
        <f>'Energy NPV'!U104</f>
        <v>368.78200000000004</v>
      </c>
      <c r="AH51" s="197"/>
      <c r="AI51" s="197">
        <f t="shared" si="155"/>
        <v>368.78200000000004</v>
      </c>
      <c r="AJ51" s="197">
        <f t="shared" si="82"/>
        <v>975.96799999999996</v>
      </c>
      <c r="AK51" s="197">
        <f t="shared" si="83"/>
        <v>1195.9679999999998</v>
      </c>
      <c r="AL51" s="196">
        <f t="shared" si="104"/>
        <v>807.62200232960822</v>
      </c>
      <c r="AM51" s="197">
        <f t="shared" si="105"/>
        <v>132.12629894962916</v>
      </c>
      <c r="AN51" s="197">
        <f t="shared" si="106"/>
        <v>221.48091263291886</v>
      </c>
      <c r="AO51" s="197">
        <f t="shared" si="107"/>
        <v>586.14108969668939</v>
      </c>
      <c r="AP51" s="199">
        <f t="shared" si="108"/>
        <v>718.26738864631852</v>
      </c>
      <c r="AQ51" s="196">
        <f t="shared" si="147"/>
        <v>12759.549864950492</v>
      </c>
      <c r="AR51" s="197">
        <f t="shared" si="109"/>
        <v>2416.8425262592682</v>
      </c>
      <c r="AS51" s="197">
        <f t="shared" si="110"/>
        <v>5978.4704267805764</v>
      </c>
      <c r="AT51" s="197">
        <f t="shared" si="111"/>
        <v>6781.0794381699161</v>
      </c>
      <c r="AU51" s="199">
        <f t="shared" si="112"/>
        <v>9197.9219644291825</v>
      </c>
      <c r="AX51" s="881">
        <v>14</v>
      </c>
      <c r="AY51" s="197">
        <f t="shared" si="84"/>
        <v>16.3</v>
      </c>
      <c r="AZ51" s="197">
        <f>'Energy Inputs'!$G$58*$AZ$34</f>
        <v>27.5</v>
      </c>
      <c r="BA51" s="197">
        <f t="shared" si="148"/>
        <v>448.25</v>
      </c>
      <c r="BB51" s="197">
        <f>'Margins summary'!$W$14</f>
        <v>220</v>
      </c>
      <c r="BC51" s="197">
        <f t="shared" si="113"/>
        <v>668.25</v>
      </c>
      <c r="BD51" s="197"/>
      <c r="BE51" s="897">
        <f>'Margins summary'!$W$22</f>
        <v>388.90700000000004</v>
      </c>
      <c r="BF51" s="197"/>
      <c r="BG51" s="197">
        <f t="shared" si="85"/>
        <v>388.90700000000004</v>
      </c>
      <c r="BH51" s="197">
        <f t="shared" si="86"/>
        <v>59.342999999999961</v>
      </c>
      <c r="BI51" s="197">
        <f t="shared" si="87"/>
        <v>279.34299999999996</v>
      </c>
      <c r="BJ51" s="196">
        <f t="shared" si="114"/>
        <v>269.20733410986941</v>
      </c>
      <c r="BK51" s="197">
        <f t="shared" si="115"/>
        <v>132.12629894962916</v>
      </c>
      <c r="BL51" s="197">
        <f t="shared" si="116"/>
        <v>233.56746611637925</v>
      </c>
      <c r="BM51" s="197">
        <f t="shared" si="117"/>
        <v>35.639867993490171</v>
      </c>
      <c r="BN51" s="199">
        <f t="shared" si="118"/>
        <v>167.76616694311934</v>
      </c>
      <c r="BO51" s="196">
        <f t="shared" si="149"/>
        <v>4253.1832883168299</v>
      </c>
      <c r="BP51" s="197">
        <f t="shared" si="119"/>
        <v>2416.8425262592682</v>
      </c>
      <c r="BQ51" s="197">
        <f t="shared" si="120"/>
        <v>5875.7703470905144</v>
      </c>
      <c r="BR51" s="197">
        <f t="shared" si="121"/>
        <v>-1622.5870587736847</v>
      </c>
      <c r="BS51" s="199">
        <f t="shared" si="122"/>
        <v>794.25546748558418</v>
      </c>
      <c r="BV51" s="881">
        <v>14</v>
      </c>
      <c r="BW51" s="197">
        <f t="shared" si="88"/>
        <v>16.3</v>
      </c>
      <c r="BX51" s="197">
        <f>'Energy Inputs'!$G$58*$BX$34</f>
        <v>110</v>
      </c>
      <c r="BY51" s="197">
        <f t="shared" si="150"/>
        <v>1793</v>
      </c>
      <c r="BZ51" s="197">
        <f>'Margins summary'!$W$14</f>
        <v>220</v>
      </c>
      <c r="CA51" s="197">
        <f t="shared" si="123"/>
        <v>2013</v>
      </c>
      <c r="CB51" s="197"/>
      <c r="CC51" s="897">
        <f>'Energy NPV'!U104</f>
        <v>368.78200000000004</v>
      </c>
      <c r="CD51" s="197"/>
      <c r="CE51" s="197">
        <f t="shared" si="89"/>
        <v>368.78200000000004</v>
      </c>
      <c r="CF51" s="197">
        <f t="shared" si="90"/>
        <v>1424.2179999999998</v>
      </c>
      <c r="CG51" s="197">
        <f t="shared" si="91"/>
        <v>1644.2179999999998</v>
      </c>
      <c r="CH51" s="196">
        <f t="shared" si="124"/>
        <v>1076.8293364394776</v>
      </c>
      <c r="CI51" s="197">
        <f t="shared" si="125"/>
        <v>132.12629894962916</v>
      </c>
      <c r="CJ51" s="197">
        <f t="shared" si="126"/>
        <v>221.48091263291886</v>
      </c>
      <c r="CK51" s="197">
        <f t="shared" si="127"/>
        <v>855.3484238065588</v>
      </c>
      <c r="CL51" s="199">
        <f t="shared" si="128"/>
        <v>987.47472275618793</v>
      </c>
      <c r="CM51" s="196">
        <f t="shared" si="151"/>
        <v>17012.73315326732</v>
      </c>
      <c r="CN51" s="197">
        <f t="shared" si="129"/>
        <v>2416.8425262592682</v>
      </c>
      <c r="CO51" s="197">
        <f t="shared" si="130"/>
        <v>5978.4704267805764</v>
      </c>
      <c r="CP51" s="197">
        <f t="shared" si="131"/>
        <v>11034.262726486746</v>
      </c>
      <c r="CQ51" s="199">
        <f t="shared" si="132"/>
        <v>13451.105252746014</v>
      </c>
      <c r="CT51" s="204">
        <f t="shared" si="152"/>
        <v>14</v>
      </c>
      <c r="CU51" s="197">
        <f t="shared" si="92"/>
        <v>16.3</v>
      </c>
      <c r="CV51" s="197">
        <f>'Energy Inputs'!$G$58*$CV$34</f>
        <v>0</v>
      </c>
      <c r="CW51" s="197">
        <f t="shared" si="153"/>
        <v>0</v>
      </c>
      <c r="CX51" s="197">
        <f>'Margins summary'!$W$14</f>
        <v>220</v>
      </c>
      <c r="CY51" s="197">
        <f t="shared" si="133"/>
        <v>220</v>
      </c>
      <c r="CZ51" s="197"/>
      <c r="DA51" s="897">
        <f>'Energy NPV'!U104</f>
        <v>368.78200000000004</v>
      </c>
      <c r="DB51" s="197"/>
      <c r="DC51" s="197">
        <f t="shared" si="93"/>
        <v>368.78200000000004</v>
      </c>
      <c r="DD51" s="197">
        <f t="shared" si="94"/>
        <v>-368.78200000000004</v>
      </c>
      <c r="DE51" s="197">
        <f t="shared" si="95"/>
        <v>-148.78200000000004</v>
      </c>
      <c r="DF51" s="196">
        <f t="shared" si="134"/>
        <v>0</v>
      </c>
      <c r="DG51" s="197">
        <f t="shared" si="135"/>
        <v>132.12629894962916</v>
      </c>
      <c r="DH51" s="197">
        <f t="shared" si="136"/>
        <v>221.48091263291886</v>
      </c>
      <c r="DI51" s="197">
        <f t="shared" si="137"/>
        <v>-221.48091263291886</v>
      </c>
      <c r="DJ51" s="199">
        <f t="shared" si="138"/>
        <v>-89.354613683289685</v>
      </c>
      <c r="DK51" s="196">
        <f t="shared" si="154"/>
        <v>0</v>
      </c>
      <c r="DL51" s="197">
        <f t="shared" si="139"/>
        <v>2416.8425262592682</v>
      </c>
      <c r="DM51" s="197">
        <f t="shared" si="140"/>
        <v>5978.4704267805764</v>
      </c>
      <c r="DN51" s="197">
        <f t="shared" si="141"/>
        <v>-5978.4704267805764</v>
      </c>
      <c r="DO51" s="199">
        <f t="shared" si="142"/>
        <v>-3561.6279005213078</v>
      </c>
    </row>
    <row r="52" spans="2:178" x14ac:dyDescent="0.3">
      <c r="B52" s="204">
        <f t="shared" si="143"/>
        <v>15</v>
      </c>
      <c r="C52" s="197">
        <f>'Energy NPV'!$D105</f>
        <v>16.3</v>
      </c>
      <c r="D52" s="197">
        <f>'Energy Inputs'!$G$58*$E$34</f>
        <v>55</v>
      </c>
      <c r="E52" s="197">
        <f t="shared" si="144"/>
        <v>896.5</v>
      </c>
      <c r="F52" s="197">
        <f>'Margins summary'!$W$14</f>
        <v>220</v>
      </c>
      <c r="G52" s="197">
        <f t="shared" si="96"/>
        <v>1116.5</v>
      </c>
      <c r="H52" s="197"/>
      <c r="I52" s="897">
        <f>'Energy NPV'!U105</f>
        <v>368.78200000000004</v>
      </c>
      <c r="J52" s="197"/>
      <c r="K52" s="197">
        <f t="shared" si="78"/>
        <v>368.78200000000004</v>
      </c>
      <c r="L52" s="197">
        <f t="shared" si="79"/>
        <v>527.71799999999996</v>
      </c>
      <c r="M52" s="197">
        <f t="shared" si="80"/>
        <v>747.71799999999996</v>
      </c>
      <c r="N52" s="196">
        <f t="shared" si="97"/>
        <v>517.7064117497489</v>
      </c>
      <c r="O52" s="197">
        <f t="shared" si="98"/>
        <v>127.04451822079727</v>
      </c>
      <c r="P52" s="197">
        <f t="shared" si="99"/>
        <v>212.9624159931912</v>
      </c>
      <c r="Q52" s="197">
        <f t="shared" si="100"/>
        <v>304.74399575655769</v>
      </c>
      <c r="R52" s="199">
        <f t="shared" si="101"/>
        <v>431.78851397735497</v>
      </c>
      <c r="S52" s="196">
        <f t="shared" si="145"/>
        <v>9024.0729883834083</v>
      </c>
      <c r="T52" s="197">
        <f t="shared" si="102"/>
        <v>2543.8870444800655</v>
      </c>
      <c r="U52" s="197">
        <f t="shared" si="102"/>
        <v>6191.4328427737673</v>
      </c>
      <c r="V52" s="197">
        <f t="shared" si="102"/>
        <v>2832.6401456096437</v>
      </c>
      <c r="W52" s="199">
        <f t="shared" si="102"/>
        <v>5376.5271900897096</v>
      </c>
      <c r="Z52" s="881">
        <v>15</v>
      </c>
      <c r="AA52" s="197">
        <f t="shared" si="81"/>
        <v>16.3</v>
      </c>
      <c r="AB52" s="197">
        <f>'Energy Inputs'!$G$58*$AB$34</f>
        <v>82.5</v>
      </c>
      <c r="AC52" s="197">
        <f t="shared" si="146"/>
        <v>1344.75</v>
      </c>
      <c r="AD52" s="197">
        <f>'Margins summary'!$W$14</f>
        <v>220</v>
      </c>
      <c r="AE52" s="197">
        <f t="shared" si="103"/>
        <v>1564.75</v>
      </c>
      <c r="AF52" s="197"/>
      <c r="AG52" s="897">
        <f>'Energy NPV'!U105</f>
        <v>368.78200000000004</v>
      </c>
      <c r="AH52" s="197"/>
      <c r="AI52" s="197">
        <f t="shared" si="155"/>
        <v>368.78200000000004</v>
      </c>
      <c r="AJ52" s="197">
        <f t="shared" si="82"/>
        <v>975.96799999999996</v>
      </c>
      <c r="AK52" s="197">
        <f t="shared" si="83"/>
        <v>1195.9679999999998</v>
      </c>
      <c r="AL52" s="196">
        <f t="shared" si="104"/>
        <v>776.55961762462334</v>
      </c>
      <c r="AM52" s="197">
        <f t="shared" si="105"/>
        <v>127.04451822079727</v>
      </c>
      <c r="AN52" s="197">
        <f t="shared" si="106"/>
        <v>212.9624159931912</v>
      </c>
      <c r="AO52" s="197">
        <f t="shared" si="107"/>
        <v>563.59720163143209</v>
      </c>
      <c r="AP52" s="199">
        <f t="shared" si="108"/>
        <v>690.64171985222936</v>
      </c>
      <c r="AQ52" s="196">
        <f t="shared" si="147"/>
        <v>13536.109482575115</v>
      </c>
      <c r="AR52" s="197">
        <f t="shared" si="109"/>
        <v>2543.8870444800655</v>
      </c>
      <c r="AS52" s="197">
        <f t="shared" si="110"/>
        <v>6191.4328427737673</v>
      </c>
      <c r="AT52" s="197">
        <f t="shared" si="111"/>
        <v>7344.6766398013478</v>
      </c>
      <c r="AU52" s="199">
        <f t="shared" si="112"/>
        <v>9888.563684281411</v>
      </c>
      <c r="AX52" s="881">
        <v>15</v>
      </c>
      <c r="AY52" s="197">
        <f t="shared" si="84"/>
        <v>16.3</v>
      </c>
      <c r="AZ52" s="197">
        <f>'Energy Inputs'!$G$58*$AZ$34</f>
        <v>27.5</v>
      </c>
      <c r="BA52" s="197">
        <f t="shared" si="148"/>
        <v>448.25</v>
      </c>
      <c r="BB52" s="197">
        <f>'Margins summary'!$W$14</f>
        <v>220</v>
      </c>
      <c r="BC52" s="197">
        <f t="shared" si="113"/>
        <v>668.25</v>
      </c>
      <c r="BD52" s="197"/>
      <c r="BE52" s="897">
        <f>'Margins summary'!$W$22</f>
        <v>388.90700000000004</v>
      </c>
      <c r="BF52" s="197"/>
      <c r="BG52" s="197">
        <f t="shared" si="85"/>
        <v>388.90700000000004</v>
      </c>
      <c r="BH52" s="197">
        <f t="shared" si="86"/>
        <v>59.342999999999961</v>
      </c>
      <c r="BI52" s="197">
        <f t="shared" si="87"/>
        <v>279.34299999999996</v>
      </c>
      <c r="BJ52" s="196">
        <f t="shared" si="114"/>
        <v>258.85320587487445</v>
      </c>
      <c r="BK52" s="197">
        <f t="shared" si="115"/>
        <v>127.04451822079727</v>
      </c>
      <c r="BL52" s="197">
        <f t="shared" si="116"/>
        <v>224.58410203498005</v>
      </c>
      <c r="BM52" s="197">
        <f t="shared" si="117"/>
        <v>34.269103839894399</v>
      </c>
      <c r="BN52" s="199">
        <f t="shared" si="118"/>
        <v>161.31362206069167</v>
      </c>
      <c r="BO52" s="196">
        <f t="shared" si="149"/>
        <v>4512.0364941917042</v>
      </c>
      <c r="BP52" s="197">
        <f t="shared" si="119"/>
        <v>2543.8870444800655</v>
      </c>
      <c r="BQ52" s="197">
        <f t="shared" si="120"/>
        <v>6100.3544491254943</v>
      </c>
      <c r="BR52" s="197">
        <f t="shared" si="121"/>
        <v>-1588.3179549337904</v>
      </c>
      <c r="BS52" s="199">
        <f t="shared" si="122"/>
        <v>955.56908954627579</v>
      </c>
      <c r="BV52" s="881">
        <v>15</v>
      </c>
      <c r="BW52" s="197">
        <f t="shared" si="88"/>
        <v>16.3</v>
      </c>
      <c r="BX52" s="197">
        <f>'Energy Inputs'!$G$58*$BX$34</f>
        <v>110</v>
      </c>
      <c r="BY52" s="197">
        <f t="shared" si="150"/>
        <v>1793</v>
      </c>
      <c r="BZ52" s="197">
        <f>'Margins summary'!$W$14</f>
        <v>220</v>
      </c>
      <c r="CA52" s="197">
        <f t="shared" si="123"/>
        <v>2013</v>
      </c>
      <c r="CB52" s="197"/>
      <c r="CC52" s="897">
        <f>'Energy NPV'!U105</f>
        <v>368.78200000000004</v>
      </c>
      <c r="CD52" s="197"/>
      <c r="CE52" s="197">
        <f t="shared" si="89"/>
        <v>368.78200000000004</v>
      </c>
      <c r="CF52" s="197">
        <f t="shared" si="90"/>
        <v>1424.2179999999998</v>
      </c>
      <c r="CG52" s="197">
        <f t="shared" si="91"/>
        <v>1644.2179999999998</v>
      </c>
      <c r="CH52" s="196">
        <f t="shared" si="124"/>
        <v>1035.4128234994978</v>
      </c>
      <c r="CI52" s="197">
        <f t="shared" si="125"/>
        <v>127.04451822079727</v>
      </c>
      <c r="CJ52" s="197">
        <f t="shared" si="126"/>
        <v>212.9624159931912</v>
      </c>
      <c r="CK52" s="197">
        <f t="shared" si="127"/>
        <v>822.45040750630653</v>
      </c>
      <c r="CL52" s="199">
        <f t="shared" si="128"/>
        <v>949.49492572710381</v>
      </c>
      <c r="CM52" s="196">
        <f t="shared" si="151"/>
        <v>18048.145976766817</v>
      </c>
      <c r="CN52" s="197">
        <f t="shared" si="129"/>
        <v>2543.8870444800655</v>
      </c>
      <c r="CO52" s="197">
        <f t="shared" si="130"/>
        <v>6191.4328427737673</v>
      </c>
      <c r="CP52" s="197">
        <f t="shared" si="131"/>
        <v>11856.713133993053</v>
      </c>
      <c r="CQ52" s="199">
        <f t="shared" si="132"/>
        <v>14400.600178473118</v>
      </c>
      <c r="CT52" s="204">
        <f t="shared" si="152"/>
        <v>15</v>
      </c>
      <c r="CU52" s="197">
        <f t="shared" si="92"/>
        <v>16.3</v>
      </c>
      <c r="CV52" s="197">
        <f>'Energy Inputs'!$G$58*$CV$34</f>
        <v>0</v>
      </c>
      <c r="CW52" s="197">
        <f t="shared" si="153"/>
        <v>0</v>
      </c>
      <c r="CX52" s="197">
        <f>'Margins summary'!$W$14</f>
        <v>220</v>
      </c>
      <c r="CY52" s="197">
        <f t="shared" si="133"/>
        <v>220</v>
      </c>
      <c r="CZ52" s="197"/>
      <c r="DA52" s="897">
        <f>'Energy NPV'!U105</f>
        <v>368.78200000000004</v>
      </c>
      <c r="DB52" s="197"/>
      <c r="DC52" s="197">
        <f t="shared" si="93"/>
        <v>368.78200000000004</v>
      </c>
      <c r="DD52" s="197">
        <f t="shared" si="94"/>
        <v>-368.78200000000004</v>
      </c>
      <c r="DE52" s="197">
        <f t="shared" si="95"/>
        <v>-148.78200000000004</v>
      </c>
      <c r="DF52" s="196">
        <f t="shared" si="134"/>
        <v>0</v>
      </c>
      <c r="DG52" s="197">
        <f t="shared" si="135"/>
        <v>127.04451822079727</v>
      </c>
      <c r="DH52" s="197">
        <f t="shared" si="136"/>
        <v>212.9624159931912</v>
      </c>
      <c r="DI52" s="197">
        <f t="shared" si="137"/>
        <v>-212.9624159931912</v>
      </c>
      <c r="DJ52" s="199">
        <f t="shared" si="138"/>
        <v>-85.917897772393928</v>
      </c>
      <c r="DK52" s="196">
        <f t="shared" si="154"/>
        <v>0</v>
      </c>
      <c r="DL52" s="197">
        <f t="shared" si="139"/>
        <v>2543.8870444800655</v>
      </c>
      <c r="DM52" s="197">
        <f t="shared" si="140"/>
        <v>6191.4328427737673</v>
      </c>
      <c r="DN52" s="197">
        <f t="shared" si="141"/>
        <v>-6191.4328427737673</v>
      </c>
      <c r="DO52" s="199">
        <f t="shared" si="142"/>
        <v>-3647.5457982937019</v>
      </c>
    </row>
    <row r="53" spans="2:178" x14ac:dyDescent="0.3">
      <c r="B53" s="206">
        <f t="shared" si="143"/>
        <v>16</v>
      </c>
      <c r="C53" s="207">
        <f>'Energy NPV'!$D106</f>
        <v>16.3</v>
      </c>
      <c r="D53" s="207">
        <f>'Energy Inputs'!$G$58*$E$34</f>
        <v>55</v>
      </c>
      <c r="E53" s="207">
        <f t="shared" si="144"/>
        <v>896.5</v>
      </c>
      <c r="F53" s="207">
        <f>'Margins summary'!$W$14</f>
        <v>220</v>
      </c>
      <c r="G53" s="207">
        <f t="shared" si="96"/>
        <v>1116.5</v>
      </c>
      <c r="H53" s="207"/>
      <c r="I53" s="898">
        <f>'Energy NPV'!U106</f>
        <v>368.78200000000004</v>
      </c>
      <c r="J53" s="207">
        <f>'Energy margins'!$AE$67</f>
        <v>170</v>
      </c>
      <c r="K53" s="207">
        <f t="shared" si="78"/>
        <v>538.78200000000004</v>
      </c>
      <c r="L53" s="207">
        <f t="shared" si="79"/>
        <v>357.71799999999996</v>
      </c>
      <c r="M53" s="207">
        <f t="shared" si="80"/>
        <v>577.71799999999996</v>
      </c>
      <c r="N53" s="208">
        <f t="shared" si="97"/>
        <v>497.79462668245088</v>
      </c>
      <c r="O53" s="207">
        <f t="shared" si="98"/>
        <v>122.15819059692046</v>
      </c>
      <c r="P53" s="207">
        <f t="shared" si="99"/>
        <v>299.16651930086363</v>
      </c>
      <c r="Q53" s="207">
        <f t="shared" si="100"/>
        <v>198.62810738158723</v>
      </c>
      <c r="R53" s="209">
        <f t="shared" si="101"/>
        <v>320.78629797850766</v>
      </c>
      <c r="S53" s="208">
        <f t="shared" si="145"/>
        <v>9521.8676150658594</v>
      </c>
      <c r="T53" s="207">
        <f t="shared" si="102"/>
        <v>2666.045235076986</v>
      </c>
      <c r="U53" s="207">
        <f t="shared" si="102"/>
        <v>6490.5993620746312</v>
      </c>
      <c r="V53" s="207">
        <f t="shared" si="102"/>
        <v>3031.2682529912308</v>
      </c>
      <c r="W53" s="209">
        <f t="shared" si="102"/>
        <v>5697.3134880682173</v>
      </c>
      <c r="Z53" s="882">
        <v>16</v>
      </c>
      <c r="AA53" s="207">
        <f t="shared" si="81"/>
        <v>16.3</v>
      </c>
      <c r="AB53" s="207">
        <f>'Energy Inputs'!$G$58*$AB$34</f>
        <v>82.5</v>
      </c>
      <c r="AC53" s="207">
        <f t="shared" si="146"/>
        <v>1344.75</v>
      </c>
      <c r="AD53" s="207">
        <f>'Margins summary'!$W$14</f>
        <v>220</v>
      </c>
      <c r="AE53" s="207">
        <f t="shared" si="103"/>
        <v>1564.75</v>
      </c>
      <c r="AF53" s="207"/>
      <c r="AG53" s="898">
        <f>'Energy NPV'!U106</f>
        <v>368.78200000000004</v>
      </c>
      <c r="AH53" s="207">
        <f>'Energy margins'!$AE$67</f>
        <v>170</v>
      </c>
      <c r="AI53" s="207">
        <f>AG53+AH53</f>
        <v>538.78200000000004</v>
      </c>
      <c r="AJ53" s="207">
        <f t="shared" si="82"/>
        <v>805.96799999999996</v>
      </c>
      <c r="AK53" s="207">
        <f t="shared" si="83"/>
        <v>1025.9679999999998</v>
      </c>
      <c r="AL53" s="208">
        <f t="shared" si="104"/>
        <v>746.69194002367624</v>
      </c>
      <c r="AM53" s="207">
        <f t="shared" si="105"/>
        <v>122.15819059692046</v>
      </c>
      <c r="AN53" s="207">
        <f t="shared" si="106"/>
        <v>299.16651930086363</v>
      </c>
      <c r="AO53" s="207">
        <f t="shared" si="107"/>
        <v>447.52542072281267</v>
      </c>
      <c r="AP53" s="209">
        <f t="shared" si="108"/>
        <v>569.68361131973302</v>
      </c>
      <c r="AQ53" s="208">
        <f>AQ52+AL53</f>
        <v>14282.801422598792</v>
      </c>
      <c r="AR53" s="207">
        <f t="shared" si="109"/>
        <v>2666.045235076986</v>
      </c>
      <c r="AS53" s="207">
        <f t="shared" si="110"/>
        <v>6490.5993620746312</v>
      </c>
      <c r="AT53" s="207">
        <f t="shared" si="111"/>
        <v>7792.2020605241605</v>
      </c>
      <c r="AU53" s="209">
        <f t="shared" si="112"/>
        <v>10458.247295601144</v>
      </c>
      <c r="AX53" s="882">
        <v>16</v>
      </c>
      <c r="AY53" s="207">
        <f t="shared" si="84"/>
        <v>16.3</v>
      </c>
      <c r="AZ53" s="207">
        <f>'Energy Inputs'!$G$58*$AZ$34</f>
        <v>27.5</v>
      </c>
      <c r="BA53" s="207">
        <f t="shared" si="148"/>
        <v>448.25</v>
      </c>
      <c r="BB53" s="207">
        <f>'Margins summary'!$W$14</f>
        <v>220</v>
      </c>
      <c r="BC53" s="207">
        <f t="shared" si="113"/>
        <v>668.25</v>
      </c>
      <c r="BD53" s="207"/>
      <c r="BE53" s="898">
        <f>'Margins summary'!$W$22</f>
        <v>388.90700000000004</v>
      </c>
      <c r="BF53" s="207">
        <f>'Energy margins'!$AE$67</f>
        <v>170</v>
      </c>
      <c r="BG53" s="207">
        <f t="shared" si="85"/>
        <v>558.90700000000004</v>
      </c>
      <c r="BH53" s="207">
        <f t="shared" si="86"/>
        <v>-110.65700000000004</v>
      </c>
      <c r="BI53" s="207">
        <f t="shared" si="87"/>
        <v>109.34299999999996</v>
      </c>
      <c r="BJ53" s="208">
        <f t="shared" si="114"/>
        <v>248.89731334122544</v>
      </c>
      <c r="BK53" s="207">
        <f t="shared" si="115"/>
        <v>122.15819059692046</v>
      </c>
      <c r="BL53" s="207">
        <f t="shared" si="116"/>
        <v>310.34121741796832</v>
      </c>
      <c r="BM53" s="207">
        <f t="shared" si="117"/>
        <v>-61.443904076742875</v>
      </c>
      <c r="BN53" s="209">
        <f t="shared" si="118"/>
        <v>60.714286520177588</v>
      </c>
      <c r="BO53" s="208">
        <f t="shared" si="149"/>
        <v>4760.9338075329297</v>
      </c>
      <c r="BP53" s="207">
        <f t="shared" si="119"/>
        <v>2666.045235076986</v>
      </c>
      <c r="BQ53" s="207">
        <f t="shared" si="120"/>
        <v>6410.6956665434627</v>
      </c>
      <c r="BR53" s="207">
        <f t="shared" si="121"/>
        <v>-1649.7618590105333</v>
      </c>
      <c r="BS53" s="209">
        <f t="shared" si="122"/>
        <v>1016.2833760664533</v>
      </c>
      <c r="BV53" s="882">
        <v>16</v>
      </c>
      <c r="BW53" s="207">
        <f t="shared" si="88"/>
        <v>16.3</v>
      </c>
      <c r="BX53" s="207">
        <f>'Energy Inputs'!$G$58*$BX$34</f>
        <v>110</v>
      </c>
      <c r="BY53" s="207">
        <f t="shared" si="150"/>
        <v>1793</v>
      </c>
      <c r="BZ53" s="207">
        <f>'Margins summary'!$W$14</f>
        <v>220</v>
      </c>
      <c r="CA53" s="207">
        <f t="shared" si="123"/>
        <v>2013</v>
      </c>
      <c r="CB53" s="207"/>
      <c r="CC53" s="898">
        <f>'Energy NPV'!U106</f>
        <v>368.78200000000004</v>
      </c>
      <c r="CD53" s="207">
        <f>'Energy margins'!$AE$67</f>
        <v>170</v>
      </c>
      <c r="CE53" s="207">
        <f t="shared" si="89"/>
        <v>538.78200000000004</v>
      </c>
      <c r="CF53" s="207">
        <f t="shared" si="90"/>
        <v>1254.2179999999998</v>
      </c>
      <c r="CG53" s="207">
        <f t="shared" si="91"/>
        <v>1474.2179999999998</v>
      </c>
      <c r="CH53" s="208">
        <f t="shared" si="124"/>
        <v>995.58925336490177</v>
      </c>
      <c r="CI53" s="207">
        <f t="shared" si="125"/>
        <v>122.15819059692046</v>
      </c>
      <c r="CJ53" s="207">
        <f t="shared" si="126"/>
        <v>299.16651930086363</v>
      </c>
      <c r="CK53" s="207">
        <f t="shared" si="127"/>
        <v>696.42273406403797</v>
      </c>
      <c r="CL53" s="209">
        <f t="shared" si="128"/>
        <v>818.58092466095843</v>
      </c>
      <c r="CM53" s="208">
        <f t="shared" si="151"/>
        <v>19043.735230131719</v>
      </c>
      <c r="CN53" s="207">
        <f t="shared" si="129"/>
        <v>2666.045235076986</v>
      </c>
      <c r="CO53" s="207">
        <f t="shared" si="130"/>
        <v>6490.5993620746312</v>
      </c>
      <c r="CP53" s="207">
        <f t="shared" si="131"/>
        <v>12553.13586805709</v>
      </c>
      <c r="CQ53" s="209">
        <f t="shared" si="132"/>
        <v>15219.181103134077</v>
      </c>
      <c r="CT53" s="206">
        <f t="shared" si="152"/>
        <v>16</v>
      </c>
      <c r="CU53" s="207">
        <f t="shared" si="92"/>
        <v>16.3</v>
      </c>
      <c r="CV53" s="207">
        <f>'Energy Inputs'!$G$58*$CV$34</f>
        <v>0</v>
      </c>
      <c r="CW53" s="207">
        <f t="shared" si="153"/>
        <v>0</v>
      </c>
      <c r="CX53" s="207">
        <f>'Margins summary'!$W$14</f>
        <v>220</v>
      </c>
      <c r="CY53" s="207">
        <f t="shared" si="133"/>
        <v>220</v>
      </c>
      <c r="CZ53" s="207"/>
      <c r="DA53" s="898">
        <f>'Energy NPV'!U106</f>
        <v>368.78200000000004</v>
      </c>
      <c r="DB53" s="207">
        <f>'Energy margins'!$AE$67</f>
        <v>170</v>
      </c>
      <c r="DC53" s="207">
        <f t="shared" si="93"/>
        <v>538.78200000000004</v>
      </c>
      <c r="DD53" s="207">
        <f t="shared" si="94"/>
        <v>-538.78200000000004</v>
      </c>
      <c r="DE53" s="207">
        <f t="shared" si="95"/>
        <v>-318.78200000000004</v>
      </c>
      <c r="DF53" s="208">
        <f t="shared" si="134"/>
        <v>0</v>
      </c>
      <c r="DG53" s="207">
        <f t="shared" si="135"/>
        <v>122.15819059692046</v>
      </c>
      <c r="DH53" s="207">
        <f t="shared" si="136"/>
        <v>299.16651930086363</v>
      </c>
      <c r="DI53" s="207">
        <f t="shared" si="137"/>
        <v>-299.16651930086363</v>
      </c>
      <c r="DJ53" s="209">
        <f t="shared" si="138"/>
        <v>-177.00832870394319</v>
      </c>
      <c r="DK53" s="208">
        <f t="shared" si="154"/>
        <v>0</v>
      </c>
      <c r="DL53" s="207">
        <f t="shared" si="139"/>
        <v>2666.045235076986</v>
      </c>
      <c r="DM53" s="207">
        <f t="shared" si="140"/>
        <v>6490.5993620746312</v>
      </c>
      <c r="DN53" s="207">
        <f t="shared" si="141"/>
        <v>-6490.5993620746312</v>
      </c>
      <c r="DO53" s="209">
        <f t="shared" si="142"/>
        <v>-3824.5541269976452</v>
      </c>
    </row>
    <row r="54" spans="2:178" x14ac:dyDescent="0.3">
      <c r="AN54" s="197"/>
      <c r="DH54" s="158"/>
    </row>
    <row r="58" spans="2:178" x14ac:dyDescent="0.3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2:178" x14ac:dyDescent="0.3">
      <c r="B59" s="212" t="s">
        <v>303</v>
      </c>
      <c r="C59" s="750" t="s">
        <v>407</v>
      </c>
      <c r="D59" s="269" t="s">
        <v>418</v>
      </c>
      <c r="E59" s="102"/>
      <c r="H59" s="102"/>
      <c r="I59" s="102"/>
      <c r="J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212" t="s">
        <v>303</v>
      </c>
      <c r="AC59" s="750" t="s">
        <v>408</v>
      </c>
      <c r="AD59" s="267" t="s">
        <v>325</v>
      </c>
      <c r="AE59" s="102"/>
      <c r="AH59" s="102"/>
      <c r="AI59" s="102"/>
      <c r="AJ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BB59" s="212" t="s">
        <v>303</v>
      </c>
      <c r="BC59" s="750" t="s">
        <v>409</v>
      </c>
      <c r="BD59" s="267" t="s">
        <v>325</v>
      </c>
      <c r="BE59" s="102"/>
      <c r="BH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CB59" s="212" t="s">
        <v>303</v>
      </c>
      <c r="CC59" s="750" t="s">
        <v>410</v>
      </c>
      <c r="CD59" s="267" t="s">
        <v>325</v>
      </c>
      <c r="CE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DB59" s="212" t="s">
        <v>303</v>
      </c>
      <c r="DC59" s="750" t="s">
        <v>411</v>
      </c>
      <c r="DD59" s="267" t="s">
        <v>325</v>
      </c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102"/>
      <c r="DX59" s="102"/>
      <c r="DY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</row>
    <row r="60" spans="2:178" x14ac:dyDescent="0.3">
      <c r="B60" s="203"/>
      <c r="C60" s="63"/>
      <c r="E60" s="158"/>
      <c r="F60" s="158"/>
      <c r="G60" s="158"/>
      <c r="H60" s="745"/>
      <c r="I60" s="745"/>
      <c r="J60" s="745"/>
      <c r="K60" s="148"/>
      <c r="L60" s="148"/>
      <c r="M60" s="745"/>
      <c r="N60" s="148"/>
      <c r="O60" s="148"/>
      <c r="P60" s="998" t="s">
        <v>279</v>
      </c>
      <c r="Q60" s="999"/>
      <c r="R60" s="999"/>
      <c r="S60" s="999"/>
      <c r="T60" s="1000"/>
      <c r="U60" s="998" t="s">
        <v>280</v>
      </c>
      <c r="V60" s="999"/>
      <c r="W60" s="999"/>
      <c r="X60" s="999"/>
      <c r="Y60" s="1000"/>
      <c r="AB60" s="203"/>
      <c r="AC60" s="63"/>
      <c r="AE60" s="158"/>
      <c r="AF60" s="158"/>
      <c r="AG60" s="158"/>
      <c r="AH60" s="745"/>
      <c r="AI60" s="745"/>
      <c r="AJ60" s="745"/>
      <c r="AK60" s="148"/>
      <c r="AL60" s="148"/>
      <c r="AM60" s="745"/>
      <c r="AN60" s="148"/>
      <c r="AO60" s="148"/>
      <c r="AP60" s="998" t="s">
        <v>279</v>
      </c>
      <c r="AQ60" s="999"/>
      <c r="AR60" s="999"/>
      <c r="AS60" s="999"/>
      <c r="AT60" s="1000"/>
      <c r="AU60" s="998" t="s">
        <v>280</v>
      </c>
      <c r="AV60" s="999"/>
      <c r="AW60" s="999"/>
      <c r="AX60" s="999"/>
      <c r="AY60" s="1000"/>
      <c r="BB60" s="203"/>
      <c r="BC60" s="63"/>
      <c r="BE60" s="158"/>
      <c r="BF60" s="158"/>
      <c r="BG60" s="158"/>
      <c r="BH60" s="745"/>
      <c r="BI60" s="745"/>
      <c r="BJ60" s="745"/>
      <c r="BK60" s="148"/>
      <c r="BL60" s="148"/>
      <c r="BM60" s="745"/>
      <c r="BN60" s="148"/>
      <c r="BO60" s="148"/>
      <c r="BP60" s="998" t="s">
        <v>279</v>
      </c>
      <c r="BQ60" s="999"/>
      <c r="BR60" s="999"/>
      <c r="BS60" s="999"/>
      <c r="BT60" s="1000"/>
      <c r="BU60" s="998" t="s">
        <v>280</v>
      </c>
      <c r="BV60" s="999"/>
      <c r="BW60" s="999"/>
      <c r="BX60" s="999"/>
      <c r="BY60" s="1000"/>
      <c r="CB60" s="203"/>
      <c r="CC60" s="63"/>
      <c r="CE60" s="158"/>
      <c r="CF60" s="158"/>
      <c r="CG60" s="158"/>
      <c r="CH60" s="745"/>
      <c r="CI60" s="745"/>
      <c r="CJ60" s="745"/>
      <c r="CK60" s="148"/>
      <c r="CL60" s="148"/>
      <c r="CM60" s="745"/>
      <c r="CN60" s="148"/>
      <c r="CO60" s="148"/>
      <c r="CP60" s="998" t="s">
        <v>279</v>
      </c>
      <c r="CQ60" s="999"/>
      <c r="CR60" s="999"/>
      <c r="CS60" s="999"/>
      <c r="CT60" s="1000"/>
      <c r="CU60" s="998" t="s">
        <v>280</v>
      </c>
      <c r="CV60" s="999"/>
      <c r="CW60" s="999"/>
      <c r="CX60" s="999"/>
      <c r="CY60" s="1000"/>
      <c r="DB60" s="203"/>
      <c r="DC60" s="63"/>
      <c r="DE60" s="158"/>
      <c r="DF60" s="158"/>
      <c r="DG60" s="158"/>
      <c r="DH60" s="745"/>
      <c r="DI60" s="745"/>
      <c r="DJ60" s="745"/>
      <c r="DK60" s="148"/>
      <c r="DL60" s="148"/>
      <c r="DM60" s="745"/>
      <c r="DN60" s="148"/>
      <c r="DO60" s="148"/>
      <c r="DP60" s="998" t="s">
        <v>279</v>
      </c>
      <c r="DQ60" s="999"/>
      <c r="DR60" s="999"/>
      <c r="DS60" s="999"/>
      <c r="DT60" s="1000"/>
      <c r="DU60" s="998" t="s">
        <v>280</v>
      </c>
      <c r="DV60" s="999"/>
      <c r="DW60" s="999"/>
      <c r="DX60" s="999"/>
      <c r="DY60" s="1000"/>
    </row>
    <row r="61" spans="2:178" ht="51" x14ac:dyDescent="0.3">
      <c r="B61" s="204" t="s">
        <v>281</v>
      </c>
      <c r="C61" s="225" t="s">
        <v>282</v>
      </c>
      <c r="D61" s="205" t="s">
        <v>307</v>
      </c>
      <c r="E61" s="205" t="s">
        <v>308</v>
      </c>
      <c r="F61" s="205" t="s">
        <v>652</v>
      </c>
      <c r="G61" s="205" t="s">
        <v>653</v>
      </c>
      <c r="H61" s="171" t="s">
        <v>283</v>
      </c>
      <c r="I61" s="171" t="s">
        <v>10</v>
      </c>
      <c r="J61" s="171" t="s">
        <v>284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287</v>
      </c>
      <c r="N61" s="171" t="s">
        <v>288</v>
      </c>
      <c r="O61" s="171" t="s">
        <v>289</v>
      </c>
      <c r="P61" s="195" t="s">
        <v>290</v>
      </c>
      <c r="Q61" s="171" t="s">
        <v>291</v>
      </c>
      <c r="R61" s="171" t="s">
        <v>292</v>
      </c>
      <c r="S61" s="171" t="s">
        <v>293</v>
      </c>
      <c r="T61" s="198" t="s">
        <v>294</v>
      </c>
      <c r="U61" s="195" t="s">
        <v>295</v>
      </c>
      <c r="V61" s="171" t="s">
        <v>296</v>
      </c>
      <c r="W61" s="171" t="s">
        <v>297</v>
      </c>
      <c r="X61" s="171" t="s">
        <v>298</v>
      </c>
      <c r="Y61" s="198" t="s">
        <v>299</v>
      </c>
      <c r="AB61" s="204" t="s">
        <v>281</v>
      </c>
      <c r="AC61" s="225" t="s">
        <v>282</v>
      </c>
      <c r="AD61" s="205" t="s">
        <v>307</v>
      </c>
      <c r="AE61" s="205" t="s">
        <v>308</v>
      </c>
      <c r="AF61" s="205" t="s">
        <v>652</v>
      </c>
      <c r="AG61" s="205" t="s">
        <v>653</v>
      </c>
      <c r="AH61" s="171" t="s">
        <v>283</v>
      </c>
      <c r="AI61" s="171" t="s">
        <v>10</v>
      </c>
      <c r="AJ61" s="171" t="s">
        <v>284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287</v>
      </c>
      <c r="AN61" s="171" t="s">
        <v>288</v>
      </c>
      <c r="AO61" s="171" t="s">
        <v>289</v>
      </c>
      <c r="AP61" s="195" t="s">
        <v>290</v>
      </c>
      <c r="AQ61" s="171" t="s">
        <v>291</v>
      </c>
      <c r="AR61" s="171" t="s">
        <v>292</v>
      </c>
      <c r="AS61" s="171" t="s">
        <v>293</v>
      </c>
      <c r="AT61" s="198" t="s">
        <v>294</v>
      </c>
      <c r="AU61" s="195" t="s">
        <v>295</v>
      </c>
      <c r="AV61" s="171" t="s">
        <v>296</v>
      </c>
      <c r="AW61" s="171" t="s">
        <v>297</v>
      </c>
      <c r="AX61" s="171" t="s">
        <v>298</v>
      </c>
      <c r="AY61" s="198" t="s">
        <v>299</v>
      </c>
      <c r="BB61" s="204" t="s">
        <v>281</v>
      </c>
      <c r="BC61" s="225" t="s">
        <v>282</v>
      </c>
      <c r="BD61" s="205" t="s">
        <v>307</v>
      </c>
      <c r="BE61" s="205" t="s">
        <v>308</v>
      </c>
      <c r="BF61" s="205" t="s">
        <v>652</v>
      </c>
      <c r="BG61" s="205" t="s">
        <v>653</v>
      </c>
      <c r="BH61" s="171" t="s">
        <v>283</v>
      </c>
      <c r="BI61" s="171" t="s">
        <v>10</v>
      </c>
      <c r="BJ61" s="171" t="s">
        <v>284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287</v>
      </c>
      <c r="BN61" s="171" t="s">
        <v>288</v>
      </c>
      <c r="BO61" s="171" t="s">
        <v>289</v>
      </c>
      <c r="BP61" s="195" t="s">
        <v>290</v>
      </c>
      <c r="BQ61" s="171" t="s">
        <v>291</v>
      </c>
      <c r="BR61" s="171" t="s">
        <v>292</v>
      </c>
      <c r="BS61" s="171" t="s">
        <v>293</v>
      </c>
      <c r="BT61" s="198" t="s">
        <v>294</v>
      </c>
      <c r="BU61" s="195" t="s">
        <v>295</v>
      </c>
      <c r="BV61" s="171" t="s">
        <v>296</v>
      </c>
      <c r="BW61" s="171" t="s">
        <v>297</v>
      </c>
      <c r="BX61" s="171" t="s">
        <v>298</v>
      </c>
      <c r="BY61" s="198" t="s">
        <v>299</v>
      </c>
      <c r="CB61" s="204" t="s">
        <v>281</v>
      </c>
      <c r="CC61" s="225" t="s">
        <v>282</v>
      </c>
      <c r="CD61" s="205" t="s">
        <v>307</v>
      </c>
      <c r="CE61" s="205" t="s">
        <v>308</v>
      </c>
      <c r="CF61" s="205" t="s">
        <v>652</v>
      </c>
      <c r="CG61" s="205" t="s">
        <v>653</v>
      </c>
      <c r="CH61" s="171" t="s">
        <v>283</v>
      </c>
      <c r="CI61" s="171" t="s">
        <v>10</v>
      </c>
      <c r="CJ61" s="171" t="s">
        <v>284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287</v>
      </c>
      <c r="CN61" s="171" t="s">
        <v>288</v>
      </c>
      <c r="CO61" s="171" t="s">
        <v>289</v>
      </c>
      <c r="CP61" s="195" t="s">
        <v>290</v>
      </c>
      <c r="CQ61" s="171" t="s">
        <v>291</v>
      </c>
      <c r="CR61" s="171" t="s">
        <v>292</v>
      </c>
      <c r="CS61" s="171" t="s">
        <v>293</v>
      </c>
      <c r="CT61" s="198" t="s">
        <v>294</v>
      </c>
      <c r="CU61" s="195" t="s">
        <v>295</v>
      </c>
      <c r="CV61" s="171" t="s">
        <v>296</v>
      </c>
      <c r="CW61" s="171" t="s">
        <v>297</v>
      </c>
      <c r="CX61" s="171" t="s">
        <v>298</v>
      </c>
      <c r="CY61" s="198" t="s">
        <v>299</v>
      </c>
      <c r="DB61" s="204" t="s">
        <v>281</v>
      </c>
      <c r="DC61" s="225" t="s">
        <v>282</v>
      </c>
      <c r="DD61" s="205" t="s">
        <v>307</v>
      </c>
      <c r="DE61" s="205" t="s">
        <v>308</v>
      </c>
      <c r="DF61" s="205" t="s">
        <v>652</v>
      </c>
      <c r="DG61" s="205" t="s">
        <v>653</v>
      </c>
      <c r="DH61" s="171" t="s">
        <v>283</v>
      </c>
      <c r="DI61" s="171" t="s">
        <v>10</v>
      </c>
      <c r="DJ61" s="171" t="s">
        <v>284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287</v>
      </c>
      <c r="DN61" s="171" t="s">
        <v>288</v>
      </c>
      <c r="DO61" s="171" t="s">
        <v>289</v>
      </c>
      <c r="DP61" s="195" t="s">
        <v>290</v>
      </c>
      <c r="DQ61" s="171" t="s">
        <v>291</v>
      </c>
      <c r="DR61" s="171" t="s">
        <v>292</v>
      </c>
      <c r="DS61" s="171" t="s">
        <v>293</v>
      </c>
      <c r="DT61" s="198" t="s">
        <v>294</v>
      </c>
      <c r="DU61" s="195" t="s">
        <v>295</v>
      </c>
      <c r="DV61" s="171" t="s">
        <v>296</v>
      </c>
      <c r="DW61" s="171" t="s">
        <v>297</v>
      </c>
      <c r="DX61" s="171" t="s">
        <v>298</v>
      </c>
      <c r="DY61" s="198" t="s">
        <v>299</v>
      </c>
    </row>
    <row r="62" spans="2:178" x14ac:dyDescent="0.3">
      <c r="B62" s="173"/>
      <c r="C62" s="885"/>
      <c r="D62" s="226" t="s">
        <v>356</v>
      </c>
      <c r="E62" s="226" t="s">
        <v>476</v>
      </c>
      <c r="F62" s="226" t="s">
        <v>356</v>
      </c>
      <c r="G62" s="226" t="s">
        <v>476</v>
      </c>
      <c r="H62" s="201" t="s">
        <v>474</v>
      </c>
      <c r="I62" s="201" t="s">
        <v>474</v>
      </c>
      <c r="J62" s="201" t="s">
        <v>474</v>
      </c>
      <c r="K62" s="201" t="s">
        <v>474</v>
      </c>
      <c r="L62" s="201" t="s">
        <v>474</v>
      </c>
      <c r="M62" s="201" t="s">
        <v>474</v>
      </c>
      <c r="N62" s="201" t="s">
        <v>474</v>
      </c>
      <c r="O62" s="202" t="s">
        <v>474</v>
      </c>
      <c r="P62" s="201" t="s">
        <v>474</v>
      </c>
      <c r="Q62" s="201" t="s">
        <v>474</v>
      </c>
      <c r="R62" s="201" t="s">
        <v>474</v>
      </c>
      <c r="S62" s="201" t="s">
        <v>474</v>
      </c>
      <c r="T62" s="202" t="s">
        <v>474</v>
      </c>
      <c r="U62" s="201" t="s">
        <v>474</v>
      </c>
      <c r="V62" s="201" t="s">
        <v>474</v>
      </c>
      <c r="W62" s="201" t="s">
        <v>474</v>
      </c>
      <c r="X62" s="201" t="s">
        <v>474</v>
      </c>
      <c r="Y62" s="202" t="s">
        <v>474</v>
      </c>
      <c r="AB62" s="173"/>
      <c r="AC62" s="885"/>
      <c r="AD62" s="226" t="s">
        <v>356</v>
      </c>
      <c r="AE62" s="226" t="s">
        <v>476</v>
      </c>
      <c r="AF62" s="226" t="s">
        <v>356</v>
      </c>
      <c r="AG62" s="226" t="s">
        <v>476</v>
      </c>
      <c r="AH62" s="201" t="s">
        <v>474</v>
      </c>
      <c r="AI62" s="201" t="s">
        <v>474</v>
      </c>
      <c r="AJ62" s="201" t="s">
        <v>474</v>
      </c>
      <c r="AK62" s="201" t="s">
        <v>474</v>
      </c>
      <c r="AL62" s="201" t="s">
        <v>474</v>
      </c>
      <c r="AM62" s="201" t="s">
        <v>474</v>
      </c>
      <c r="AN62" s="201" t="s">
        <v>474</v>
      </c>
      <c r="AO62" s="202" t="s">
        <v>474</v>
      </c>
      <c r="AP62" s="201" t="s">
        <v>474</v>
      </c>
      <c r="AQ62" s="201" t="s">
        <v>474</v>
      </c>
      <c r="AR62" s="201" t="s">
        <v>474</v>
      </c>
      <c r="AS62" s="201" t="s">
        <v>474</v>
      </c>
      <c r="AT62" s="202" t="s">
        <v>474</v>
      </c>
      <c r="AU62" s="201" t="s">
        <v>474</v>
      </c>
      <c r="AV62" s="201" t="s">
        <v>474</v>
      </c>
      <c r="AW62" s="201" t="s">
        <v>474</v>
      </c>
      <c r="AX62" s="201" t="s">
        <v>474</v>
      </c>
      <c r="AY62" s="202" t="s">
        <v>474</v>
      </c>
      <c r="BB62" s="173"/>
      <c r="BC62" s="885"/>
      <c r="BD62" s="226" t="s">
        <v>356</v>
      </c>
      <c r="BE62" s="226" t="s">
        <v>476</v>
      </c>
      <c r="BF62" s="226" t="s">
        <v>356</v>
      </c>
      <c r="BG62" s="226" t="s">
        <v>476</v>
      </c>
      <c r="BH62" s="201" t="s">
        <v>474</v>
      </c>
      <c r="BI62" s="201" t="s">
        <v>474</v>
      </c>
      <c r="BJ62" s="201" t="s">
        <v>474</v>
      </c>
      <c r="BK62" s="201" t="s">
        <v>474</v>
      </c>
      <c r="BL62" s="201" t="s">
        <v>474</v>
      </c>
      <c r="BM62" s="201" t="s">
        <v>474</v>
      </c>
      <c r="BN62" s="201" t="s">
        <v>474</v>
      </c>
      <c r="BO62" s="202" t="s">
        <v>474</v>
      </c>
      <c r="BP62" s="201" t="s">
        <v>474</v>
      </c>
      <c r="BQ62" s="201" t="s">
        <v>474</v>
      </c>
      <c r="BR62" s="201" t="s">
        <v>474</v>
      </c>
      <c r="BS62" s="201" t="s">
        <v>474</v>
      </c>
      <c r="BT62" s="202" t="s">
        <v>474</v>
      </c>
      <c r="BU62" s="201" t="s">
        <v>474</v>
      </c>
      <c r="BV62" s="201" t="s">
        <v>474</v>
      </c>
      <c r="BW62" s="201" t="s">
        <v>474</v>
      </c>
      <c r="BX62" s="201" t="s">
        <v>474</v>
      </c>
      <c r="BY62" s="202" t="s">
        <v>474</v>
      </c>
      <c r="CB62" s="173"/>
      <c r="CC62" s="885"/>
      <c r="CD62" s="226" t="s">
        <v>356</v>
      </c>
      <c r="CE62" s="226" t="s">
        <v>476</v>
      </c>
      <c r="CF62" s="226" t="s">
        <v>356</v>
      </c>
      <c r="CG62" s="226" t="s">
        <v>476</v>
      </c>
      <c r="CH62" s="201" t="s">
        <v>474</v>
      </c>
      <c r="CI62" s="201" t="s">
        <v>474</v>
      </c>
      <c r="CJ62" s="201" t="s">
        <v>474</v>
      </c>
      <c r="CK62" s="201" t="s">
        <v>474</v>
      </c>
      <c r="CL62" s="201" t="s">
        <v>474</v>
      </c>
      <c r="CM62" s="201" t="s">
        <v>474</v>
      </c>
      <c r="CN62" s="201" t="s">
        <v>474</v>
      </c>
      <c r="CO62" s="202" t="s">
        <v>474</v>
      </c>
      <c r="CP62" s="201" t="s">
        <v>474</v>
      </c>
      <c r="CQ62" s="201" t="s">
        <v>474</v>
      </c>
      <c r="CR62" s="201" t="s">
        <v>474</v>
      </c>
      <c r="CS62" s="201" t="s">
        <v>474</v>
      </c>
      <c r="CT62" s="202" t="s">
        <v>474</v>
      </c>
      <c r="CU62" s="201" t="s">
        <v>474</v>
      </c>
      <c r="CV62" s="201" t="s">
        <v>474</v>
      </c>
      <c r="CW62" s="201" t="s">
        <v>474</v>
      </c>
      <c r="CX62" s="201" t="s">
        <v>474</v>
      </c>
      <c r="CY62" s="202" t="s">
        <v>474</v>
      </c>
      <c r="DB62" s="173"/>
      <c r="DC62" s="885"/>
      <c r="DD62" s="226" t="s">
        <v>356</v>
      </c>
      <c r="DE62" s="226" t="s">
        <v>476</v>
      </c>
      <c r="DF62" s="226" t="s">
        <v>356</v>
      </c>
      <c r="DG62" s="226" t="s">
        <v>476</v>
      </c>
      <c r="DH62" s="201" t="s">
        <v>474</v>
      </c>
      <c r="DI62" s="201" t="s">
        <v>474</v>
      </c>
      <c r="DJ62" s="201" t="s">
        <v>474</v>
      </c>
      <c r="DK62" s="201" t="s">
        <v>474</v>
      </c>
      <c r="DL62" s="201" t="s">
        <v>474</v>
      </c>
      <c r="DM62" s="201" t="s">
        <v>474</v>
      </c>
      <c r="DN62" s="201" t="s">
        <v>474</v>
      </c>
      <c r="DO62" s="202" t="s">
        <v>474</v>
      </c>
      <c r="DP62" s="201" t="s">
        <v>474</v>
      </c>
      <c r="DQ62" s="201" t="s">
        <v>474</v>
      </c>
      <c r="DR62" s="201" t="s">
        <v>474</v>
      </c>
      <c r="DS62" s="201" t="s">
        <v>474</v>
      </c>
      <c r="DT62" s="202" t="s">
        <v>474</v>
      </c>
      <c r="DU62" s="201" t="s">
        <v>474</v>
      </c>
      <c r="DV62" s="201" t="s">
        <v>474</v>
      </c>
      <c r="DW62" s="201" t="s">
        <v>474</v>
      </c>
      <c r="DX62" s="201" t="s">
        <v>474</v>
      </c>
      <c r="DY62" s="202" t="s">
        <v>474</v>
      </c>
    </row>
    <row r="63" spans="2:178" x14ac:dyDescent="0.3">
      <c r="B63" s="880">
        <v>1</v>
      </c>
      <c r="C63" s="883" t="s">
        <v>4</v>
      </c>
      <c r="D63" s="747">
        <f>'Arable Inputs'!$D$18</f>
        <v>8.25</v>
      </c>
      <c r="E63" s="747">
        <f>'Arable Inputs'!$D$25</f>
        <v>162</v>
      </c>
      <c r="F63" s="747">
        <f>'Arable Inputs'!$D$19</f>
        <v>3.9</v>
      </c>
      <c r="G63" s="747">
        <f>'Arable Inputs'!$D$26</f>
        <v>65</v>
      </c>
      <c r="H63" s="749">
        <f>D63*E63+F63*G63</f>
        <v>1590</v>
      </c>
      <c r="I63" s="197">
        <f>'Arable NPV'!$E143</f>
        <v>220</v>
      </c>
      <c r="J63" s="197">
        <f>H63+I63</f>
        <v>1810</v>
      </c>
      <c r="K63" s="197">
        <f>'Arable NPV'!$G143</f>
        <v>684.46423508399835</v>
      </c>
      <c r="L63" s="197">
        <f>'Arable NPV'!$H143</f>
        <v>841.31999999999994</v>
      </c>
      <c r="M63" s="197">
        <f>K63+L63</f>
        <v>1525.7842350839983</v>
      </c>
      <c r="N63" s="197">
        <f t="shared" ref="N63:N78" si="156">H63-M63</f>
        <v>64.215764916001717</v>
      </c>
      <c r="O63" s="197">
        <f t="shared" ref="O63:O78" si="157">J63-M63</f>
        <v>284.21576491600172</v>
      </c>
      <c r="P63" s="1016">
        <f>H63/(1+$B$4)^(B63-1)</f>
        <v>1590</v>
      </c>
      <c r="Q63" s="213">
        <f>I63/(1+$B$4)^(B63-1)</f>
        <v>220</v>
      </c>
      <c r="R63" s="213">
        <f>M63/(1+$B$4)^(B63-1)</f>
        <v>1525.7842350839983</v>
      </c>
      <c r="S63" s="213">
        <f>N63/(1+$B$4)^(B63-1)</f>
        <v>64.215764916001717</v>
      </c>
      <c r="T63" s="908">
        <f>O63/(1+$B$4)^(B63-1)</f>
        <v>284.21576491600172</v>
      </c>
      <c r="U63" s="196">
        <f>P63</f>
        <v>1590</v>
      </c>
      <c r="V63" s="197">
        <f>Q63</f>
        <v>220</v>
      </c>
      <c r="W63" s="197">
        <f>R63</f>
        <v>1525.7842350839983</v>
      </c>
      <c r="X63" s="197">
        <f>S63</f>
        <v>64.215764916001717</v>
      </c>
      <c r="Y63" s="199">
        <f>T63</f>
        <v>284.21576491600172</v>
      </c>
      <c r="AB63" s="880">
        <v>1</v>
      </c>
      <c r="AC63" s="883" t="s">
        <v>4</v>
      </c>
      <c r="AD63" s="747">
        <f>'Arable Inputs'!$D$18</f>
        <v>8.25</v>
      </c>
      <c r="AE63" s="747">
        <f>'Arable Inputs'!$D$25+0.5*'Arable Inputs'!$D$25</f>
        <v>243</v>
      </c>
      <c r="AF63" s="747">
        <f>'Arable Inputs'!$D$19</f>
        <v>3.9</v>
      </c>
      <c r="AG63" s="747">
        <f>'Arable Inputs'!$D$26+0.5*'Arable Inputs'!$D$26</f>
        <v>97.5</v>
      </c>
      <c r="AH63" s="749">
        <f>AD63*AE63+AF63*AG63</f>
        <v>2385</v>
      </c>
      <c r="AI63" s="197">
        <f>'Arable NPV'!$E143</f>
        <v>220</v>
      </c>
      <c r="AJ63" s="197">
        <f>AH63+AI63</f>
        <v>2605</v>
      </c>
      <c r="AK63" s="197">
        <f>'Arable NPV'!$G143</f>
        <v>684.46423508399835</v>
      </c>
      <c r="AL63" s="197">
        <f>'Arable NPV'!$H143</f>
        <v>841.31999999999994</v>
      </c>
      <c r="AM63" s="197">
        <f t="shared" ref="AM63:AM78" si="158">AK63+AL63</f>
        <v>1525.7842350839983</v>
      </c>
      <c r="AN63" s="197">
        <f t="shared" ref="AN63:AN78" si="159">AH63-AM63</f>
        <v>859.21576491600172</v>
      </c>
      <c r="AO63" s="197">
        <f t="shared" ref="AO63:AO78" si="160">AJ63-AM63</f>
        <v>1079.2157649160017</v>
      </c>
      <c r="AP63" s="1016">
        <f>AH63/(1+$B$4)^(AB63-1)</f>
        <v>2385</v>
      </c>
      <c r="AQ63" s="213">
        <f>AI63/(1+$B$4)^(AB63-1)</f>
        <v>220</v>
      </c>
      <c r="AR63" s="213">
        <f>AM63/(1+$B$4)^(AB63-1)</f>
        <v>1525.7842350839983</v>
      </c>
      <c r="AS63" s="213">
        <f>AN63/(1+$B$4)^(AB63-1)</f>
        <v>859.21576491600172</v>
      </c>
      <c r="AT63" s="908">
        <f>AO63/(1+$B$4)^(AB63-1)</f>
        <v>1079.2157649160017</v>
      </c>
      <c r="AU63" s="196">
        <f>AP63</f>
        <v>2385</v>
      </c>
      <c r="AV63" s="197">
        <f>AQ63</f>
        <v>220</v>
      </c>
      <c r="AW63" s="197">
        <f>AR63</f>
        <v>1525.7842350839983</v>
      </c>
      <c r="AX63" s="197">
        <f>AS63</f>
        <v>859.21576491600172</v>
      </c>
      <c r="AY63" s="199">
        <f>AT63</f>
        <v>1079.2157649160017</v>
      </c>
      <c r="BB63" s="880">
        <v>1</v>
      </c>
      <c r="BC63" s="883" t="s">
        <v>4</v>
      </c>
      <c r="BD63" s="747">
        <f>'Arable Inputs'!$D$18</f>
        <v>8.25</v>
      </c>
      <c r="BE63" s="747">
        <f>'Arable Inputs'!$D$25-0.5*'Arable Inputs'!$D$25</f>
        <v>81</v>
      </c>
      <c r="BF63" s="747">
        <f>'Arable Inputs'!$D$19</f>
        <v>3.9</v>
      </c>
      <c r="BG63" s="747">
        <f>'Arable Inputs'!$D$26-0.5*'Arable Inputs'!$D$26</f>
        <v>32.5</v>
      </c>
      <c r="BH63" s="749">
        <f>BD63*BE63+BF63*BG63</f>
        <v>795</v>
      </c>
      <c r="BI63" s="197">
        <f>'Arable NPV'!$E143</f>
        <v>220</v>
      </c>
      <c r="BJ63" s="197">
        <f t="shared" ref="BJ63:BJ78" si="161">BH63+BI63</f>
        <v>1015</v>
      </c>
      <c r="BK63" s="197">
        <f>'Arable NPV'!$G143</f>
        <v>684.46423508399835</v>
      </c>
      <c r="BL63" s="197">
        <f>'Arable NPV'!$H143</f>
        <v>841.31999999999994</v>
      </c>
      <c r="BM63" s="197">
        <f>BK63+BL63</f>
        <v>1525.7842350839983</v>
      </c>
      <c r="BN63" s="197">
        <f t="shared" ref="BN63:BN78" si="162">BH63-BM63</f>
        <v>-730.78423508399828</v>
      </c>
      <c r="BO63" s="197">
        <f>BJ63-BM63</f>
        <v>-510.78423508399828</v>
      </c>
      <c r="BP63" s="1016">
        <f>BH63/(1+$B$4)^(BB63-1)</f>
        <v>795</v>
      </c>
      <c r="BQ63" s="213">
        <f>BI63/(1+$B$4)^(BB63-1)</f>
        <v>220</v>
      </c>
      <c r="BR63" s="213">
        <f>BM63/(1+$B$4)^(BB63-1)</f>
        <v>1525.7842350839983</v>
      </c>
      <c r="BS63" s="213">
        <f>BN63/(1+$B$4)^(BB63-1)</f>
        <v>-730.78423508399828</v>
      </c>
      <c r="BT63" s="908">
        <f>BO63/(1+$B$4)^(BB63-1)</f>
        <v>-510.78423508399828</v>
      </c>
      <c r="BU63" s="196">
        <f>BP63</f>
        <v>795</v>
      </c>
      <c r="BV63" s="197">
        <f>BQ63</f>
        <v>220</v>
      </c>
      <c r="BW63" s="197">
        <f>BR63</f>
        <v>1525.7842350839983</v>
      </c>
      <c r="BX63" s="197">
        <f>BS63</f>
        <v>-730.78423508399828</v>
      </c>
      <c r="BY63" s="199">
        <f>BT63</f>
        <v>-510.78423508399828</v>
      </c>
      <c r="CB63" s="880">
        <v>1</v>
      </c>
      <c r="CC63" s="883" t="s">
        <v>4</v>
      </c>
      <c r="CD63" s="747">
        <f>'Arable Inputs'!$D$18</f>
        <v>8.25</v>
      </c>
      <c r="CE63" s="747">
        <f>'Arable Inputs'!$D$25+'Arable Inputs'!$D$25</f>
        <v>324</v>
      </c>
      <c r="CF63" s="747">
        <f>'Arable Inputs'!$D$19</f>
        <v>3.9</v>
      </c>
      <c r="CG63" s="747">
        <f>'Arable Inputs'!$D$26+'Arable Inputs'!$D$26</f>
        <v>130</v>
      </c>
      <c r="CH63" s="749">
        <f>CD63*CE63+CF63*CG63</f>
        <v>3180</v>
      </c>
      <c r="CI63" s="197">
        <f>'Arable NPV'!$E143</f>
        <v>220</v>
      </c>
      <c r="CJ63" s="197">
        <f>CH63+CI63</f>
        <v>3400</v>
      </c>
      <c r="CK63" s="197">
        <f>'Arable NPV'!$G143</f>
        <v>684.46423508399835</v>
      </c>
      <c r="CL63" s="197">
        <f>'Arable NPV'!$H143</f>
        <v>841.31999999999994</v>
      </c>
      <c r="CM63" s="197">
        <f>CK63+CL63</f>
        <v>1525.7842350839983</v>
      </c>
      <c r="CN63" s="197">
        <f>CH63-CM63</f>
        <v>1654.2157649160017</v>
      </c>
      <c r="CO63" s="197">
        <f>CJ63-CM63</f>
        <v>1874.2157649160017</v>
      </c>
      <c r="CP63" s="1016">
        <f>CH63/(1+$B$4)^(CB63-1)</f>
        <v>3180</v>
      </c>
      <c r="CQ63" s="213">
        <f>CI63/(1+$B$4)^(CB63-1)</f>
        <v>220</v>
      </c>
      <c r="CR63" s="213">
        <f>CM63/(1+$B$4)^(CB63-1)</f>
        <v>1525.7842350839983</v>
      </c>
      <c r="CS63" s="213">
        <f>CN63/(1+$B$4)^(CB63-1)</f>
        <v>1654.2157649160017</v>
      </c>
      <c r="CT63" s="908">
        <f>CO63/(1+$B$4)^(CB63-1)</f>
        <v>1874.2157649160017</v>
      </c>
      <c r="CU63" s="196">
        <f>CP63</f>
        <v>3180</v>
      </c>
      <c r="CV63" s="197">
        <f>CQ63</f>
        <v>220</v>
      </c>
      <c r="CW63" s="197">
        <f>CR63</f>
        <v>1525.7842350839983</v>
      </c>
      <c r="CX63" s="197">
        <f>CS63</f>
        <v>1654.2157649160017</v>
      </c>
      <c r="CY63" s="199">
        <f>CT63</f>
        <v>1874.2157649160017</v>
      </c>
      <c r="DB63" s="204">
        <v>1</v>
      </c>
      <c r="DC63" s="883" t="s">
        <v>4</v>
      </c>
      <c r="DD63" s="747">
        <f>'Arable Inputs'!$D$18</f>
        <v>8.25</v>
      </c>
      <c r="DE63" s="747">
        <f>'Arable Inputs'!$D$25-'Arable Inputs'!$D$25</f>
        <v>0</v>
      </c>
      <c r="DF63" s="747">
        <f>'Arable Inputs'!$D$19</f>
        <v>3.9</v>
      </c>
      <c r="DG63" s="747">
        <f>'Arable Inputs'!$D$26-'Arable Inputs'!$D$26</f>
        <v>0</v>
      </c>
      <c r="DH63" s="749">
        <f>DD63*DE63+DF63*DG63</f>
        <v>0</v>
      </c>
      <c r="DI63" s="197">
        <f>'Arable NPV'!$E143</f>
        <v>220</v>
      </c>
      <c r="DJ63" s="197">
        <f>DH63+DI63</f>
        <v>220</v>
      </c>
      <c r="DK63" s="197">
        <f>'Arable NPV'!$G143</f>
        <v>684.46423508399835</v>
      </c>
      <c r="DL63" s="197">
        <f>'Arable NPV'!$H143</f>
        <v>841.31999999999994</v>
      </c>
      <c r="DM63" s="197">
        <f>DK63+DL63</f>
        <v>1525.7842350839983</v>
      </c>
      <c r="DN63" s="197">
        <f>DH63-DM63</f>
        <v>-1525.7842350839983</v>
      </c>
      <c r="DO63" s="197">
        <f>DJ63-DM63</f>
        <v>-1305.7842350839983</v>
      </c>
      <c r="DP63" s="1016">
        <f>DH63/(1+$B$4)^(DB63-1)</f>
        <v>0</v>
      </c>
      <c r="DQ63" s="213">
        <f>DI63/(1+$B$4)^(DB63-1)</f>
        <v>220</v>
      </c>
      <c r="DR63" s="213">
        <f>DM63/(1+$B$4)^(DB63-1)</f>
        <v>1525.7842350839983</v>
      </c>
      <c r="DS63" s="213">
        <f>DN63/(1+$B$4)^(DB63-1)</f>
        <v>-1525.7842350839983</v>
      </c>
      <c r="DT63" s="908">
        <f>DO63/(1+$B$4)^(DB63-1)</f>
        <v>-1305.7842350839983</v>
      </c>
      <c r="DU63" s="196">
        <f>DP63</f>
        <v>0</v>
      </c>
      <c r="DV63" s="197">
        <f>DQ63</f>
        <v>220</v>
      </c>
      <c r="DW63" s="197">
        <f>DR63</f>
        <v>1525.7842350839983</v>
      </c>
      <c r="DX63" s="197">
        <f>DS63</f>
        <v>-1525.7842350839983</v>
      </c>
      <c r="DY63" s="199">
        <f>DT63</f>
        <v>-1305.7842350839983</v>
      </c>
    </row>
    <row r="64" spans="2:178" x14ac:dyDescent="0.3">
      <c r="B64" s="881">
        <v>2</v>
      </c>
      <c r="C64" s="883" t="s">
        <v>7</v>
      </c>
      <c r="D64" s="747">
        <f>'Arable Inputs'!$G$18</f>
        <v>78</v>
      </c>
      <c r="E64" s="747">
        <f>'Arable Inputs'!$G$25</f>
        <v>27.16</v>
      </c>
      <c r="H64" s="749">
        <f>D64*E64</f>
        <v>2118.48</v>
      </c>
      <c r="I64" s="197">
        <f>'Arable NPV'!$E144</f>
        <v>220</v>
      </c>
      <c r="J64" s="197">
        <f t="shared" ref="J64:J78" si="163">H64+I64</f>
        <v>2338.48</v>
      </c>
      <c r="K64" s="197">
        <f>'Arable NPV'!$G144</f>
        <v>793.83573723279574</v>
      </c>
      <c r="L64" s="197">
        <f>'Arable NPV'!$H144</f>
        <v>841.03</v>
      </c>
      <c r="M64" s="197">
        <f t="shared" ref="M64:M78" si="164">K64+L64</f>
        <v>1634.8657372327957</v>
      </c>
      <c r="N64" s="197">
        <f t="shared" si="156"/>
        <v>483.61426276720431</v>
      </c>
      <c r="O64" s="197">
        <f t="shared" si="157"/>
        <v>703.61426276720431</v>
      </c>
      <c r="P64" s="196">
        <f t="shared" ref="P64:P78" si="165">H64/(1+$B$4)^(B64-1)</f>
        <v>2037</v>
      </c>
      <c r="Q64" s="197">
        <f t="shared" ref="Q64:Q78" si="166">I64/(1+$B$4)^(B64-1)</f>
        <v>211.53846153846152</v>
      </c>
      <c r="R64" s="197">
        <f t="shared" ref="R64:R78" si="167">M64/(1+$B$4)^(B64-1)</f>
        <v>1571.986285800765</v>
      </c>
      <c r="S64" s="197">
        <f t="shared" ref="S64:S78" si="168">N64/(1+$B$4)^(B64-1)</f>
        <v>465.01371419923487</v>
      </c>
      <c r="T64" s="199">
        <f t="shared" ref="T64:T78" si="169">O64/(1+$B$4)^(B64-1)</f>
        <v>676.55217573769642</v>
      </c>
      <c r="U64" s="196">
        <f t="shared" ref="U64:U78" si="170">U63+P64</f>
        <v>3627</v>
      </c>
      <c r="V64" s="197">
        <f t="shared" ref="V64:V78" si="171">V63+Q64</f>
        <v>431.53846153846155</v>
      </c>
      <c r="W64" s="197">
        <f t="shared" ref="W64:W78" si="172">W63+R64</f>
        <v>3097.7705208847633</v>
      </c>
      <c r="X64" s="197">
        <f t="shared" ref="X64:X78" si="173">X63+S64</f>
        <v>529.22947911523659</v>
      </c>
      <c r="Y64" s="199">
        <f t="shared" ref="Y64:Y78" si="174">Y63+T64</f>
        <v>960.76794065369813</v>
      </c>
      <c r="AB64" s="881">
        <v>2</v>
      </c>
      <c r="AC64" s="883" t="s">
        <v>7</v>
      </c>
      <c r="AD64" s="747">
        <f>'Arable Inputs'!$G$18</f>
        <v>78</v>
      </c>
      <c r="AE64" s="747">
        <f>'Arable Inputs'!$G$25+0.5*'Arable Inputs'!$G$25</f>
        <v>40.74</v>
      </c>
      <c r="AH64" s="749">
        <f>AD64*AE64</f>
        <v>3177.7200000000003</v>
      </c>
      <c r="AI64" s="197">
        <f>'Arable NPV'!$E144</f>
        <v>220</v>
      </c>
      <c r="AJ64" s="197">
        <f t="shared" ref="AJ64:AJ78" si="175">AH64+AI64</f>
        <v>3397.7200000000003</v>
      </c>
      <c r="AK64" s="197">
        <f>'Arable NPV'!$G144</f>
        <v>793.83573723279574</v>
      </c>
      <c r="AL64" s="197">
        <f>'Arable NPV'!$H144</f>
        <v>841.03</v>
      </c>
      <c r="AM64" s="197">
        <f t="shared" si="158"/>
        <v>1634.8657372327957</v>
      </c>
      <c r="AN64" s="197">
        <f t="shared" si="159"/>
        <v>1542.8542627672045</v>
      </c>
      <c r="AO64" s="197">
        <f t="shared" si="160"/>
        <v>1762.8542627672045</v>
      </c>
      <c r="AP64" s="196">
        <f t="shared" ref="AP64:AP78" si="176">AH64/(1+$B$4)^(AB64-1)</f>
        <v>3055.5</v>
      </c>
      <c r="AQ64" s="197">
        <f t="shared" ref="AQ64:AQ78" si="177">AI64/(1+$B$4)^(AB64-1)</f>
        <v>211.53846153846152</v>
      </c>
      <c r="AR64" s="197">
        <f t="shared" ref="AR64:AR78" si="178">AM64/(1+$B$4)^(AB64-1)</f>
        <v>1571.986285800765</v>
      </c>
      <c r="AS64" s="197">
        <f t="shared" ref="AS64:AS78" si="179">AN64/(1+$B$4)^(AB64-1)</f>
        <v>1483.513714199235</v>
      </c>
      <c r="AT64" s="199">
        <f t="shared" ref="AT64:AT78" si="180">AO64/(1+$B$4)^(AB64-1)</f>
        <v>1695.0521757376966</v>
      </c>
      <c r="AU64" s="196">
        <f t="shared" ref="AU64:AU78" si="181">AU63+AP64</f>
        <v>5440.5</v>
      </c>
      <c r="AV64" s="197">
        <f t="shared" ref="AV64:AV78" si="182">AV63+AQ64</f>
        <v>431.53846153846155</v>
      </c>
      <c r="AW64" s="197">
        <f t="shared" ref="AW64:AW78" si="183">AW63+AR64</f>
        <v>3097.7705208847633</v>
      </c>
      <c r="AX64" s="197">
        <f t="shared" ref="AX64:AX78" si="184">AX63+AS64</f>
        <v>2342.7294791152367</v>
      </c>
      <c r="AY64" s="199">
        <f t="shared" ref="AY64:AY78" si="185">AY63+AT64</f>
        <v>2774.2679406536981</v>
      </c>
      <c r="BB64" s="881">
        <v>2</v>
      </c>
      <c r="BC64" s="883" t="s">
        <v>7</v>
      </c>
      <c r="BD64" s="747">
        <f>'Arable Inputs'!$G$18</f>
        <v>78</v>
      </c>
      <c r="BE64" s="747">
        <f>'Arable Inputs'!$G$25-0.5*'Arable Inputs'!$G$25</f>
        <v>13.58</v>
      </c>
      <c r="BH64" s="749">
        <f>BD64*BE64</f>
        <v>1059.24</v>
      </c>
      <c r="BI64" s="197">
        <f>'Arable NPV'!$E144</f>
        <v>220</v>
      </c>
      <c r="BJ64" s="197">
        <f t="shared" si="161"/>
        <v>1279.24</v>
      </c>
      <c r="BK64" s="197">
        <f>'Arable NPV'!$G144</f>
        <v>793.83573723279574</v>
      </c>
      <c r="BL64" s="197">
        <f>'Arable NPV'!$H144</f>
        <v>841.03</v>
      </c>
      <c r="BM64" s="197">
        <f t="shared" ref="BM64:BM77" si="186">BK64+BL64</f>
        <v>1634.8657372327957</v>
      </c>
      <c r="BN64" s="197">
        <f t="shared" si="162"/>
        <v>-575.6257372327957</v>
      </c>
      <c r="BO64" s="197">
        <f t="shared" ref="BO64:BO78" si="187">BJ64-BM64</f>
        <v>-355.6257372327957</v>
      </c>
      <c r="BP64" s="196">
        <f t="shared" ref="BP64:BP78" si="188">BH64/(1+$B$4)^(BB64-1)</f>
        <v>1018.5</v>
      </c>
      <c r="BQ64" s="197">
        <f t="shared" ref="BQ64:BQ78" si="189">BI64/(1+$B$4)^(BB64-1)</f>
        <v>211.53846153846152</v>
      </c>
      <c r="BR64" s="197">
        <f t="shared" ref="BR64:BR78" si="190">BM64/(1+$B$4)^(BB64-1)</f>
        <v>1571.986285800765</v>
      </c>
      <c r="BS64" s="197">
        <f t="shared" ref="BS64:BS78" si="191">BN64/(1+$B$4)^(BB64-1)</f>
        <v>-553.48628580076513</v>
      </c>
      <c r="BT64" s="199">
        <f t="shared" ref="BT64:BT77" si="192">BO64/(1+$B$4)^(BB64-1)</f>
        <v>-341.94782426230353</v>
      </c>
      <c r="BU64" s="196">
        <f t="shared" ref="BU64:BU78" si="193">BU63+BP64</f>
        <v>1813.5</v>
      </c>
      <c r="BV64" s="197">
        <f t="shared" ref="BV64:BV78" si="194">BV63+BQ64</f>
        <v>431.53846153846155</v>
      </c>
      <c r="BW64" s="197">
        <f t="shared" ref="BW64:BW78" si="195">BW63+BR64</f>
        <v>3097.7705208847633</v>
      </c>
      <c r="BX64" s="197">
        <f t="shared" ref="BX64:BX78" si="196">BX63+BS64</f>
        <v>-1284.2705208847633</v>
      </c>
      <c r="BY64" s="199">
        <f t="shared" ref="BY64:BY78" si="197">BY63+BT64</f>
        <v>-852.73205934630187</v>
      </c>
      <c r="CB64" s="881">
        <v>2</v>
      </c>
      <c r="CC64" s="883" t="s">
        <v>7</v>
      </c>
      <c r="CD64" s="747">
        <f>'Arable Inputs'!$G$18</f>
        <v>78</v>
      </c>
      <c r="CE64" s="747">
        <f>'Arable Inputs'!$G$25+'Arable Inputs'!$G$25</f>
        <v>54.32</v>
      </c>
      <c r="CH64" s="749">
        <f>CD64*CE64</f>
        <v>4236.96</v>
      </c>
      <c r="CI64" s="197">
        <f>'Arable NPV'!$E144</f>
        <v>220</v>
      </c>
      <c r="CJ64" s="197">
        <f t="shared" ref="CJ64:CJ78" si="198">CH64+CI64</f>
        <v>4456.96</v>
      </c>
      <c r="CK64" s="197">
        <f>'Arable NPV'!$G144</f>
        <v>793.83573723279574</v>
      </c>
      <c r="CL64" s="197">
        <f>'Arable NPV'!$H144</f>
        <v>841.03</v>
      </c>
      <c r="CM64" s="197">
        <f t="shared" ref="CM64:CM78" si="199">CK64+CL64</f>
        <v>1634.8657372327957</v>
      </c>
      <c r="CN64" s="197">
        <f t="shared" ref="CN64:CN78" si="200">CH64-CM64</f>
        <v>2602.0942627672043</v>
      </c>
      <c r="CO64" s="197">
        <f t="shared" ref="CO64:CO78" si="201">CJ64-CM64</f>
        <v>2822.0942627672043</v>
      </c>
      <c r="CP64" s="196">
        <f t="shared" ref="CP64:CP78" si="202">CH64/(1+$B$4)^(CB64-1)</f>
        <v>4074</v>
      </c>
      <c r="CQ64" s="197">
        <f t="shared" ref="CQ64:CQ78" si="203">CI64/(1+$B$4)^(CB64-1)</f>
        <v>211.53846153846152</v>
      </c>
      <c r="CR64" s="197">
        <f t="shared" ref="CR64:CR78" si="204">CM64/(1+$B$4)^(CB64-1)</f>
        <v>1571.986285800765</v>
      </c>
      <c r="CS64" s="197">
        <f t="shared" ref="CS64:CS78" si="205">CN64/(1+$B$4)^(CB64-1)</f>
        <v>2502.013714199235</v>
      </c>
      <c r="CT64" s="199">
        <f t="shared" ref="CT64:CT77" si="206">CO64/(1+$B$4)^(CB64-1)</f>
        <v>2713.5521757376964</v>
      </c>
      <c r="CU64" s="196">
        <f t="shared" ref="CU64:CU78" si="207">CU63+CP64</f>
        <v>7254</v>
      </c>
      <c r="CV64" s="197">
        <f t="shared" ref="CV64:CV78" si="208">CV63+CQ64</f>
        <v>431.53846153846155</v>
      </c>
      <c r="CW64" s="197">
        <f t="shared" ref="CW64:CW78" si="209">CW63+CR64</f>
        <v>3097.7705208847633</v>
      </c>
      <c r="CX64" s="197">
        <f t="shared" ref="CX64:CX78" si="210">CX63+CS64</f>
        <v>4156.2294791152362</v>
      </c>
      <c r="CY64" s="199">
        <f t="shared" ref="CY64:CY78" si="211">CY63+CT64</f>
        <v>4587.7679406536981</v>
      </c>
      <c r="DB64" s="204">
        <v>2</v>
      </c>
      <c r="DC64" s="883" t="s">
        <v>7</v>
      </c>
      <c r="DD64" s="747">
        <f>'Arable Inputs'!$G$18</f>
        <v>78</v>
      </c>
      <c r="DE64" s="747">
        <f>'Arable Inputs'!$G$25-'Arable Inputs'!$G$25</f>
        <v>0</v>
      </c>
      <c r="DH64" s="749">
        <f>DD64*DE64</f>
        <v>0</v>
      </c>
      <c r="DI64" s="197">
        <f>'Arable NPV'!$E144</f>
        <v>220</v>
      </c>
      <c r="DJ64" s="197">
        <f t="shared" ref="DJ64:DJ78" si="212">DH64+DI64</f>
        <v>220</v>
      </c>
      <c r="DK64" s="197">
        <f>'Arable NPV'!$G144</f>
        <v>793.83573723279574</v>
      </c>
      <c r="DL64" s="197">
        <f>'Arable NPV'!$H144</f>
        <v>841.03</v>
      </c>
      <c r="DM64" s="197">
        <f t="shared" ref="DM64:DM78" si="213">DK64+DL64</f>
        <v>1634.8657372327957</v>
      </c>
      <c r="DN64" s="197">
        <f t="shared" ref="DN64:DN78" si="214">DH64-DM64</f>
        <v>-1634.8657372327957</v>
      </c>
      <c r="DO64" s="197">
        <f t="shared" ref="DO64:DO78" si="215">DJ64-DM64</f>
        <v>-1414.8657372327957</v>
      </c>
      <c r="DP64" s="196">
        <f t="shared" ref="DP64:DP78" si="216">DH64/(1+$B$4)^(DB64-1)</f>
        <v>0</v>
      </c>
      <c r="DQ64" s="197">
        <f t="shared" ref="DQ64:DQ78" si="217">DI64/(1+$B$4)^(DB64-1)</f>
        <v>211.53846153846152</v>
      </c>
      <c r="DR64" s="197">
        <f t="shared" ref="DR64:DR78" si="218">DM64/(1+$B$4)^(DB64-1)</f>
        <v>1571.986285800765</v>
      </c>
      <c r="DS64" s="197">
        <f t="shared" ref="DS64:DS78" si="219">DN64/(1+$B$4)^(DB64-1)</f>
        <v>-1571.986285800765</v>
      </c>
      <c r="DT64" s="199">
        <f t="shared" ref="DT64:DT77" si="220">DO64/(1+$B$4)^(DB64-1)</f>
        <v>-1360.4478242623036</v>
      </c>
      <c r="DU64" s="196">
        <f t="shared" ref="DU64:DU78" si="221">DU63+DP64</f>
        <v>0</v>
      </c>
      <c r="DV64" s="197">
        <f t="shared" ref="DV64:DV78" si="222">DV63+DQ64</f>
        <v>431.53846153846155</v>
      </c>
      <c r="DW64" s="197">
        <f t="shared" ref="DW64:DW78" si="223">DW63+DR64</f>
        <v>3097.7705208847633</v>
      </c>
      <c r="DX64" s="197">
        <f t="shared" ref="DX64:DX78" si="224">DX63+DS64</f>
        <v>-3097.7705208847633</v>
      </c>
      <c r="DY64" s="199">
        <f t="shared" ref="DY64:DY78" si="225">DY63+DT64</f>
        <v>-2666.2320593463019</v>
      </c>
    </row>
    <row r="65" spans="2:129" x14ac:dyDescent="0.3">
      <c r="B65" s="881">
        <v>3</v>
      </c>
      <c r="C65" s="883" t="s">
        <v>260</v>
      </c>
      <c r="D65" s="747">
        <f>'Arable Inputs'!$H$18</f>
        <v>12</v>
      </c>
      <c r="E65" s="747">
        <f>'Arable Inputs'!$H$25</f>
        <v>107.1</v>
      </c>
      <c r="H65" s="749">
        <f>D65*E65</f>
        <v>1285.1999999999998</v>
      </c>
      <c r="I65" s="197">
        <f>'Arable NPV'!$E145</f>
        <v>220</v>
      </c>
      <c r="J65" s="197">
        <f t="shared" si="163"/>
        <v>1505.1999999999998</v>
      </c>
      <c r="K65" s="197">
        <f>'Arable NPV'!$G145</f>
        <v>528.51499999999999</v>
      </c>
      <c r="L65" s="197">
        <f>'Arable NPV'!$H145</f>
        <v>552.40000000000009</v>
      </c>
      <c r="M65" s="197">
        <f t="shared" si="164"/>
        <v>1080.915</v>
      </c>
      <c r="N65" s="197">
        <f t="shared" si="156"/>
        <v>204.28499999999985</v>
      </c>
      <c r="O65" s="197">
        <f t="shared" si="157"/>
        <v>424.28499999999985</v>
      </c>
      <c r="P65" s="196">
        <f t="shared" si="165"/>
        <v>1188.2396449704138</v>
      </c>
      <c r="Q65" s="197">
        <f t="shared" si="166"/>
        <v>203.40236686390531</v>
      </c>
      <c r="R65" s="197">
        <f t="shared" si="167"/>
        <v>999.36667899408269</v>
      </c>
      <c r="S65" s="197">
        <f t="shared" si="168"/>
        <v>188.87296597633122</v>
      </c>
      <c r="T65" s="199">
        <f t="shared" si="169"/>
        <v>392.2753328402365</v>
      </c>
      <c r="U65" s="196">
        <f t="shared" si="170"/>
        <v>4815.2396449704138</v>
      </c>
      <c r="V65" s="197">
        <f t="shared" si="171"/>
        <v>634.94082840236683</v>
      </c>
      <c r="W65" s="197">
        <f t="shared" si="172"/>
        <v>4097.1371998788463</v>
      </c>
      <c r="X65" s="197">
        <f t="shared" si="173"/>
        <v>718.1024450915678</v>
      </c>
      <c r="Y65" s="199">
        <f t="shared" si="174"/>
        <v>1353.0432734939345</v>
      </c>
      <c r="AB65" s="881">
        <v>3</v>
      </c>
      <c r="AC65" s="883" t="s">
        <v>31</v>
      </c>
      <c r="AD65" s="747">
        <f>'Arable Inputs'!$H$18</f>
        <v>12</v>
      </c>
      <c r="AE65" s="747">
        <f>'Arable Inputs'!$H$25+0.5*'Arable Inputs'!$H$25</f>
        <v>160.64999999999998</v>
      </c>
      <c r="AH65" s="749">
        <f>AD65*AE65</f>
        <v>1927.7999999999997</v>
      </c>
      <c r="AI65" s="197">
        <f>'Arable NPV'!$E145</f>
        <v>220</v>
      </c>
      <c r="AJ65" s="197">
        <f t="shared" si="175"/>
        <v>2147.7999999999997</v>
      </c>
      <c r="AK65" s="197">
        <f>'Arable NPV'!$G145</f>
        <v>528.51499999999999</v>
      </c>
      <c r="AL65" s="197">
        <f>'Arable NPV'!$H145</f>
        <v>552.40000000000009</v>
      </c>
      <c r="AM65" s="197">
        <f t="shared" si="158"/>
        <v>1080.915</v>
      </c>
      <c r="AN65" s="197">
        <f t="shared" si="159"/>
        <v>846.88499999999976</v>
      </c>
      <c r="AO65" s="197">
        <f t="shared" si="160"/>
        <v>1066.8849999999998</v>
      </c>
      <c r="AP65" s="196">
        <f t="shared" si="176"/>
        <v>1782.3594674556209</v>
      </c>
      <c r="AQ65" s="197">
        <f t="shared" si="177"/>
        <v>203.40236686390531</v>
      </c>
      <c r="AR65" s="197">
        <f t="shared" si="178"/>
        <v>999.36667899408269</v>
      </c>
      <c r="AS65" s="197">
        <f t="shared" si="179"/>
        <v>782.99278846153811</v>
      </c>
      <c r="AT65" s="199">
        <f t="shared" si="180"/>
        <v>986.39515532544351</v>
      </c>
      <c r="AU65" s="196">
        <f t="shared" si="181"/>
        <v>7222.8594674556207</v>
      </c>
      <c r="AV65" s="197">
        <f t="shared" si="182"/>
        <v>634.94082840236683</v>
      </c>
      <c r="AW65" s="197">
        <f t="shared" si="183"/>
        <v>4097.1371998788463</v>
      </c>
      <c r="AX65" s="197">
        <f t="shared" si="184"/>
        <v>3125.7222675767748</v>
      </c>
      <c r="AY65" s="199">
        <f t="shared" si="185"/>
        <v>3760.6630959791419</v>
      </c>
      <c r="BB65" s="881">
        <v>3</v>
      </c>
      <c r="BC65" s="883" t="s">
        <v>31</v>
      </c>
      <c r="BD65" s="747">
        <f>'Arable Inputs'!$H$18</f>
        <v>12</v>
      </c>
      <c r="BE65" s="747">
        <f>'Arable Inputs'!$H$25-0.5*'Arable Inputs'!$H$25</f>
        <v>53.55</v>
      </c>
      <c r="BH65" s="749">
        <f>BD65*BE65</f>
        <v>642.59999999999991</v>
      </c>
      <c r="BI65" s="197">
        <f>'Arable NPV'!$E145</f>
        <v>220</v>
      </c>
      <c r="BJ65" s="197">
        <f t="shared" si="161"/>
        <v>862.59999999999991</v>
      </c>
      <c r="BK65" s="197">
        <f>'Arable NPV'!$G145</f>
        <v>528.51499999999999</v>
      </c>
      <c r="BL65" s="197">
        <f>'Arable NPV'!$H145</f>
        <v>552.40000000000009</v>
      </c>
      <c r="BM65" s="197">
        <f t="shared" si="186"/>
        <v>1080.915</v>
      </c>
      <c r="BN65" s="197">
        <f t="shared" si="162"/>
        <v>-438.31500000000005</v>
      </c>
      <c r="BO65" s="197">
        <f t="shared" si="187"/>
        <v>-218.31500000000005</v>
      </c>
      <c r="BP65" s="196">
        <f t="shared" si="188"/>
        <v>594.1198224852069</v>
      </c>
      <c r="BQ65" s="197">
        <f t="shared" si="189"/>
        <v>203.40236686390531</v>
      </c>
      <c r="BR65" s="197">
        <f t="shared" si="190"/>
        <v>999.36667899408269</v>
      </c>
      <c r="BS65" s="197">
        <f t="shared" si="191"/>
        <v>-405.24685650887574</v>
      </c>
      <c r="BT65" s="199">
        <f t="shared" si="192"/>
        <v>-201.84448964497045</v>
      </c>
      <c r="BU65" s="196">
        <f t="shared" si="193"/>
        <v>2407.6198224852069</v>
      </c>
      <c r="BV65" s="197">
        <f t="shared" si="194"/>
        <v>634.94082840236683</v>
      </c>
      <c r="BW65" s="197">
        <f t="shared" si="195"/>
        <v>4097.1371998788463</v>
      </c>
      <c r="BX65" s="197">
        <f t="shared" si="196"/>
        <v>-1689.517377393639</v>
      </c>
      <c r="BY65" s="199">
        <f t="shared" si="197"/>
        <v>-1054.5765489912724</v>
      </c>
      <c r="CB65" s="881">
        <v>3</v>
      </c>
      <c r="CC65" s="883" t="s">
        <v>31</v>
      </c>
      <c r="CD65" s="747">
        <f>'Arable Inputs'!$H$18</f>
        <v>12</v>
      </c>
      <c r="CE65" s="747">
        <f>'Arable Inputs'!$H$25+'Arable Inputs'!$H$25</f>
        <v>214.2</v>
      </c>
      <c r="CH65" s="749">
        <f>CD65*CE65</f>
        <v>2570.3999999999996</v>
      </c>
      <c r="CI65" s="197">
        <f>'Arable NPV'!$E145</f>
        <v>220</v>
      </c>
      <c r="CJ65" s="197">
        <f t="shared" si="198"/>
        <v>2790.3999999999996</v>
      </c>
      <c r="CK65" s="197">
        <f>'Arable NPV'!$G145</f>
        <v>528.51499999999999</v>
      </c>
      <c r="CL65" s="197">
        <f>'Arable NPV'!$H145</f>
        <v>552.40000000000009</v>
      </c>
      <c r="CM65" s="197">
        <f t="shared" si="199"/>
        <v>1080.915</v>
      </c>
      <c r="CN65" s="197">
        <f t="shared" si="200"/>
        <v>1489.4849999999997</v>
      </c>
      <c r="CO65" s="197">
        <f t="shared" si="201"/>
        <v>1709.4849999999997</v>
      </c>
      <c r="CP65" s="196">
        <f t="shared" si="202"/>
        <v>2376.4792899408276</v>
      </c>
      <c r="CQ65" s="197">
        <f t="shared" si="203"/>
        <v>203.40236686390531</v>
      </c>
      <c r="CR65" s="197">
        <f t="shared" si="204"/>
        <v>999.36667899408269</v>
      </c>
      <c r="CS65" s="197">
        <f t="shared" si="205"/>
        <v>1377.112610946745</v>
      </c>
      <c r="CT65" s="199">
        <f t="shared" si="206"/>
        <v>1580.5149778106504</v>
      </c>
      <c r="CU65" s="196">
        <f t="shared" si="207"/>
        <v>9630.4792899408276</v>
      </c>
      <c r="CV65" s="197">
        <f t="shared" si="208"/>
        <v>634.94082840236683</v>
      </c>
      <c r="CW65" s="197">
        <f t="shared" si="209"/>
        <v>4097.1371998788463</v>
      </c>
      <c r="CX65" s="197">
        <f t="shared" si="210"/>
        <v>5533.3420900619813</v>
      </c>
      <c r="CY65" s="199">
        <f t="shared" si="211"/>
        <v>6168.2829184643488</v>
      </c>
      <c r="DB65" s="204">
        <f t="shared" ref="DB65:DB78" si="226">DB64+1</f>
        <v>3</v>
      </c>
      <c r="DC65" s="883" t="s">
        <v>31</v>
      </c>
      <c r="DD65" s="747">
        <f>'Arable Inputs'!$H$18</f>
        <v>12</v>
      </c>
      <c r="DE65" s="747">
        <f>'Arable Inputs'!$H$25-'Arable Inputs'!$H$25</f>
        <v>0</v>
      </c>
      <c r="DH65" s="749">
        <f>DD65*DE65</f>
        <v>0</v>
      </c>
      <c r="DI65" s="197">
        <f>'Arable NPV'!$E145</f>
        <v>220</v>
      </c>
      <c r="DJ65" s="197">
        <f t="shared" si="212"/>
        <v>220</v>
      </c>
      <c r="DK65" s="197">
        <f>'Arable NPV'!$G145</f>
        <v>528.51499999999999</v>
      </c>
      <c r="DL65" s="197">
        <f>'Arable NPV'!$H145</f>
        <v>552.40000000000009</v>
      </c>
      <c r="DM65" s="197">
        <f t="shared" si="213"/>
        <v>1080.915</v>
      </c>
      <c r="DN65" s="197">
        <f t="shared" si="214"/>
        <v>-1080.915</v>
      </c>
      <c r="DO65" s="197">
        <f t="shared" si="215"/>
        <v>-860.91499999999996</v>
      </c>
      <c r="DP65" s="196">
        <f t="shared" si="216"/>
        <v>0</v>
      </c>
      <c r="DQ65" s="197">
        <f t="shared" si="217"/>
        <v>203.40236686390531</v>
      </c>
      <c r="DR65" s="197">
        <f t="shared" si="218"/>
        <v>999.36667899408269</v>
      </c>
      <c r="DS65" s="197">
        <f t="shared" si="219"/>
        <v>-999.36667899408269</v>
      </c>
      <c r="DT65" s="199">
        <f t="shared" si="220"/>
        <v>-795.9643121301774</v>
      </c>
      <c r="DU65" s="196">
        <f t="shared" si="221"/>
        <v>0</v>
      </c>
      <c r="DV65" s="197">
        <f t="shared" si="222"/>
        <v>634.94082840236683</v>
      </c>
      <c r="DW65" s="197">
        <f t="shared" si="223"/>
        <v>4097.1371998788463</v>
      </c>
      <c r="DX65" s="197">
        <f t="shared" si="224"/>
        <v>-4097.1371998788463</v>
      </c>
      <c r="DY65" s="199">
        <f t="shared" si="225"/>
        <v>-3462.1963714764793</v>
      </c>
    </row>
    <row r="66" spans="2:129" x14ac:dyDescent="0.3">
      <c r="B66" s="881">
        <v>4</v>
      </c>
      <c r="C66" s="883" t="s">
        <v>6</v>
      </c>
      <c r="D66" s="747">
        <f>'Arable Inputs'!$F$18</f>
        <v>3.5</v>
      </c>
      <c r="E66" s="747">
        <f>'Arable Inputs'!$F$25</f>
        <v>335</v>
      </c>
      <c r="F66" s="747">
        <f>'Arable Inputs'!$F$19</f>
        <v>2.6</v>
      </c>
      <c r="G66" s="747">
        <f>'Arable Inputs'!$F$26</f>
        <v>37.5</v>
      </c>
      <c r="H66" s="749">
        <f>D66*E66+F66*G66</f>
        <v>1270</v>
      </c>
      <c r="I66" s="197">
        <f>'Arable NPV'!$E146</f>
        <v>220</v>
      </c>
      <c r="J66" s="197">
        <f t="shared" si="163"/>
        <v>1490</v>
      </c>
      <c r="K66" s="197">
        <f>'Arable NPV'!$G146</f>
        <v>541.75901992521074</v>
      </c>
      <c r="L66" s="197">
        <f>'Arable NPV'!$H146</f>
        <v>621.47428571428577</v>
      </c>
      <c r="M66" s="197">
        <f t="shared" si="164"/>
        <v>1163.2333056394964</v>
      </c>
      <c r="N66" s="197">
        <f t="shared" si="156"/>
        <v>106.76669436050361</v>
      </c>
      <c r="O66" s="197">
        <f t="shared" si="157"/>
        <v>326.76669436050361</v>
      </c>
      <c r="P66" s="196">
        <f t="shared" si="165"/>
        <v>1129.0253755120618</v>
      </c>
      <c r="Q66" s="197">
        <f t="shared" si="166"/>
        <v>195.57919890760127</v>
      </c>
      <c r="R66" s="197">
        <f t="shared" si="167"/>
        <v>1034.1101729982436</v>
      </c>
      <c r="S66" s="197">
        <f t="shared" si="168"/>
        <v>94.915202513818201</v>
      </c>
      <c r="T66" s="199">
        <f t="shared" si="169"/>
        <v>290.49440142141947</v>
      </c>
      <c r="U66" s="196">
        <f t="shared" si="170"/>
        <v>5944.2650204824758</v>
      </c>
      <c r="V66" s="197">
        <f t="shared" si="171"/>
        <v>830.5200273099681</v>
      </c>
      <c r="W66" s="197">
        <f t="shared" si="172"/>
        <v>5131.2473728770901</v>
      </c>
      <c r="X66" s="197">
        <f t="shared" si="173"/>
        <v>813.01764760538595</v>
      </c>
      <c r="Y66" s="199">
        <f t="shared" si="174"/>
        <v>1643.537674915354</v>
      </c>
      <c r="AB66" s="881">
        <v>4</v>
      </c>
      <c r="AC66" s="883" t="s">
        <v>6</v>
      </c>
      <c r="AD66" s="747">
        <f>'Arable Inputs'!$F$18</f>
        <v>3.5</v>
      </c>
      <c r="AE66" s="747">
        <f>'Arable Inputs'!$F$25+0.5*'Arable Inputs'!$F$25</f>
        <v>502.5</v>
      </c>
      <c r="AF66" s="747">
        <f>'Arable Inputs'!$F$19</f>
        <v>2.6</v>
      </c>
      <c r="AG66" s="747">
        <f>'Arable Inputs'!$F$26+0.5*'Arable Inputs'!$F$26</f>
        <v>56.25</v>
      </c>
      <c r="AH66" s="749">
        <f>AD66*AE66+AF66*AG66</f>
        <v>1905</v>
      </c>
      <c r="AI66" s="197">
        <f>'Arable NPV'!$E146</f>
        <v>220</v>
      </c>
      <c r="AJ66" s="197">
        <f t="shared" si="175"/>
        <v>2125</v>
      </c>
      <c r="AK66" s="197">
        <f>'Arable NPV'!$G146</f>
        <v>541.75901992521074</v>
      </c>
      <c r="AL66" s="197">
        <f>'Arable NPV'!$H146</f>
        <v>621.47428571428577</v>
      </c>
      <c r="AM66" s="197">
        <f t="shared" si="158"/>
        <v>1163.2333056394964</v>
      </c>
      <c r="AN66" s="197">
        <f t="shared" si="159"/>
        <v>741.76669436050361</v>
      </c>
      <c r="AO66" s="197">
        <f t="shared" si="160"/>
        <v>961.76669436050361</v>
      </c>
      <c r="AP66" s="196">
        <f t="shared" si="176"/>
        <v>1693.5380632680926</v>
      </c>
      <c r="AQ66" s="197">
        <f t="shared" si="177"/>
        <v>195.57919890760127</v>
      </c>
      <c r="AR66" s="197">
        <f t="shared" si="178"/>
        <v>1034.1101729982436</v>
      </c>
      <c r="AS66" s="197">
        <f t="shared" si="179"/>
        <v>659.42789026984906</v>
      </c>
      <c r="AT66" s="199">
        <f t="shared" si="180"/>
        <v>855.00708917745033</v>
      </c>
      <c r="AU66" s="196">
        <f t="shared" si="181"/>
        <v>8916.3975307237124</v>
      </c>
      <c r="AV66" s="197">
        <f t="shared" si="182"/>
        <v>830.5200273099681</v>
      </c>
      <c r="AW66" s="197">
        <f t="shared" si="183"/>
        <v>5131.2473728770901</v>
      </c>
      <c r="AX66" s="197">
        <f t="shared" si="184"/>
        <v>3785.1501578466241</v>
      </c>
      <c r="AY66" s="199">
        <f t="shared" si="185"/>
        <v>4615.6701851565922</v>
      </c>
      <c r="BB66" s="881">
        <v>4</v>
      </c>
      <c r="BC66" s="883" t="s">
        <v>6</v>
      </c>
      <c r="BD66" s="747">
        <f>'Arable Inputs'!$F$18</f>
        <v>3.5</v>
      </c>
      <c r="BE66" s="747">
        <f>'Arable Inputs'!$F$25-0.5*'Arable Inputs'!$F$25</f>
        <v>167.5</v>
      </c>
      <c r="BF66" s="747">
        <f>'Arable Inputs'!$F$19</f>
        <v>2.6</v>
      </c>
      <c r="BG66" s="747">
        <f>'Arable Inputs'!$F$26-0.5*'Arable Inputs'!$F$26</f>
        <v>18.75</v>
      </c>
      <c r="BH66" s="749">
        <f>BD66*BE66+BF66*BG66</f>
        <v>635</v>
      </c>
      <c r="BI66" s="197">
        <f>'Arable NPV'!$E146</f>
        <v>220</v>
      </c>
      <c r="BJ66" s="197">
        <f t="shared" si="161"/>
        <v>855</v>
      </c>
      <c r="BK66" s="197">
        <f>'Arable NPV'!$G146</f>
        <v>541.75901992521074</v>
      </c>
      <c r="BL66" s="197">
        <f>'Arable NPV'!$H146</f>
        <v>621.47428571428577</v>
      </c>
      <c r="BM66" s="197">
        <f t="shared" si="186"/>
        <v>1163.2333056394964</v>
      </c>
      <c r="BN66" s="197">
        <f t="shared" si="162"/>
        <v>-528.23330563949639</v>
      </c>
      <c r="BO66" s="197">
        <f t="shared" si="187"/>
        <v>-308.23330563949639</v>
      </c>
      <c r="BP66" s="196">
        <f t="shared" si="188"/>
        <v>564.51268775603091</v>
      </c>
      <c r="BQ66" s="197">
        <f t="shared" si="189"/>
        <v>195.57919890760127</v>
      </c>
      <c r="BR66" s="197">
        <f t="shared" si="190"/>
        <v>1034.1101729982436</v>
      </c>
      <c r="BS66" s="197">
        <f t="shared" si="191"/>
        <v>-469.59748524221271</v>
      </c>
      <c r="BT66" s="199">
        <f t="shared" si="192"/>
        <v>-274.01828633461145</v>
      </c>
      <c r="BU66" s="196">
        <f t="shared" si="193"/>
        <v>2972.1325102412379</v>
      </c>
      <c r="BV66" s="197">
        <f t="shared" si="194"/>
        <v>830.5200273099681</v>
      </c>
      <c r="BW66" s="197">
        <f t="shared" si="195"/>
        <v>5131.2473728770901</v>
      </c>
      <c r="BX66" s="197">
        <f t="shared" si="196"/>
        <v>-2159.1148626358518</v>
      </c>
      <c r="BY66" s="199">
        <f t="shared" si="197"/>
        <v>-1328.5948353258839</v>
      </c>
      <c r="CB66" s="881">
        <v>4</v>
      </c>
      <c r="CC66" s="883" t="s">
        <v>6</v>
      </c>
      <c r="CD66" s="747">
        <f>'Arable Inputs'!$F$18</f>
        <v>3.5</v>
      </c>
      <c r="CE66" s="747">
        <f>'Arable Inputs'!$F$25+'Arable Inputs'!$F$25</f>
        <v>670</v>
      </c>
      <c r="CF66" s="747">
        <f>'Arable Inputs'!$F$19</f>
        <v>2.6</v>
      </c>
      <c r="CG66" s="747">
        <f>'Arable Inputs'!$F$26+'Arable Inputs'!$F$26</f>
        <v>75</v>
      </c>
      <c r="CH66" s="749">
        <f>CD66*CE66+CF66*CG66</f>
        <v>2540</v>
      </c>
      <c r="CI66" s="197">
        <f>'Arable NPV'!$E146</f>
        <v>220</v>
      </c>
      <c r="CJ66" s="197">
        <f t="shared" si="198"/>
        <v>2760</v>
      </c>
      <c r="CK66" s="197">
        <f>'Arable NPV'!$G146</f>
        <v>541.75901992521074</v>
      </c>
      <c r="CL66" s="197">
        <f>'Arable NPV'!$H146</f>
        <v>621.47428571428577</v>
      </c>
      <c r="CM66" s="197">
        <f t="shared" si="199"/>
        <v>1163.2333056394964</v>
      </c>
      <c r="CN66" s="197">
        <f t="shared" si="200"/>
        <v>1376.7666943605036</v>
      </c>
      <c r="CO66" s="197">
        <f t="shared" si="201"/>
        <v>1596.7666943605036</v>
      </c>
      <c r="CP66" s="196">
        <f t="shared" si="202"/>
        <v>2258.0507510241237</v>
      </c>
      <c r="CQ66" s="197">
        <f t="shared" si="203"/>
        <v>195.57919890760127</v>
      </c>
      <c r="CR66" s="197">
        <f t="shared" si="204"/>
        <v>1034.1101729982436</v>
      </c>
      <c r="CS66" s="197">
        <f t="shared" si="205"/>
        <v>1223.9405780258801</v>
      </c>
      <c r="CT66" s="199">
        <f t="shared" si="206"/>
        <v>1419.5197769334814</v>
      </c>
      <c r="CU66" s="196">
        <f t="shared" si="207"/>
        <v>11888.530040964952</v>
      </c>
      <c r="CV66" s="197">
        <f t="shared" si="208"/>
        <v>830.5200273099681</v>
      </c>
      <c r="CW66" s="197">
        <f t="shared" si="209"/>
        <v>5131.2473728770901</v>
      </c>
      <c r="CX66" s="197">
        <f t="shared" si="210"/>
        <v>6757.2826680878616</v>
      </c>
      <c r="CY66" s="199">
        <f t="shared" si="211"/>
        <v>7587.8026953978297</v>
      </c>
      <c r="DB66" s="204">
        <f t="shared" si="226"/>
        <v>4</v>
      </c>
      <c r="DC66" s="883" t="s">
        <v>6</v>
      </c>
      <c r="DD66" s="747">
        <f>'Arable Inputs'!$F$18</f>
        <v>3.5</v>
      </c>
      <c r="DE66" s="747">
        <f>'Arable Inputs'!$F$25-'Arable Inputs'!$F$25</f>
        <v>0</v>
      </c>
      <c r="DF66" s="747">
        <f>'Arable Inputs'!$F$19</f>
        <v>2.6</v>
      </c>
      <c r="DG66" s="747">
        <f>'Arable Inputs'!$F$26-'Arable Inputs'!$F$26</f>
        <v>0</v>
      </c>
      <c r="DH66" s="749">
        <f>DD66*DE66+DF66*DG66</f>
        <v>0</v>
      </c>
      <c r="DI66" s="197">
        <f>'Arable NPV'!$E146</f>
        <v>220</v>
      </c>
      <c r="DJ66" s="197">
        <f t="shared" si="212"/>
        <v>220</v>
      </c>
      <c r="DK66" s="197">
        <f>'Arable NPV'!$G146</f>
        <v>541.75901992521074</v>
      </c>
      <c r="DL66" s="197">
        <f>'Arable NPV'!$H146</f>
        <v>621.47428571428577</v>
      </c>
      <c r="DM66" s="197">
        <f t="shared" si="213"/>
        <v>1163.2333056394964</v>
      </c>
      <c r="DN66" s="197">
        <f t="shared" si="214"/>
        <v>-1163.2333056394964</v>
      </c>
      <c r="DO66" s="197">
        <f t="shared" si="215"/>
        <v>-943.23330563949639</v>
      </c>
      <c r="DP66" s="196">
        <f t="shared" si="216"/>
        <v>0</v>
      </c>
      <c r="DQ66" s="197">
        <f t="shared" si="217"/>
        <v>195.57919890760127</v>
      </c>
      <c r="DR66" s="197">
        <f t="shared" si="218"/>
        <v>1034.1101729982436</v>
      </c>
      <c r="DS66" s="197">
        <f t="shared" si="219"/>
        <v>-1034.1101729982436</v>
      </c>
      <c r="DT66" s="199">
        <f t="shared" si="220"/>
        <v>-838.5309740906423</v>
      </c>
      <c r="DU66" s="196">
        <f t="shared" si="221"/>
        <v>0</v>
      </c>
      <c r="DV66" s="197">
        <f t="shared" si="222"/>
        <v>830.5200273099681</v>
      </c>
      <c r="DW66" s="197">
        <f t="shared" si="223"/>
        <v>5131.2473728770901</v>
      </c>
      <c r="DX66" s="197">
        <f t="shared" si="224"/>
        <v>-5131.2473728770901</v>
      </c>
      <c r="DY66" s="199">
        <f t="shared" si="225"/>
        <v>-4300.727345567122</v>
      </c>
    </row>
    <row r="67" spans="2:129" x14ac:dyDescent="0.3">
      <c r="B67" s="881">
        <v>5</v>
      </c>
      <c r="C67" s="883" t="s">
        <v>5</v>
      </c>
      <c r="D67" s="747">
        <f>'Arable Inputs'!$E$18</f>
        <v>6.3</v>
      </c>
      <c r="E67" s="747">
        <f>'Arable Inputs'!$E$25</f>
        <v>140</v>
      </c>
      <c r="F67" s="747">
        <f>'Arable Inputs'!$E$19</f>
        <v>3.5</v>
      </c>
      <c r="G67" s="747">
        <f>'Arable Inputs'!$E$26</f>
        <v>70</v>
      </c>
      <c r="H67" s="749">
        <f>D67*E67+F67*G67</f>
        <v>1127</v>
      </c>
      <c r="I67" s="197">
        <f>'Arable NPV'!$E147</f>
        <v>220</v>
      </c>
      <c r="J67" s="197">
        <f t="shared" si="163"/>
        <v>1347</v>
      </c>
      <c r="K67" s="197">
        <f>'Arable NPV'!$G147</f>
        <v>418.54877602277168</v>
      </c>
      <c r="L67" s="197">
        <f>'Arable NPV'!$H147</f>
        <v>773.65999999999985</v>
      </c>
      <c r="M67" s="197">
        <f t="shared" si="164"/>
        <v>1192.2087760227714</v>
      </c>
      <c r="N67" s="197">
        <f t="shared" si="156"/>
        <v>-65.208776022771417</v>
      </c>
      <c r="O67" s="197">
        <f t="shared" si="157"/>
        <v>154.79122397722858</v>
      </c>
      <c r="P67" s="196">
        <f t="shared" si="165"/>
        <v>963.36432329050081</v>
      </c>
      <c r="Q67" s="197">
        <f t="shared" si="166"/>
        <v>188.05692202653967</v>
      </c>
      <c r="R67" s="197">
        <f t="shared" si="167"/>
        <v>1019.1050583266846</v>
      </c>
      <c r="S67" s="197">
        <f t="shared" si="168"/>
        <v>-55.740735036183693</v>
      </c>
      <c r="T67" s="199">
        <f t="shared" si="169"/>
        <v>132.31618699035596</v>
      </c>
      <c r="U67" s="196">
        <f t="shared" si="170"/>
        <v>6907.6293437729764</v>
      </c>
      <c r="V67" s="197">
        <f t="shared" si="171"/>
        <v>1018.5769493365078</v>
      </c>
      <c r="W67" s="197">
        <f t="shared" si="172"/>
        <v>6150.3524312037744</v>
      </c>
      <c r="X67" s="197">
        <f t="shared" si="173"/>
        <v>757.2769125692023</v>
      </c>
      <c r="Y67" s="199">
        <f t="shared" si="174"/>
        <v>1775.8538619057099</v>
      </c>
      <c r="AB67" s="881">
        <v>5</v>
      </c>
      <c r="AC67" s="883" t="s">
        <v>5</v>
      </c>
      <c r="AD67" s="747">
        <f>'Arable Inputs'!$E$18</f>
        <v>6.3</v>
      </c>
      <c r="AE67" s="747">
        <f>'Arable Inputs'!$E$25+0.5*'Arable Inputs'!$E$25</f>
        <v>210</v>
      </c>
      <c r="AF67" s="747">
        <f>'Arable Inputs'!$E$19</f>
        <v>3.5</v>
      </c>
      <c r="AG67" s="747">
        <f>'Arable Inputs'!$E$26+0.5*'Arable Inputs'!$E$26</f>
        <v>105</v>
      </c>
      <c r="AH67" s="749">
        <f>AD67*AE67+AF67*AG67</f>
        <v>1690.5</v>
      </c>
      <c r="AI67" s="197">
        <f>'Arable NPV'!$E147</f>
        <v>220</v>
      </c>
      <c r="AJ67" s="197">
        <f t="shared" si="175"/>
        <v>1910.5</v>
      </c>
      <c r="AK67" s="197">
        <f>'Arable NPV'!$G147</f>
        <v>418.54877602277168</v>
      </c>
      <c r="AL67" s="197">
        <f>'Arable NPV'!$H147</f>
        <v>773.65999999999985</v>
      </c>
      <c r="AM67" s="197">
        <f t="shared" si="158"/>
        <v>1192.2087760227714</v>
      </c>
      <c r="AN67" s="197">
        <f t="shared" si="159"/>
        <v>498.29122397722858</v>
      </c>
      <c r="AO67" s="197">
        <f t="shared" si="160"/>
        <v>718.29122397722858</v>
      </c>
      <c r="AP67" s="196">
        <f t="shared" si="176"/>
        <v>1445.0464849357513</v>
      </c>
      <c r="AQ67" s="197">
        <f t="shared" si="177"/>
        <v>188.05692202653967</v>
      </c>
      <c r="AR67" s="197">
        <f t="shared" si="178"/>
        <v>1019.1050583266846</v>
      </c>
      <c r="AS67" s="197">
        <f t="shared" si="179"/>
        <v>425.94142660906675</v>
      </c>
      <c r="AT67" s="199">
        <f t="shared" si="180"/>
        <v>613.99834863560636</v>
      </c>
      <c r="AU67" s="196">
        <f t="shared" si="181"/>
        <v>10361.444015659465</v>
      </c>
      <c r="AV67" s="197">
        <f t="shared" si="182"/>
        <v>1018.5769493365078</v>
      </c>
      <c r="AW67" s="197">
        <f t="shared" si="183"/>
        <v>6150.3524312037744</v>
      </c>
      <c r="AX67" s="197">
        <f t="shared" si="184"/>
        <v>4211.0915844556912</v>
      </c>
      <c r="AY67" s="199">
        <f t="shared" si="185"/>
        <v>5229.668533792199</v>
      </c>
      <c r="BB67" s="881">
        <v>5</v>
      </c>
      <c r="BC67" s="883" t="s">
        <v>5</v>
      </c>
      <c r="BD67" s="747">
        <f>'Arable Inputs'!$E$18</f>
        <v>6.3</v>
      </c>
      <c r="BE67" s="747">
        <f>'Arable Inputs'!$E$25-0.5*'Arable Inputs'!$E$25</f>
        <v>70</v>
      </c>
      <c r="BF67" s="747">
        <f>'Arable Inputs'!$E$19</f>
        <v>3.5</v>
      </c>
      <c r="BG67" s="747">
        <f>'Arable Inputs'!$E$26-0.5*'Arable Inputs'!$E$26</f>
        <v>35</v>
      </c>
      <c r="BH67" s="749">
        <f>BD67*BE67+BF67*BG67</f>
        <v>563.5</v>
      </c>
      <c r="BI67" s="197">
        <f>'Arable NPV'!$E147</f>
        <v>220</v>
      </c>
      <c r="BJ67" s="197">
        <f t="shared" si="161"/>
        <v>783.5</v>
      </c>
      <c r="BK67" s="197">
        <f>'Arable NPV'!$G147</f>
        <v>418.54877602277168</v>
      </c>
      <c r="BL67" s="197">
        <f>'Arable NPV'!$H147</f>
        <v>773.65999999999985</v>
      </c>
      <c r="BM67" s="197">
        <f t="shared" si="186"/>
        <v>1192.2087760227714</v>
      </c>
      <c r="BN67" s="197">
        <f t="shared" si="162"/>
        <v>-628.70877602277142</v>
      </c>
      <c r="BO67" s="197">
        <f t="shared" si="187"/>
        <v>-408.70877602277142</v>
      </c>
      <c r="BP67" s="196">
        <f t="shared" si="188"/>
        <v>481.6821616452504</v>
      </c>
      <c r="BQ67" s="197">
        <f t="shared" si="189"/>
        <v>188.05692202653967</v>
      </c>
      <c r="BR67" s="197">
        <f t="shared" si="190"/>
        <v>1019.1050583266846</v>
      </c>
      <c r="BS67" s="197">
        <f t="shared" si="191"/>
        <v>-537.42289668143417</v>
      </c>
      <c r="BT67" s="199">
        <f t="shared" si="192"/>
        <v>-349.36597465489444</v>
      </c>
      <c r="BU67" s="196">
        <f t="shared" si="193"/>
        <v>3453.8146718864882</v>
      </c>
      <c r="BV67" s="197">
        <f t="shared" si="194"/>
        <v>1018.5769493365078</v>
      </c>
      <c r="BW67" s="197">
        <f t="shared" si="195"/>
        <v>6150.3524312037744</v>
      </c>
      <c r="BX67" s="197">
        <f t="shared" si="196"/>
        <v>-2696.5377593172861</v>
      </c>
      <c r="BY67" s="199">
        <f t="shared" si="197"/>
        <v>-1677.9608099807783</v>
      </c>
      <c r="CB67" s="881">
        <v>5</v>
      </c>
      <c r="CC67" s="883" t="s">
        <v>5</v>
      </c>
      <c r="CD67" s="747">
        <f>'Arable Inputs'!$E$18</f>
        <v>6.3</v>
      </c>
      <c r="CE67" s="747">
        <f>'Arable Inputs'!$E$25+'Arable Inputs'!$E$25</f>
        <v>280</v>
      </c>
      <c r="CF67" s="747">
        <f>'Arable Inputs'!$E$19</f>
        <v>3.5</v>
      </c>
      <c r="CG67" s="747">
        <f>'Arable Inputs'!$E$26+'Arable Inputs'!$E$26</f>
        <v>140</v>
      </c>
      <c r="CH67" s="749">
        <f>CD67*CE67+CF67*CG67</f>
        <v>2254</v>
      </c>
      <c r="CI67" s="197">
        <f>'Arable NPV'!$E147</f>
        <v>220</v>
      </c>
      <c r="CJ67" s="197">
        <f t="shared" si="198"/>
        <v>2474</v>
      </c>
      <c r="CK67" s="197">
        <f>'Arable NPV'!$G147</f>
        <v>418.54877602277168</v>
      </c>
      <c r="CL67" s="197">
        <f>'Arable NPV'!$H147</f>
        <v>773.65999999999985</v>
      </c>
      <c r="CM67" s="197">
        <f t="shared" si="199"/>
        <v>1192.2087760227714</v>
      </c>
      <c r="CN67" s="197">
        <f t="shared" si="200"/>
        <v>1061.7912239772286</v>
      </c>
      <c r="CO67" s="197">
        <f t="shared" si="201"/>
        <v>1281.7912239772286</v>
      </c>
      <c r="CP67" s="196">
        <f t="shared" si="202"/>
        <v>1926.7286465810016</v>
      </c>
      <c r="CQ67" s="197">
        <f t="shared" si="203"/>
        <v>188.05692202653967</v>
      </c>
      <c r="CR67" s="197">
        <f t="shared" si="204"/>
        <v>1019.1050583266846</v>
      </c>
      <c r="CS67" s="197">
        <f t="shared" si="205"/>
        <v>907.62358825431716</v>
      </c>
      <c r="CT67" s="199">
        <f t="shared" si="206"/>
        <v>1095.6805102808569</v>
      </c>
      <c r="CU67" s="196">
        <f t="shared" si="207"/>
        <v>13815.258687545953</v>
      </c>
      <c r="CV67" s="197">
        <f t="shared" si="208"/>
        <v>1018.5769493365078</v>
      </c>
      <c r="CW67" s="197">
        <f t="shared" si="209"/>
        <v>6150.3524312037744</v>
      </c>
      <c r="CX67" s="197">
        <f t="shared" si="210"/>
        <v>7664.9062563421785</v>
      </c>
      <c r="CY67" s="199">
        <f t="shared" si="211"/>
        <v>8683.4832056786872</v>
      </c>
      <c r="DB67" s="204">
        <f t="shared" si="226"/>
        <v>5</v>
      </c>
      <c r="DC67" s="883" t="s">
        <v>5</v>
      </c>
      <c r="DD67" s="747">
        <f>'Arable Inputs'!$E$18</f>
        <v>6.3</v>
      </c>
      <c r="DE67" s="747">
        <f>'Arable Inputs'!$E$25-'Arable Inputs'!$E$25</f>
        <v>0</v>
      </c>
      <c r="DF67" s="747">
        <f>'Arable Inputs'!$E$19</f>
        <v>3.5</v>
      </c>
      <c r="DG67" s="747">
        <f>'Arable Inputs'!$E$26-'Arable Inputs'!$E$26</f>
        <v>0</v>
      </c>
      <c r="DH67" s="749">
        <f>DD67*DE67+DF67*DG67</f>
        <v>0</v>
      </c>
      <c r="DI67" s="197">
        <f>'Arable NPV'!$E147</f>
        <v>220</v>
      </c>
      <c r="DJ67" s="197">
        <f t="shared" si="212"/>
        <v>220</v>
      </c>
      <c r="DK67" s="197">
        <f>'Arable NPV'!$G147</f>
        <v>418.54877602277168</v>
      </c>
      <c r="DL67" s="197">
        <f>'Arable NPV'!$H147</f>
        <v>773.65999999999985</v>
      </c>
      <c r="DM67" s="197">
        <f t="shared" si="213"/>
        <v>1192.2087760227714</v>
      </c>
      <c r="DN67" s="197">
        <f t="shared" si="214"/>
        <v>-1192.2087760227714</v>
      </c>
      <c r="DO67" s="197">
        <f t="shared" si="215"/>
        <v>-972.20877602277142</v>
      </c>
      <c r="DP67" s="196">
        <f t="shared" si="216"/>
        <v>0</v>
      </c>
      <c r="DQ67" s="197">
        <f t="shared" si="217"/>
        <v>188.05692202653967</v>
      </c>
      <c r="DR67" s="197">
        <f t="shared" si="218"/>
        <v>1019.1050583266846</v>
      </c>
      <c r="DS67" s="197">
        <f t="shared" si="219"/>
        <v>-1019.1050583266846</v>
      </c>
      <c r="DT67" s="199">
        <f t="shared" si="220"/>
        <v>-831.04813630014485</v>
      </c>
      <c r="DU67" s="196">
        <f t="shared" si="221"/>
        <v>0</v>
      </c>
      <c r="DV67" s="197">
        <f t="shared" si="222"/>
        <v>1018.5769493365078</v>
      </c>
      <c r="DW67" s="197">
        <f t="shared" si="223"/>
        <v>6150.3524312037744</v>
      </c>
      <c r="DX67" s="197">
        <f t="shared" si="224"/>
        <v>-6150.3524312037744</v>
      </c>
      <c r="DY67" s="199">
        <f t="shared" si="225"/>
        <v>-5131.7754818672665</v>
      </c>
    </row>
    <row r="68" spans="2:129" x14ac:dyDescent="0.3">
      <c r="B68" s="881">
        <v>6</v>
      </c>
      <c r="C68" s="883" t="s">
        <v>4</v>
      </c>
      <c r="D68" s="747">
        <f>'Arable Inputs'!$D$18</f>
        <v>8.25</v>
      </c>
      <c r="E68" s="747">
        <f>'Arable Inputs'!$D$25</f>
        <v>162</v>
      </c>
      <c r="F68" s="747">
        <f>'Arable Inputs'!$D$19</f>
        <v>3.9</v>
      </c>
      <c r="G68" s="747">
        <f>'Arable Inputs'!$D$26</f>
        <v>65</v>
      </c>
      <c r="H68" s="749">
        <f>D68*E68+F68*G68</f>
        <v>1590</v>
      </c>
      <c r="I68" s="197">
        <f>'Arable NPV'!$E148</f>
        <v>220</v>
      </c>
      <c r="J68" s="197">
        <f t="shared" si="163"/>
        <v>1810</v>
      </c>
      <c r="K68" s="197">
        <f>'Arable NPV'!$G148</f>
        <v>684.46423508399835</v>
      </c>
      <c r="L68" s="197">
        <f>'Arable NPV'!$H148</f>
        <v>841.31999999999994</v>
      </c>
      <c r="M68" s="197">
        <f t="shared" si="164"/>
        <v>1525.7842350839983</v>
      </c>
      <c r="N68" s="197">
        <f t="shared" si="156"/>
        <v>64.215764916001717</v>
      </c>
      <c r="O68" s="197">
        <f t="shared" si="157"/>
        <v>284.21576491600172</v>
      </c>
      <c r="P68" s="196">
        <f t="shared" si="165"/>
        <v>1306.864099747369</v>
      </c>
      <c r="Q68" s="197">
        <f t="shared" si="166"/>
        <v>180.82396348705734</v>
      </c>
      <c r="R68" s="197">
        <f t="shared" si="167"/>
        <v>1254.083421881621</v>
      </c>
      <c r="S68" s="197">
        <f t="shared" si="168"/>
        <v>52.780677865747968</v>
      </c>
      <c r="T68" s="199">
        <f t="shared" si="169"/>
        <v>233.60464135280532</v>
      </c>
      <c r="U68" s="196">
        <f t="shared" si="170"/>
        <v>8214.493443520345</v>
      </c>
      <c r="V68" s="197">
        <f t="shared" si="171"/>
        <v>1199.4009128235652</v>
      </c>
      <c r="W68" s="197">
        <f t="shared" si="172"/>
        <v>7404.4358530853951</v>
      </c>
      <c r="X68" s="197">
        <f t="shared" si="173"/>
        <v>810.05759043495027</v>
      </c>
      <c r="Y68" s="199">
        <f t="shared" si="174"/>
        <v>2009.4585032585153</v>
      </c>
      <c r="AB68" s="881">
        <v>6</v>
      </c>
      <c r="AC68" s="883" t="s">
        <v>4</v>
      </c>
      <c r="AD68" s="747">
        <f>'Arable Inputs'!$D$18</f>
        <v>8.25</v>
      </c>
      <c r="AE68" s="747">
        <f>'Arable Inputs'!$D$25+0.5*'Arable Inputs'!$D$25</f>
        <v>243</v>
      </c>
      <c r="AF68" s="747">
        <f>'Arable Inputs'!$D$19</f>
        <v>3.9</v>
      </c>
      <c r="AG68" s="747">
        <f>'Arable Inputs'!$D$26+0.5*'Arable Inputs'!$D$26</f>
        <v>97.5</v>
      </c>
      <c r="AH68" s="749">
        <f>AD68*AE68+AF68*AG68</f>
        <v>2385</v>
      </c>
      <c r="AI68" s="197">
        <f>'Arable NPV'!$E148</f>
        <v>220</v>
      </c>
      <c r="AJ68" s="197">
        <f t="shared" si="175"/>
        <v>2605</v>
      </c>
      <c r="AK68" s="197">
        <f>'Arable NPV'!$G148</f>
        <v>684.46423508399835</v>
      </c>
      <c r="AL68" s="197">
        <f>'Arable NPV'!$H148</f>
        <v>841.31999999999994</v>
      </c>
      <c r="AM68" s="197">
        <f t="shared" si="158"/>
        <v>1525.7842350839983</v>
      </c>
      <c r="AN68" s="197">
        <f t="shared" si="159"/>
        <v>859.21576491600172</v>
      </c>
      <c r="AO68" s="197">
        <f t="shared" si="160"/>
        <v>1079.2157649160017</v>
      </c>
      <c r="AP68" s="196">
        <f t="shared" si="176"/>
        <v>1960.2961496210535</v>
      </c>
      <c r="AQ68" s="197">
        <f t="shared" si="177"/>
        <v>180.82396348705734</v>
      </c>
      <c r="AR68" s="197">
        <f t="shared" si="178"/>
        <v>1254.083421881621</v>
      </c>
      <c r="AS68" s="197">
        <f t="shared" si="179"/>
        <v>706.21272773943247</v>
      </c>
      <c r="AT68" s="199">
        <f t="shared" si="180"/>
        <v>887.03669122648978</v>
      </c>
      <c r="AU68" s="196">
        <f t="shared" si="181"/>
        <v>12321.740165280518</v>
      </c>
      <c r="AV68" s="197">
        <f t="shared" si="182"/>
        <v>1199.4009128235652</v>
      </c>
      <c r="AW68" s="197">
        <f t="shared" si="183"/>
        <v>7404.4358530853951</v>
      </c>
      <c r="AX68" s="197">
        <f t="shared" si="184"/>
        <v>4917.3043121951232</v>
      </c>
      <c r="AY68" s="199">
        <f t="shared" si="185"/>
        <v>6116.7052250186889</v>
      </c>
      <c r="BB68" s="881">
        <v>6</v>
      </c>
      <c r="BC68" s="883" t="s">
        <v>4</v>
      </c>
      <c r="BD68" s="747">
        <f>'Arable Inputs'!$D$18</f>
        <v>8.25</v>
      </c>
      <c r="BE68" s="747">
        <f>'Arable Inputs'!$D$25-0.5*'Arable Inputs'!$D$25</f>
        <v>81</v>
      </c>
      <c r="BF68" s="747">
        <f>'Arable Inputs'!$D$19</f>
        <v>3.9</v>
      </c>
      <c r="BG68" s="747">
        <f>'Arable Inputs'!$D$26-0.5*'Arable Inputs'!$D$26</f>
        <v>32.5</v>
      </c>
      <c r="BH68" s="749">
        <f>BD68*BE68+BF68*BG68</f>
        <v>795</v>
      </c>
      <c r="BI68" s="197">
        <f>'Arable NPV'!$E148</f>
        <v>220</v>
      </c>
      <c r="BJ68" s="197">
        <f t="shared" si="161"/>
        <v>1015</v>
      </c>
      <c r="BK68" s="197">
        <f>'Arable NPV'!$G148</f>
        <v>684.46423508399835</v>
      </c>
      <c r="BL68" s="197">
        <f>'Arable NPV'!$H148</f>
        <v>841.31999999999994</v>
      </c>
      <c r="BM68" s="197">
        <f t="shared" si="186"/>
        <v>1525.7842350839983</v>
      </c>
      <c r="BN68" s="197">
        <f t="shared" si="162"/>
        <v>-730.78423508399828</v>
      </c>
      <c r="BO68" s="197">
        <f t="shared" si="187"/>
        <v>-510.78423508399828</v>
      </c>
      <c r="BP68" s="196">
        <f t="shared" si="188"/>
        <v>653.43204987368449</v>
      </c>
      <c r="BQ68" s="197">
        <f t="shared" si="189"/>
        <v>180.82396348705734</v>
      </c>
      <c r="BR68" s="197">
        <f t="shared" si="190"/>
        <v>1254.083421881621</v>
      </c>
      <c r="BS68" s="197">
        <f t="shared" si="191"/>
        <v>-600.65137200793652</v>
      </c>
      <c r="BT68" s="199">
        <f t="shared" si="192"/>
        <v>-419.82740852087915</v>
      </c>
      <c r="BU68" s="196">
        <f t="shared" si="193"/>
        <v>4107.2467217601725</v>
      </c>
      <c r="BV68" s="197">
        <f t="shared" si="194"/>
        <v>1199.4009128235652</v>
      </c>
      <c r="BW68" s="197">
        <f t="shared" si="195"/>
        <v>7404.4358530853951</v>
      </c>
      <c r="BX68" s="197">
        <f t="shared" si="196"/>
        <v>-3297.1891313252227</v>
      </c>
      <c r="BY68" s="199">
        <f t="shared" si="197"/>
        <v>-2097.7882185016574</v>
      </c>
      <c r="CB68" s="881">
        <v>6</v>
      </c>
      <c r="CC68" s="883" t="s">
        <v>4</v>
      </c>
      <c r="CD68" s="747">
        <f>'Arable Inputs'!$D$18</f>
        <v>8.25</v>
      </c>
      <c r="CE68" s="747">
        <f>'Arable Inputs'!$D$25+'Arable Inputs'!$D$25</f>
        <v>324</v>
      </c>
      <c r="CF68" s="747">
        <f>'Arable Inputs'!$D$19</f>
        <v>3.9</v>
      </c>
      <c r="CG68" s="747">
        <f>'Arable Inputs'!$D$26+'Arable Inputs'!$D$26</f>
        <v>130</v>
      </c>
      <c r="CH68" s="749">
        <f>CD68*CE68+CF68*CG68</f>
        <v>3180</v>
      </c>
      <c r="CI68" s="197">
        <f>'Arable NPV'!$E148</f>
        <v>220</v>
      </c>
      <c r="CJ68" s="197">
        <f t="shared" si="198"/>
        <v>3400</v>
      </c>
      <c r="CK68" s="197">
        <f>'Arable NPV'!$G148</f>
        <v>684.46423508399835</v>
      </c>
      <c r="CL68" s="197">
        <f>'Arable NPV'!$H148</f>
        <v>841.31999999999994</v>
      </c>
      <c r="CM68" s="197">
        <f t="shared" si="199"/>
        <v>1525.7842350839983</v>
      </c>
      <c r="CN68" s="197">
        <f t="shared" si="200"/>
        <v>1654.2157649160017</v>
      </c>
      <c r="CO68" s="197">
        <f t="shared" si="201"/>
        <v>1874.2157649160017</v>
      </c>
      <c r="CP68" s="196">
        <f t="shared" si="202"/>
        <v>2613.728199494738</v>
      </c>
      <c r="CQ68" s="197">
        <f t="shared" si="203"/>
        <v>180.82396348705734</v>
      </c>
      <c r="CR68" s="197">
        <f t="shared" si="204"/>
        <v>1254.083421881621</v>
      </c>
      <c r="CS68" s="197">
        <f t="shared" si="205"/>
        <v>1359.644777613117</v>
      </c>
      <c r="CT68" s="199">
        <f t="shared" si="206"/>
        <v>1540.4687411001742</v>
      </c>
      <c r="CU68" s="196">
        <f t="shared" si="207"/>
        <v>16428.98688704069</v>
      </c>
      <c r="CV68" s="197">
        <f t="shared" si="208"/>
        <v>1199.4009128235652</v>
      </c>
      <c r="CW68" s="197">
        <f t="shared" si="209"/>
        <v>7404.4358530853951</v>
      </c>
      <c r="CX68" s="197">
        <f t="shared" si="210"/>
        <v>9024.5510339552948</v>
      </c>
      <c r="CY68" s="199">
        <f t="shared" si="211"/>
        <v>10223.951946778861</v>
      </c>
      <c r="DB68" s="204">
        <f t="shared" si="226"/>
        <v>6</v>
      </c>
      <c r="DC68" s="883" t="s">
        <v>4</v>
      </c>
      <c r="DD68" s="747">
        <f>'Arable Inputs'!$D$18</f>
        <v>8.25</v>
      </c>
      <c r="DE68" s="747">
        <f>'Arable Inputs'!$D$25-'Arable Inputs'!$D$25</f>
        <v>0</v>
      </c>
      <c r="DF68" s="747">
        <f>'Arable Inputs'!$D$19</f>
        <v>3.9</v>
      </c>
      <c r="DG68" s="747">
        <f>'Arable Inputs'!$D$26-'Arable Inputs'!$D$26</f>
        <v>0</v>
      </c>
      <c r="DH68" s="749">
        <f>DD68*DE68+DF68*DG68</f>
        <v>0</v>
      </c>
      <c r="DI68" s="197">
        <f>'Arable NPV'!$E148</f>
        <v>220</v>
      </c>
      <c r="DJ68" s="197">
        <f t="shared" si="212"/>
        <v>220</v>
      </c>
      <c r="DK68" s="197">
        <f>'Arable NPV'!$G148</f>
        <v>684.46423508399835</v>
      </c>
      <c r="DL68" s="197">
        <f>'Arable NPV'!$H148</f>
        <v>841.31999999999994</v>
      </c>
      <c r="DM68" s="197">
        <f t="shared" si="213"/>
        <v>1525.7842350839983</v>
      </c>
      <c r="DN68" s="197">
        <f t="shared" si="214"/>
        <v>-1525.7842350839983</v>
      </c>
      <c r="DO68" s="197">
        <f t="shared" si="215"/>
        <v>-1305.7842350839983</v>
      </c>
      <c r="DP68" s="196">
        <f t="shared" si="216"/>
        <v>0</v>
      </c>
      <c r="DQ68" s="197">
        <f t="shared" si="217"/>
        <v>180.82396348705734</v>
      </c>
      <c r="DR68" s="197">
        <f t="shared" si="218"/>
        <v>1254.083421881621</v>
      </c>
      <c r="DS68" s="197">
        <f t="shared" si="219"/>
        <v>-1254.083421881621</v>
      </c>
      <c r="DT68" s="199">
        <f t="shared" si="220"/>
        <v>-1073.2594583945636</v>
      </c>
      <c r="DU68" s="196">
        <f t="shared" si="221"/>
        <v>0</v>
      </c>
      <c r="DV68" s="197">
        <f t="shared" si="222"/>
        <v>1199.4009128235652</v>
      </c>
      <c r="DW68" s="197">
        <f t="shared" si="223"/>
        <v>7404.4358530853951</v>
      </c>
      <c r="DX68" s="197">
        <f t="shared" si="224"/>
        <v>-7404.4358530853951</v>
      </c>
      <c r="DY68" s="199">
        <f t="shared" si="225"/>
        <v>-6205.0349402618303</v>
      </c>
    </row>
    <row r="69" spans="2:129" x14ac:dyDescent="0.3">
      <c r="B69" s="881">
        <v>7</v>
      </c>
      <c r="C69" s="883" t="s">
        <v>7</v>
      </c>
      <c r="D69" s="747">
        <f>'Arable Inputs'!$G$18</f>
        <v>78</v>
      </c>
      <c r="E69" s="747">
        <f>'Arable Inputs'!$G$25</f>
        <v>27.16</v>
      </c>
      <c r="H69" s="749">
        <f>D69*E69</f>
        <v>2118.48</v>
      </c>
      <c r="I69" s="197">
        <f>'Arable NPV'!$E149</f>
        <v>220</v>
      </c>
      <c r="J69" s="197">
        <f t="shared" si="163"/>
        <v>2338.48</v>
      </c>
      <c r="K69" s="197">
        <f>'Arable NPV'!$G149</f>
        <v>793.83573723279574</v>
      </c>
      <c r="L69" s="197">
        <f>'Arable NPV'!$H149</f>
        <v>841.03</v>
      </c>
      <c r="M69" s="197">
        <f t="shared" si="164"/>
        <v>1634.8657372327957</v>
      </c>
      <c r="N69" s="197">
        <f t="shared" si="156"/>
        <v>483.61426276720431</v>
      </c>
      <c r="O69" s="197">
        <f t="shared" si="157"/>
        <v>703.61426276720431</v>
      </c>
      <c r="P69" s="196">
        <f t="shared" si="165"/>
        <v>1674.2655164687992</v>
      </c>
      <c r="Q69" s="197">
        <f t="shared" si="166"/>
        <v>173.86919566063204</v>
      </c>
      <c r="R69" s="197">
        <f t="shared" si="167"/>
        <v>1292.0581397536021</v>
      </c>
      <c r="S69" s="197">
        <f t="shared" si="168"/>
        <v>382.20737671519714</v>
      </c>
      <c r="T69" s="199">
        <f t="shared" si="169"/>
        <v>556.07657237582919</v>
      </c>
      <c r="U69" s="196">
        <f t="shared" si="170"/>
        <v>9888.7589599891435</v>
      </c>
      <c r="V69" s="197">
        <f t="shared" si="171"/>
        <v>1373.2701084841974</v>
      </c>
      <c r="W69" s="197">
        <f t="shared" si="172"/>
        <v>8696.4939928389977</v>
      </c>
      <c r="X69" s="197">
        <f t="shared" si="173"/>
        <v>1192.2649671501474</v>
      </c>
      <c r="Y69" s="199">
        <f t="shared" si="174"/>
        <v>2565.5350756343446</v>
      </c>
      <c r="AB69" s="881">
        <v>7</v>
      </c>
      <c r="AC69" s="883" t="s">
        <v>7</v>
      </c>
      <c r="AD69" s="747">
        <f>'Arable Inputs'!$G$18</f>
        <v>78</v>
      </c>
      <c r="AE69" s="747">
        <f>'Arable Inputs'!$G$25+0.5*'Arable Inputs'!$G$25</f>
        <v>40.74</v>
      </c>
      <c r="AH69" s="749">
        <f>AD69*AE69</f>
        <v>3177.7200000000003</v>
      </c>
      <c r="AI69" s="197">
        <f>'Arable NPV'!$E149</f>
        <v>220</v>
      </c>
      <c r="AJ69" s="197">
        <f t="shared" si="175"/>
        <v>3397.7200000000003</v>
      </c>
      <c r="AK69" s="197">
        <f>'Arable NPV'!$G149</f>
        <v>793.83573723279574</v>
      </c>
      <c r="AL69" s="197">
        <f>'Arable NPV'!$H149</f>
        <v>841.03</v>
      </c>
      <c r="AM69" s="197">
        <f t="shared" si="158"/>
        <v>1634.8657372327957</v>
      </c>
      <c r="AN69" s="197">
        <f t="shared" si="159"/>
        <v>1542.8542627672045</v>
      </c>
      <c r="AO69" s="197">
        <f t="shared" si="160"/>
        <v>1762.8542627672045</v>
      </c>
      <c r="AP69" s="196">
        <f t="shared" si="176"/>
        <v>2511.3982747031987</v>
      </c>
      <c r="AQ69" s="197">
        <f t="shared" si="177"/>
        <v>173.86919566063204</v>
      </c>
      <c r="AR69" s="197">
        <f t="shared" si="178"/>
        <v>1292.0581397536021</v>
      </c>
      <c r="AS69" s="197">
        <f t="shared" si="179"/>
        <v>1219.3401349495969</v>
      </c>
      <c r="AT69" s="199">
        <f t="shared" si="180"/>
        <v>1393.209330610229</v>
      </c>
      <c r="AU69" s="196">
        <f t="shared" si="181"/>
        <v>14833.138439983717</v>
      </c>
      <c r="AV69" s="197">
        <f t="shared" si="182"/>
        <v>1373.2701084841974</v>
      </c>
      <c r="AW69" s="197">
        <f t="shared" si="183"/>
        <v>8696.4939928389977</v>
      </c>
      <c r="AX69" s="197">
        <f t="shared" si="184"/>
        <v>6136.6444471447203</v>
      </c>
      <c r="AY69" s="199">
        <f t="shared" si="185"/>
        <v>7509.9145556289177</v>
      </c>
      <c r="BB69" s="881">
        <v>7</v>
      </c>
      <c r="BC69" s="883" t="s">
        <v>7</v>
      </c>
      <c r="BD69" s="747">
        <f>'Arable Inputs'!$G$18</f>
        <v>78</v>
      </c>
      <c r="BE69" s="747">
        <f>'Arable Inputs'!$G$25-0.5*'Arable Inputs'!$G$25</f>
        <v>13.58</v>
      </c>
      <c r="BH69" s="749">
        <f>BD69*BE69</f>
        <v>1059.24</v>
      </c>
      <c r="BI69" s="197">
        <f>'Arable NPV'!$E149</f>
        <v>220</v>
      </c>
      <c r="BJ69" s="197">
        <f t="shared" si="161"/>
        <v>1279.24</v>
      </c>
      <c r="BK69" s="197">
        <f>'Arable NPV'!$G149</f>
        <v>793.83573723279574</v>
      </c>
      <c r="BL69" s="197">
        <f>'Arable NPV'!$H149</f>
        <v>841.03</v>
      </c>
      <c r="BM69" s="197">
        <f t="shared" si="186"/>
        <v>1634.8657372327957</v>
      </c>
      <c r="BN69" s="197">
        <f t="shared" si="162"/>
        <v>-575.6257372327957</v>
      </c>
      <c r="BO69" s="197">
        <f t="shared" si="187"/>
        <v>-355.6257372327957</v>
      </c>
      <c r="BP69" s="196">
        <f t="shared" si="188"/>
        <v>837.1327582343996</v>
      </c>
      <c r="BQ69" s="197">
        <f t="shared" si="189"/>
        <v>173.86919566063204</v>
      </c>
      <c r="BR69" s="197">
        <f t="shared" si="190"/>
        <v>1292.0581397536021</v>
      </c>
      <c r="BS69" s="197">
        <f t="shared" si="191"/>
        <v>-454.9253815192024</v>
      </c>
      <c r="BT69" s="199">
        <f t="shared" si="192"/>
        <v>-281.05618585857036</v>
      </c>
      <c r="BU69" s="196">
        <f t="shared" si="193"/>
        <v>4944.3794799945717</v>
      </c>
      <c r="BV69" s="197">
        <f t="shared" si="194"/>
        <v>1373.2701084841974</v>
      </c>
      <c r="BW69" s="197">
        <f t="shared" si="195"/>
        <v>8696.4939928389977</v>
      </c>
      <c r="BX69" s="197">
        <f t="shared" si="196"/>
        <v>-3752.114512844425</v>
      </c>
      <c r="BY69" s="199">
        <f t="shared" si="197"/>
        <v>-2378.8444043602276</v>
      </c>
      <c r="CB69" s="881">
        <v>7</v>
      </c>
      <c r="CC69" s="883" t="s">
        <v>7</v>
      </c>
      <c r="CD69" s="747">
        <f>'Arable Inputs'!$G$18</f>
        <v>78</v>
      </c>
      <c r="CE69" s="747">
        <f>'Arable Inputs'!$G$25+'Arable Inputs'!$G$25</f>
        <v>54.32</v>
      </c>
      <c r="CH69" s="749">
        <f>CD69*CE69</f>
        <v>4236.96</v>
      </c>
      <c r="CI69" s="197">
        <f>'Arable NPV'!$E149</f>
        <v>220</v>
      </c>
      <c r="CJ69" s="197">
        <f t="shared" si="198"/>
        <v>4456.96</v>
      </c>
      <c r="CK69" s="197">
        <f>'Arable NPV'!$G149</f>
        <v>793.83573723279574</v>
      </c>
      <c r="CL69" s="197">
        <f>'Arable NPV'!$H149</f>
        <v>841.03</v>
      </c>
      <c r="CM69" s="197">
        <f t="shared" si="199"/>
        <v>1634.8657372327957</v>
      </c>
      <c r="CN69" s="197">
        <f t="shared" si="200"/>
        <v>2602.0942627672043</v>
      </c>
      <c r="CO69" s="197">
        <f t="shared" si="201"/>
        <v>2822.0942627672043</v>
      </c>
      <c r="CP69" s="196">
        <f t="shared" si="202"/>
        <v>3348.5310329375984</v>
      </c>
      <c r="CQ69" s="197">
        <f t="shared" si="203"/>
        <v>173.86919566063204</v>
      </c>
      <c r="CR69" s="197">
        <f t="shared" si="204"/>
        <v>1292.0581397536021</v>
      </c>
      <c r="CS69" s="197">
        <f t="shared" si="205"/>
        <v>2056.4728931839963</v>
      </c>
      <c r="CT69" s="199">
        <f t="shared" si="206"/>
        <v>2230.3420888446285</v>
      </c>
      <c r="CU69" s="196">
        <f t="shared" si="207"/>
        <v>19777.517919978287</v>
      </c>
      <c r="CV69" s="197">
        <f t="shared" si="208"/>
        <v>1373.2701084841974</v>
      </c>
      <c r="CW69" s="197">
        <f t="shared" si="209"/>
        <v>8696.4939928389977</v>
      </c>
      <c r="CX69" s="197">
        <f t="shared" si="210"/>
        <v>11081.023927139291</v>
      </c>
      <c r="CY69" s="199">
        <f t="shared" si="211"/>
        <v>12454.29403562349</v>
      </c>
      <c r="DB69" s="204">
        <f t="shared" si="226"/>
        <v>7</v>
      </c>
      <c r="DC69" s="883" t="s">
        <v>7</v>
      </c>
      <c r="DD69" s="747">
        <f>'Arable Inputs'!$G$18</f>
        <v>78</v>
      </c>
      <c r="DE69" s="747">
        <f>'Arable Inputs'!$G$25-'Arable Inputs'!$G$25</f>
        <v>0</v>
      </c>
      <c r="DH69" s="749">
        <f>DD69*DE69</f>
        <v>0</v>
      </c>
      <c r="DI69" s="197">
        <f>'Arable NPV'!$E149</f>
        <v>220</v>
      </c>
      <c r="DJ69" s="197">
        <f t="shared" si="212"/>
        <v>220</v>
      </c>
      <c r="DK69" s="197">
        <f>'Arable NPV'!$G149</f>
        <v>793.83573723279574</v>
      </c>
      <c r="DL69" s="197">
        <f>'Arable NPV'!$H149</f>
        <v>841.03</v>
      </c>
      <c r="DM69" s="197">
        <f t="shared" si="213"/>
        <v>1634.8657372327957</v>
      </c>
      <c r="DN69" s="197">
        <f t="shared" si="214"/>
        <v>-1634.8657372327957</v>
      </c>
      <c r="DO69" s="197">
        <f t="shared" si="215"/>
        <v>-1414.8657372327957</v>
      </c>
      <c r="DP69" s="196">
        <f t="shared" si="216"/>
        <v>0</v>
      </c>
      <c r="DQ69" s="197">
        <f t="shared" si="217"/>
        <v>173.86919566063204</v>
      </c>
      <c r="DR69" s="197">
        <f t="shared" si="218"/>
        <v>1292.0581397536021</v>
      </c>
      <c r="DS69" s="197">
        <f t="shared" si="219"/>
        <v>-1292.0581397536021</v>
      </c>
      <c r="DT69" s="199">
        <f t="shared" si="220"/>
        <v>-1118.1889440929699</v>
      </c>
      <c r="DU69" s="196">
        <f t="shared" si="221"/>
        <v>0</v>
      </c>
      <c r="DV69" s="197">
        <f t="shared" si="222"/>
        <v>1373.2701084841974</v>
      </c>
      <c r="DW69" s="197">
        <f t="shared" si="223"/>
        <v>8696.4939928389977</v>
      </c>
      <c r="DX69" s="197">
        <f t="shared" si="224"/>
        <v>-8696.4939928389977</v>
      </c>
      <c r="DY69" s="199">
        <f t="shared" si="225"/>
        <v>-7323.2238843548002</v>
      </c>
    </row>
    <row r="70" spans="2:129" x14ac:dyDescent="0.3">
      <c r="B70" s="881">
        <v>8</v>
      </c>
      <c r="C70" s="883" t="s">
        <v>260</v>
      </c>
      <c r="D70" s="747">
        <f>'Arable Inputs'!$H$18</f>
        <v>12</v>
      </c>
      <c r="E70" s="747">
        <f>'Arable Inputs'!$H$25</f>
        <v>107.1</v>
      </c>
      <c r="H70" s="749">
        <f>D70*E70</f>
        <v>1285.1999999999998</v>
      </c>
      <c r="I70" s="197">
        <f>'Arable NPV'!$E150</f>
        <v>220</v>
      </c>
      <c r="J70" s="197">
        <f t="shared" si="163"/>
        <v>1505.1999999999998</v>
      </c>
      <c r="K70" s="197">
        <f>'Arable NPV'!$G150</f>
        <v>528.51499999999999</v>
      </c>
      <c r="L70" s="197">
        <f>'Arable NPV'!$H150</f>
        <v>552.40000000000009</v>
      </c>
      <c r="M70" s="197">
        <f t="shared" si="164"/>
        <v>1080.915</v>
      </c>
      <c r="N70" s="197">
        <f t="shared" si="156"/>
        <v>204.28499999999985</v>
      </c>
      <c r="O70" s="197">
        <f t="shared" si="157"/>
        <v>424.28499999999985</v>
      </c>
      <c r="P70" s="196">
        <f t="shared" si="165"/>
        <v>976.64637352729153</v>
      </c>
      <c r="Q70" s="197">
        <f t="shared" si="166"/>
        <v>167.18191890445391</v>
      </c>
      <c r="R70" s="197">
        <f t="shared" si="167"/>
        <v>821.40656305730818</v>
      </c>
      <c r="S70" s="197">
        <f t="shared" si="168"/>
        <v>155.23981046998338</v>
      </c>
      <c r="T70" s="199">
        <f t="shared" si="169"/>
        <v>322.42172937443729</v>
      </c>
      <c r="U70" s="196">
        <f t="shared" si="170"/>
        <v>10865.405333516435</v>
      </c>
      <c r="V70" s="197">
        <f t="shared" si="171"/>
        <v>1540.4520273886512</v>
      </c>
      <c r="W70" s="197">
        <f t="shared" si="172"/>
        <v>9517.9005558963054</v>
      </c>
      <c r="X70" s="197">
        <f t="shared" si="173"/>
        <v>1347.5047776201309</v>
      </c>
      <c r="Y70" s="199">
        <f t="shared" si="174"/>
        <v>2887.9568050087819</v>
      </c>
      <c r="AB70" s="881">
        <v>8</v>
      </c>
      <c r="AC70" s="883" t="s">
        <v>31</v>
      </c>
      <c r="AD70" s="747">
        <f>'Arable Inputs'!$H$18</f>
        <v>12</v>
      </c>
      <c r="AE70" s="747">
        <f>'Arable Inputs'!$H$25+0.5*'Arable Inputs'!$H$25</f>
        <v>160.64999999999998</v>
      </c>
      <c r="AH70" s="749">
        <f>AD70*AE70</f>
        <v>1927.7999999999997</v>
      </c>
      <c r="AI70" s="197">
        <f>'Arable NPV'!$E150</f>
        <v>220</v>
      </c>
      <c r="AJ70" s="197">
        <f t="shared" si="175"/>
        <v>2147.7999999999997</v>
      </c>
      <c r="AK70" s="197">
        <f>'Arable NPV'!$G150</f>
        <v>528.51499999999999</v>
      </c>
      <c r="AL70" s="197">
        <f>'Arable NPV'!$H150</f>
        <v>552.40000000000009</v>
      </c>
      <c r="AM70" s="197">
        <f t="shared" si="158"/>
        <v>1080.915</v>
      </c>
      <c r="AN70" s="197">
        <f t="shared" si="159"/>
        <v>846.88499999999976</v>
      </c>
      <c r="AO70" s="197">
        <f t="shared" si="160"/>
        <v>1066.8849999999998</v>
      </c>
      <c r="AP70" s="196">
        <f t="shared" si="176"/>
        <v>1464.9695602909374</v>
      </c>
      <c r="AQ70" s="197">
        <f t="shared" si="177"/>
        <v>167.18191890445391</v>
      </c>
      <c r="AR70" s="197">
        <f t="shared" si="178"/>
        <v>821.40656305730818</v>
      </c>
      <c r="AS70" s="197">
        <f t="shared" si="179"/>
        <v>643.56299723362918</v>
      </c>
      <c r="AT70" s="199">
        <f t="shared" si="180"/>
        <v>810.74491613808311</v>
      </c>
      <c r="AU70" s="196">
        <f t="shared" si="181"/>
        <v>16298.108000274655</v>
      </c>
      <c r="AV70" s="197">
        <f t="shared" si="182"/>
        <v>1540.4520273886512</v>
      </c>
      <c r="AW70" s="197">
        <f t="shared" si="183"/>
        <v>9517.9005558963054</v>
      </c>
      <c r="AX70" s="197">
        <f t="shared" si="184"/>
        <v>6780.2074443783495</v>
      </c>
      <c r="AY70" s="199">
        <f t="shared" si="185"/>
        <v>8320.6594717670014</v>
      </c>
      <c r="BB70" s="881">
        <v>8</v>
      </c>
      <c r="BC70" s="883" t="s">
        <v>31</v>
      </c>
      <c r="BD70" s="747">
        <f>'Arable Inputs'!$H$18</f>
        <v>12</v>
      </c>
      <c r="BE70" s="747">
        <f>'Arable Inputs'!$H$25-0.5*'Arable Inputs'!$H$25</f>
        <v>53.55</v>
      </c>
      <c r="BH70" s="749">
        <f>BD70*BE70</f>
        <v>642.59999999999991</v>
      </c>
      <c r="BI70" s="197">
        <f>'Arable NPV'!$E150</f>
        <v>220</v>
      </c>
      <c r="BJ70" s="197">
        <f t="shared" si="161"/>
        <v>862.59999999999991</v>
      </c>
      <c r="BK70" s="197">
        <f>'Arable NPV'!$G150</f>
        <v>528.51499999999999</v>
      </c>
      <c r="BL70" s="197">
        <f>'Arable NPV'!$H150</f>
        <v>552.40000000000009</v>
      </c>
      <c r="BM70" s="197">
        <f t="shared" si="186"/>
        <v>1080.915</v>
      </c>
      <c r="BN70" s="197">
        <f t="shared" si="162"/>
        <v>-438.31500000000005</v>
      </c>
      <c r="BO70" s="197">
        <f t="shared" si="187"/>
        <v>-218.31500000000005</v>
      </c>
      <c r="BP70" s="196">
        <f t="shared" si="188"/>
        <v>488.32318676364577</v>
      </c>
      <c r="BQ70" s="197">
        <f t="shared" si="189"/>
        <v>167.18191890445391</v>
      </c>
      <c r="BR70" s="197">
        <f t="shared" si="190"/>
        <v>821.40656305730818</v>
      </c>
      <c r="BS70" s="197">
        <f t="shared" si="191"/>
        <v>-333.08337629366241</v>
      </c>
      <c r="BT70" s="199">
        <f t="shared" si="192"/>
        <v>-165.90145738920847</v>
      </c>
      <c r="BU70" s="196">
        <f t="shared" si="193"/>
        <v>5432.7026667582177</v>
      </c>
      <c r="BV70" s="197">
        <f t="shared" si="194"/>
        <v>1540.4520273886512</v>
      </c>
      <c r="BW70" s="197">
        <f t="shared" si="195"/>
        <v>9517.9005558963054</v>
      </c>
      <c r="BX70" s="197">
        <f t="shared" si="196"/>
        <v>-4085.1978891380872</v>
      </c>
      <c r="BY70" s="199">
        <f t="shared" si="197"/>
        <v>-2544.7458617494362</v>
      </c>
      <c r="CB70" s="881">
        <v>8</v>
      </c>
      <c r="CC70" s="883" t="s">
        <v>31</v>
      </c>
      <c r="CD70" s="747">
        <f>'Arable Inputs'!$H$18</f>
        <v>12</v>
      </c>
      <c r="CE70" s="747">
        <f>'Arable Inputs'!$H$25+'Arable Inputs'!$H$25</f>
        <v>214.2</v>
      </c>
      <c r="CH70" s="749">
        <f>CD70*CE70</f>
        <v>2570.3999999999996</v>
      </c>
      <c r="CI70" s="197">
        <f>'Arable NPV'!$E150</f>
        <v>220</v>
      </c>
      <c r="CJ70" s="197">
        <f t="shared" si="198"/>
        <v>2790.3999999999996</v>
      </c>
      <c r="CK70" s="197">
        <f>'Arable NPV'!$G150</f>
        <v>528.51499999999999</v>
      </c>
      <c r="CL70" s="197">
        <f>'Arable NPV'!$H150</f>
        <v>552.40000000000009</v>
      </c>
      <c r="CM70" s="197">
        <f t="shared" si="199"/>
        <v>1080.915</v>
      </c>
      <c r="CN70" s="197">
        <f t="shared" si="200"/>
        <v>1489.4849999999997</v>
      </c>
      <c r="CO70" s="197">
        <f t="shared" si="201"/>
        <v>1709.4849999999997</v>
      </c>
      <c r="CP70" s="196">
        <f t="shared" si="202"/>
        <v>1953.2927470545831</v>
      </c>
      <c r="CQ70" s="197">
        <f t="shared" si="203"/>
        <v>167.18191890445391</v>
      </c>
      <c r="CR70" s="197">
        <f t="shared" si="204"/>
        <v>821.40656305730818</v>
      </c>
      <c r="CS70" s="197">
        <f t="shared" si="205"/>
        <v>1131.8861839972749</v>
      </c>
      <c r="CT70" s="199">
        <f t="shared" si="206"/>
        <v>1299.0681029017289</v>
      </c>
      <c r="CU70" s="196">
        <f t="shared" si="207"/>
        <v>21730.810667032871</v>
      </c>
      <c r="CV70" s="197">
        <f t="shared" si="208"/>
        <v>1540.4520273886512</v>
      </c>
      <c r="CW70" s="197">
        <f t="shared" si="209"/>
        <v>9517.9005558963054</v>
      </c>
      <c r="CX70" s="197">
        <f t="shared" si="210"/>
        <v>12212.910111136565</v>
      </c>
      <c r="CY70" s="199">
        <f t="shared" si="211"/>
        <v>13753.362138525219</v>
      </c>
      <c r="DB70" s="204">
        <f t="shared" si="226"/>
        <v>8</v>
      </c>
      <c r="DC70" s="883" t="s">
        <v>31</v>
      </c>
      <c r="DD70" s="747">
        <f>'Arable Inputs'!$H$18</f>
        <v>12</v>
      </c>
      <c r="DE70" s="747">
        <f>'Arable Inputs'!$H$25-'Arable Inputs'!$H$25</f>
        <v>0</v>
      </c>
      <c r="DH70" s="749">
        <f>DD70*DE70</f>
        <v>0</v>
      </c>
      <c r="DI70" s="197">
        <f>'Arable NPV'!$E150</f>
        <v>220</v>
      </c>
      <c r="DJ70" s="197">
        <f t="shared" si="212"/>
        <v>220</v>
      </c>
      <c r="DK70" s="197">
        <f>'Arable NPV'!$G150</f>
        <v>528.51499999999999</v>
      </c>
      <c r="DL70" s="197">
        <f>'Arable NPV'!$H150</f>
        <v>552.40000000000009</v>
      </c>
      <c r="DM70" s="197">
        <f t="shared" si="213"/>
        <v>1080.915</v>
      </c>
      <c r="DN70" s="197">
        <f t="shared" si="214"/>
        <v>-1080.915</v>
      </c>
      <c r="DO70" s="197">
        <f t="shared" si="215"/>
        <v>-860.91499999999996</v>
      </c>
      <c r="DP70" s="196">
        <f t="shared" si="216"/>
        <v>0</v>
      </c>
      <c r="DQ70" s="197">
        <f t="shared" si="217"/>
        <v>167.18191890445391</v>
      </c>
      <c r="DR70" s="197">
        <f t="shared" si="218"/>
        <v>821.40656305730818</v>
      </c>
      <c r="DS70" s="197">
        <f t="shared" si="219"/>
        <v>-821.40656305730818</v>
      </c>
      <c r="DT70" s="199">
        <f t="shared" si="220"/>
        <v>-654.22464415285424</v>
      </c>
      <c r="DU70" s="196">
        <f t="shared" si="221"/>
        <v>0</v>
      </c>
      <c r="DV70" s="197">
        <f t="shared" si="222"/>
        <v>1540.4520273886512</v>
      </c>
      <c r="DW70" s="197">
        <f t="shared" si="223"/>
        <v>9517.9005558963054</v>
      </c>
      <c r="DX70" s="197">
        <f t="shared" si="224"/>
        <v>-9517.9005558963054</v>
      </c>
      <c r="DY70" s="199">
        <f t="shared" si="225"/>
        <v>-7977.4485285076544</v>
      </c>
    </row>
    <row r="71" spans="2:129" x14ac:dyDescent="0.3">
      <c r="B71" s="881">
        <v>9</v>
      </c>
      <c r="C71" s="883" t="s">
        <v>6</v>
      </c>
      <c r="D71" s="747">
        <f>'Arable Inputs'!$F$18</f>
        <v>3.5</v>
      </c>
      <c r="E71" s="747">
        <f>'Arable Inputs'!$F$25</f>
        <v>335</v>
      </c>
      <c r="F71" s="747">
        <f>'Arable Inputs'!$F$19</f>
        <v>2.6</v>
      </c>
      <c r="G71" s="747">
        <f>'Arable Inputs'!$F$26</f>
        <v>37.5</v>
      </c>
      <c r="H71" s="749">
        <f>D71*E71+F71*G71</f>
        <v>1270</v>
      </c>
      <c r="I71" s="197">
        <f>'Arable NPV'!$E151</f>
        <v>220</v>
      </c>
      <c r="J71" s="197">
        <f t="shared" si="163"/>
        <v>1490</v>
      </c>
      <c r="K71" s="197">
        <f>'Arable NPV'!$G151</f>
        <v>541.75901992521074</v>
      </c>
      <c r="L71" s="197">
        <f>'Arable NPV'!$H151</f>
        <v>621.47428571428577</v>
      </c>
      <c r="M71" s="197">
        <f t="shared" si="164"/>
        <v>1163.2333056394964</v>
      </c>
      <c r="N71" s="197">
        <f t="shared" si="156"/>
        <v>106.76669436050361</v>
      </c>
      <c r="O71" s="197">
        <f t="shared" si="157"/>
        <v>326.76669436050361</v>
      </c>
      <c r="P71" s="196">
        <f t="shared" si="165"/>
        <v>927.97656035251941</v>
      </c>
      <c r="Q71" s="197">
        <f t="shared" si="166"/>
        <v>160.75184510043644</v>
      </c>
      <c r="R71" s="197">
        <f t="shared" si="167"/>
        <v>849.96318256285883</v>
      </c>
      <c r="S71" s="197">
        <f t="shared" si="168"/>
        <v>78.013377789660524</v>
      </c>
      <c r="T71" s="199">
        <f t="shared" si="169"/>
        <v>238.76522289009696</v>
      </c>
      <c r="U71" s="196">
        <f t="shared" si="170"/>
        <v>11793.381893868955</v>
      </c>
      <c r="V71" s="197">
        <f t="shared" si="171"/>
        <v>1701.2038724890876</v>
      </c>
      <c r="W71" s="197">
        <f t="shared" si="172"/>
        <v>10367.863738459164</v>
      </c>
      <c r="X71" s="197">
        <f t="shared" si="173"/>
        <v>1425.5181554097915</v>
      </c>
      <c r="Y71" s="199">
        <f t="shared" si="174"/>
        <v>3126.7220278988789</v>
      </c>
      <c r="AB71" s="881">
        <v>9</v>
      </c>
      <c r="AC71" s="883" t="s">
        <v>6</v>
      </c>
      <c r="AD71" s="747">
        <f>'Arable Inputs'!$F$18</f>
        <v>3.5</v>
      </c>
      <c r="AE71" s="747">
        <f>'Arable Inputs'!$F$25+0.5*'Arable Inputs'!$F$25</f>
        <v>502.5</v>
      </c>
      <c r="AF71" s="747">
        <f>'Arable Inputs'!$F$19</f>
        <v>2.6</v>
      </c>
      <c r="AG71" s="747">
        <f>'Arable Inputs'!$F$26+0.5*'Arable Inputs'!$F$26</f>
        <v>56.25</v>
      </c>
      <c r="AH71" s="749">
        <f>AD71*AE71+AF71*AG71</f>
        <v>1905</v>
      </c>
      <c r="AI71" s="197">
        <f>'Arable NPV'!$E151</f>
        <v>220</v>
      </c>
      <c r="AJ71" s="197">
        <f t="shared" si="175"/>
        <v>2125</v>
      </c>
      <c r="AK71" s="197">
        <f>'Arable NPV'!$G151</f>
        <v>541.75901992521074</v>
      </c>
      <c r="AL71" s="197">
        <f>'Arable NPV'!$H151</f>
        <v>621.47428571428577</v>
      </c>
      <c r="AM71" s="197">
        <f t="shared" si="158"/>
        <v>1163.2333056394964</v>
      </c>
      <c r="AN71" s="197">
        <f t="shared" si="159"/>
        <v>741.76669436050361</v>
      </c>
      <c r="AO71" s="197">
        <f t="shared" si="160"/>
        <v>961.76669436050361</v>
      </c>
      <c r="AP71" s="196">
        <f t="shared" si="176"/>
        <v>1391.9648405287792</v>
      </c>
      <c r="AQ71" s="197">
        <f t="shared" si="177"/>
        <v>160.75184510043644</v>
      </c>
      <c r="AR71" s="197">
        <f t="shared" si="178"/>
        <v>849.96318256285883</v>
      </c>
      <c r="AS71" s="197">
        <f t="shared" si="179"/>
        <v>542.00165796592023</v>
      </c>
      <c r="AT71" s="199">
        <f t="shared" si="180"/>
        <v>702.75350306635664</v>
      </c>
      <c r="AU71" s="196">
        <f t="shared" si="181"/>
        <v>17690.072840803434</v>
      </c>
      <c r="AV71" s="197">
        <f t="shared" si="182"/>
        <v>1701.2038724890876</v>
      </c>
      <c r="AW71" s="197">
        <f t="shared" si="183"/>
        <v>10367.863738459164</v>
      </c>
      <c r="AX71" s="197">
        <f t="shared" si="184"/>
        <v>7322.2091023442699</v>
      </c>
      <c r="AY71" s="199">
        <f t="shared" si="185"/>
        <v>9023.412974833358</v>
      </c>
      <c r="BB71" s="881">
        <v>9</v>
      </c>
      <c r="BC71" s="883" t="s">
        <v>6</v>
      </c>
      <c r="BD71" s="747">
        <f>'Arable Inputs'!$F$18</f>
        <v>3.5</v>
      </c>
      <c r="BE71" s="747">
        <f>'Arable Inputs'!$F$25-0.5*'Arable Inputs'!$F$25</f>
        <v>167.5</v>
      </c>
      <c r="BF71" s="747">
        <f>'Arable Inputs'!$F$19</f>
        <v>2.6</v>
      </c>
      <c r="BG71" s="747">
        <f>'Arable Inputs'!$F$26-0.5*'Arable Inputs'!$F$26</f>
        <v>18.75</v>
      </c>
      <c r="BH71" s="749">
        <f>BD71*BE71+BF71*BG71</f>
        <v>635</v>
      </c>
      <c r="BI71" s="197">
        <f>'Arable NPV'!$E151</f>
        <v>220</v>
      </c>
      <c r="BJ71" s="197">
        <f t="shared" si="161"/>
        <v>855</v>
      </c>
      <c r="BK71" s="197">
        <f>'Arable NPV'!$G151</f>
        <v>541.75901992521074</v>
      </c>
      <c r="BL71" s="197">
        <f>'Arable NPV'!$H151</f>
        <v>621.47428571428577</v>
      </c>
      <c r="BM71" s="197">
        <f t="shared" si="186"/>
        <v>1163.2333056394964</v>
      </c>
      <c r="BN71" s="197">
        <f t="shared" si="162"/>
        <v>-528.23330563949639</v>
      </c>
      <c r="BO71" s="197">
        <f t="shared" si="187"/>
        <v>-308.23330563949639</v>
      </c>
      <c r="BP71" s="196">
        <f t="shared" si="188"/>
        <v>463.98828017625971</v>
      </c>
      <c r="BQ71" s="197">
        <f t="shared" si="189"/>
        <v>160.75184510043644</v>
      </c>
      <c r="BR71" s="197">
        <f t="shared" si="190"/>
        <v>849.96318256285883</v>
      </c>
      <c r="BS71" s="197">
        <f t="shared" si="191"/>
        <v>-385.97490238659918</v>
      </c>
      <c r="BT71" s="199">
        <f t="shared" si="192"/>
        <v>-225.22305728616274</v>
      </c>
      <c r="BU71" s="196">
        <f t="shared" si="193"/>
        <v>5896.6909469344773</v>
      </c>
      <c r="BV71" s="197">
        <f t="shared" si="194"/>
        <v>1701.2038724890876</v>
      </c>
      <c r="BW71" s="197">
        <f t="shared" si="195"/>
        <v>10367.863738459164</v>
      </c>
      <c r="BX71" s="197">
        <f t="shared" si="196"/>
        <v>-4471.1727915246865</v>
      </c>
      <c r="BY71" s="199">
        <f t="shared" si="197"/>
        <v>-2769.9689190355989</v>
      </c>
      <c r="CB71" s="881">
        <v>9</v>
      </c>
      <c r="CC71" s="883" t="s">
        <v>6</v>
      </c>
      <c r="CD71" s="747">
        <f>'Arable Inputs'!$F$18</f>
        <v>3.5</v>
      </c>
      <c r="CE71" s="747">
        <f>'Arable Inputs'!$F$25+'Arable Inputs'!$F$25</f>
        <v>670</v>
      </c>
      <c r="CF71" s="747">
        <f>'Arable Inputs'!$F$19</f>
        <v>2.6</v>
      </c>
      <c r="CG71" s="747">
        <f>'Arable Inputs'!$F$26+'Arable Inputs'!$F$26</f>
        <v>75</v>
      </c>
      <c r="CH71" s="749">
        <f>CD71*CE71+CF71*CG71</f>
        <v>2540</v>
      </c>
      <c r="CI71" s="197">
        <f>'Arable NPV'!$E151</f>
        <v>220</v>
      </c>
      <c r="CJ71" s="197">
        <f t="shared" si="198"/>
        <v>2760</v>
      </c>
      <c r="CK71" s="197">
        <f>'Arable NPV'!$G151</f>
        <v>541.75901992521074</v>
      </c>
      <c r="CL71" s="197">
        <f>'Arable NPV'!$H151</f>
        <v>621.47428571428577</v>
      </c>
      <c r="CM71" s="197">
        <f t="shared" si="199"/>
        <v>1163.2333056394964</v>
      </c>
      <c r="CN71" s="197">
        <f t="shared" si="200"/>
        <v>1376.7666943605036</v>
      </c>
      <c r="CO71" s="197">
        <f t="shared" si="201"/>
        <v>1596.7666943605036</v>
      </c>
      <c r="CP71" s="196">
        <f t="shared" si="202"/>
        <v>1855.9531207050388</v>
      </c>
      <c r="CQ71" s="197">
        <f t="shared" si="203"/>
        <v>160.75184510043644</v>
      </c>
      <c r="CR71" s="197">
        <f t="shared" si="204"/>
        <v>849.96318256285883</v>
      </c>
      <c r="CS71" s="197">
        <f t="shared" si="205"/>
        <v>1005.9899381421799</v>
      </c>
      <c r="CT71" s="199">
        <f t="shared" si="206"/>
        <v>1166.7417832426163</v>
      </c>
      <c r="CU71" s="196">
        <f t="shared" si="207"/>
        <v>23586.763787737909</v>
      </c>
      <c r="CV71" s="197">
        <f t="shared" si="208"/>
        <v>1701.2038724890876</v>
      </c>
      <c r="CW71" s="197">
        <f t="shared" si="209"/>
        <v>10367.863738459164</v>
      </c>
      <c r="CX71" s="197">
        <f t="shared" si="210"/>
        <v>13218.900049278745</v>
      </c>
      <c r="CY71" s="199">
        <f t="shared" si="211"/>
        <v>14920.103921767835</v>
      </c>
      <c r="DB71" s="204">
        <f t="shared" si="226"/>
        <v>9</v>
      </c>
      <c r="DC71" s="883" t="s">
        <v>6</v>
      </c>
      <c r="DD71" s="747">
        <f>'Arable Inputs'!$F$18</f>
        <v>3.5</v>
      </c>
      <c r="DE71" s="747">
        <f>'Arable Inputs'!$F$25-'Arable Inputs'!$F$25</f>
        <v>0</v>
      </c>
      <c r="DF71" s="747">
        <f>'Arable Inputs'!$F$19</f>
        <v>2.6</v>
      </c>
      <c r="DG71" s="747">
        <f>'Arable Inputs'!$F$26-'Arable Inputs'!$F$26</f>
        <v>0</v>
      </c>
      <c r="DH71" s="749">
        <f>DD71*DE71+DF71*DG71</f>
        <v>0</v>
      </c>
      <c r="DI71" s="197">
        <f>'Arable NPV'!$E151</f>
        <v>220</v>
      </c>
      <c r="DJ71" s="197">
        <f t="shared" si="212"/>
        <v>220</v>
      </c>
      <c r="DK71" s="197">
        <f>'Arable NPV'!$G151</f>
        <v>541.75901992521074</v>
      </c>
      <c r="DL71" s="197">
        <f>'Arable NPV'!$H151</f>
        <v>621.47428571428577</v>
      </c>
      <c r="DM71" s="197">
        <f t="shared" si="213"/>
        <v>1163.2333056394964</v>
      </c>
      <c r="DN71" s="197">
        <f t="shared" si="214"/>
        <v>-1163.2333056394964</v>
      </c>
      <c r="DO71" s="197">
        <f t="shared" si="215"/>
        <v>-943.23330563949639</v>
      </c>
      <c r="DP71" s="196">
        <f t="shared" si="216"/>
        <v>0</v>
      </c>
      <c r="DQ71" s="197">
        <f t="shared" si="217"/>
        <v>160.75184510043644</v>
      </c>
      <c r="DR71" s="197">
        <f t="shared" si="218"/>
        <v>849.96318256285883</v>
      </c>
      <c r="DS71" s="197">
        <f t="shared" si="219"/>
        <v>-849.96318256285883</v>
      </c>
      <c r="DT71" s="199">
        <f t="shared" si="220"/>
        <v>-689.21133746242242</v>
      </c>
      <c r="DU71" s="196">
        <f t="shared" si="221"/>
        <v>0</v>
      </c>
      <c r="DV71" s="197">
        <f t="shared" si="222"/>
        <v>1701.2038724890876</v>
      </c>
      <c r="DW71" s="197">
        <f t="shared" si="223"/>
        <v>10367.863738459164</v>
      </c>
      <c r="DX71" s="197">
        <f t="shared" si="224"/>
        <v>-10367.863738459164</v>
      </c>
      <c r="DY71" s="199">
        <f t="shared" si="225"/>
        <v>-8666.6598659700776</v>
      </c>
    </row>
    <row r="72" spans="2:129" x14ac:dyDescent="0.3">
      <c r="B72" s="881">
        <v>10</v>
      </c>
      <c r="C72" s="883" t="s">
        <v>5</v>
      </c>
      <c r="D72" s="747">
        <f>'Arable Inputs'!$E$18</f>
        <v>6.3</v>
      </c>
      <c r="E72" s="747">
        <f>'Arable Inputs'!$E$25</f>
        <v>140</v>
      </c>
      <c r="F72" s="747">
        <f>'Arable Inputs'!$E$19</f>
        <v>3.5</v>
      </c>
      <c r="G72" s="747">
        <f>'Arable Inputs'!$E$26</f>
        <v>70</v>
      </c>
      <c r="H72" s="749">
        <f>D72*E72+F72*G72</f>
        <v>1127</v>
      </c>
      <c r="I72" s="197">
        <f>'Arable NPV'!$E152</f>
        <v>220</v>
      </c>
      <c r="J72" s="197">
        <f t="shared" si="163"/>
        <v>1347</v>
      </c>
      <c r="K72" s="197">
        <f>'Arable NPV'!$G152</f>
        <v>418.54877602277168</v>
      </c>
      <c r="L72" s="197">
        <f>'Arable NPV'!$H152</f>
        <v>773.65999999999985</v>
      </c>
      <c r="M72" s="197">
        <f t="shared" si="164"/>
        <v>1192.2087760227714</v>
      </c>
      <c r="N72" s="197">
        <f t="shared" si="156"/>
        <v>-65.208776022771417</v>
      </c>
      <c r="O72" s="197">
        <f t="shared" si="157"/>
        <v>154.79122397722858</v>
      </c>
      <c r="P72" s="196">
        <f t="shared" si="165"/>
        <v>791.81525099734199</v>
      </c>
      <c r="Q72" s="197">
        <f t="shared" si="166"/>
        <v>154.5690818273427</v>
      </c>
      <c r="R72" s="197">
        <f t="shared" si="167"/>
        <v>837.63007207427199</v>
      </c>
      <c r="S72" s="197">
        <f t="shared" si="168"/>
        <v>-45.81482107693008</v>
      </c>
      <c r="T72" s="199">
        <f t="shared" si="169"/>
        <v>108.75426075041263</v>
      </c>
      <c r="U72" s="196">
        <f t="shared" si="170"/>
        <v>12585.197144866297</v>
      </c>
      <c r="V72" s="197">
        <f t="shared" si="171"/>
        <v>1855.7729543164303</v>
      </c>
      <c r="W72" s="197">
        <f t="shared" si="172"/>
        <v>11205.493810533437</v>
      </c>
      <c r="X72" s="197">
        <f t="shared" si="173"/>
        <v>1379.7033343328615</v>
      </c>
      <c r="Y72" s="199">
        <f t="shared" si="174"/>
        <v>3235.4762886492913</v>
      </c>
      <c r="AB72" s="881">
        <v>10</v>
      </c>
      <c r="AC72" s="883" t="s">
        <v>5</v>
      </c>
      <c r="AD72" s="747">
        <f>'Arable Inputs'!$E$18</f>
        <v>6.3</v>
      </c>
      <c r="AE72" s="747">
        <f>'Arable Inputs'!$E$25+0.5*'Arable Inputs'!$E$25</f>
        <v>210</v>
      </c>
      <c r="AF72" s="747">
        <f>'Arable Inputs'!$E$19</f>
        <v>3.5</v>
      </c>
      <c r="AG72" s="747">
        <f>'Arable Inputs'!$E$26+0.5*'Arable Inputs'!$E$26</f>
        <v>105</v>
      </c>
      <c r="AH72" s="749">
        <f>AD72*AE72+AF72*AG72</f>
        <v>1690.5</v>
      </c>
      <c r="AI72" s="197">
        <f>'Arable NPV'!$E152</f>
        <v>220</v>
      </c>
      <c r="AJ72" s="197">
        <f t="shared" si="175"/>
        <v>1910.5</v>
      </c>
      <c r="AK72" s="197">
        <f>'Arable NPV'!$G152</f>
        <v>418.54877602277168</v>
      </c>
      <c r="AL72" s="197">
        <f>'Arable NPV'!$H152</f>
        <v>773.65999999999985</v>
      </c>
      <c r="AM72" s="197">
        <f t="shared" si="158"/>
        <v>1192.2087760227714</v>
      </c>
      <c r="AN72" s="197">
        <f t="shared" si="159"/>
        <v>498.29122397722858</v>
      </c>
      <c r="AO72" s="197">
        <f t="shared" si="160"/>
        <v>718.29122397722858</v>
      </c>
      <c r="AP72" s="196">
        <f t="shared" si="176"/>
        <v>1187.722876496013</v>
      </c>
      <c r="AQ72" s="197">
        <f t="shared" si="177"/>
        <v>154.5690818273427</v>
      </c>
      <c r="AR72" s="197">
        <f t="shared" si="178"/>
        <v>837.63007207427199</v>
      </c>
      <c r="AS72" s="197">
        <f t="shared" si="179"/>
        <v>350.09280442174088</v>
      </c>
      <c r="AT72" s="199">
        <f t="shared" si="180"/>
        <v>504.66188624908358</v>
      </c>
      <c r="AU72" s="196">
        <f t="shared" si="181"/>
        <v>18877.795717299447</v>
      </c>
      <c r="AV72" s="197">
        <f t="shared" si="182"/>
        <v>1855.7729543164303</v>
      </c>
      <c r="AW72" s="197">
        <f t="shared" si="183"/>
        <v>11205.493810533437</v>
      </c>
      <c r="AX72" s="197">
        <f t="shared" si="184"/>
        <v>7672.3019067660107</v>
      </c>
      <c r="AY72" s="199">
        <f t="shared" si="185"/>
        <v>9528.0748610824412</v>
      </c>
      <c r="BB72" s="881">
        <v>10</v>
      </c>
      <c r="BC72" s="883" t="s">
        <v>5</v>
      </c>
      <c r="BD72" s="747">
        <f>'Arable Inputs'!$E$18</f>
        <v>6.3</v>
      </c>
      <c r="BE72" s="747">
        <f>'Arable Inputs'!$E$25-0.5*'Arable Inputs'!$E$25</f>
        <v>70</v>
      </c>
      <c r="BF72" s="747">
        <f>'Arable Inputs'!$E$19</f>
        <v>3.5</v>
      </c>
      <c r="BG72" s="747">
        <f>'Arable Inputs'!$E$26-0.5*'Arable Inputs'!$E$26</f>
        <v>35</v>
      </c>
      <c r="BH72" s="749">
        <f>BD72*BE72+BF72*BG72</f>
        <v>563.5</v>
      </c>
      <c r="BI72" s="197">
        <f>'Arable NPV'!$E152</f>
        <v>220</v>
      </c>
      <c r="BJ72" s="197">
        <f t="shared" si="161"/>
        <v>783.5</v>
      </c>
      <c r="BK72" s="197">
        <f>'Arable NPV'!$G152</f>
        <v>418.54877602277168</v>
      </c>
      <c r="BL72" s="197">
        <f>'Arable NPV'!$H152</f>
        <v>773.65999999999985</v>
      </c>
      <c r="BM72" s="197">
        <f t="shared" si="186"/>
        <v>1192.2087760227714</v>
      </c>
      <c r="BN72" s="197">
        <f t="shared" si="162"/>
        <v>-628.70877602277142</v>
      </c>
      <c r="BO72" s="197">
        <f t="shared" si="187"/>
        <v>-408.70877602277142</v>
      </c>
      <c r="BP72" s="196">
        <f t="shared" si="188"/>
        <v>395.907625498671</v>
      </c>
      <c r="BQ72" s="197">
        <f t="shared" si="189"/>
        <v>154.5690818273427</v>
      </c>
      <c r="BR72" s="197">
        <f t="shared" si="190"/>
        <v>837.63007207427199</v>
      </c>
      <c r="BS72" s="197">
        <f t="shared" si="191"/>
        <v>-441.72244657560105</v>
      </c>
      <c r="BT72" s="199">
        <f t="shared" si="192"/>
        <v>-287.15336474825835</v>
      </c>
      <c r="BU72" s="196">
        <f t="shared" si="193"/>
        <v>6292.5985724331485</v>
      </c>
      <c r="BV72" s="197">
        <f t="shared" si="194"/>
        <v>1855.7729543164303</v>
      </c>
      <c r="BW72" s="197">
        <f t="shared" si="195"/>
        <v>11205.493810533437</v>
      </c>
      <c r="BX72" s="197">
        <f t="shared" si="196"/>
        <v>-4912.8952381002873</v>
      </c>
      <c r="BY72" s="199">
        <f t="shared" si="197"/>
        <v>-3057.1222837838573</v>
      </c>
      <c r="CB72" s="881">
        <v>10</v>
      </c>
      <c r="CC72" s="883" t="s">
        <v>5</v>
      </c>
      <c r="CD72" s="747">
        <f>'Arable Inputs'!$E$18</f>
        <v>6.3</v>
      </c>
      <c r="CE72" s="747">
        <f>'Arable Inputs'!$E$25+'Arable Inputs'!$E$25</f>
        <v>280</v>
      </c>
      <c r="CF72" s="747">
        <f>'Arable Inputs'!$E$19</f>
        <v>3.5</v>
      </c>
      <c r="CG72" s="747">
        <f>'Arable Inputs'!$E$26+'Arable Inputs'!$E$26</f>
        <v>140</v>
      </c>
      <c r="CH72" s="749">
        <f>CD72*CE72+CF72*CG72</f>
        <v>2254</v>
      </c>
      <c r="CI72" s="197">
        <f>'Arable NPV'!$E152</f>
        <v>220</v>
      </c>
      <c r="CJ72" s="197">
        <f t="shared" si="198"/>
        <v>2474</v>
      </c>
      <c r="CK72" s="197">
        <f>'Arable NPV'!$G152</f>
        <v>418.54877602277168</v>
      </c>
      <c r="CL72" s="197">
        <f>'Arable NPV'!$H152</f>
        <v>773.65999999999985</v>
      </c>
      <c r="CM72" s="197">
        <f t="shared" si="199"/>
        <v>1192.2087760227714</v>
      </c>
      <c r="CN72" s="197">
        <f t="shared" si="200"/>
        <v>1061.7912239772286</v>
      </c>
      <c r="CO72" s="197">
        <f t="shared" si="201"/>
        <v>1281.7912239772286</v>
      </c>
      <c r="CP72" s="196">
        <f t="shared" si="202"/>
        <v>1583.630501994684</v>
      </c>
      <c r="CQ72" s="197">
        <f t="shared" si="203"/>
        <v>154.5690818273427</v>
      </c>
      <c r="CR72" s="197">
        <f t="shared" si="204"/>
        <v>837.63007207427199</v>
      </c>
      <c r="CS72" s="197">
        <f t="shared" si="205"/>
        <v>746.00042992041188</v>
      </c>
      <c r="CT72" s="199">
        <f t="shared" si="206"/>
        <v>900.56951174775463</v>
      </c>
      <c r="CU72" s="196">
        <f t="shared" si="207"/>
        <v>25170.394289732594</v>
      </c>
      <c r="CV72" s="197">
        <f t="shared" si="208"/>
        <v>1855.7729543164303</v>
      </c>
      <c r="CW72" s="197">
        <f t="shared" si="209"/>
        <v>11205.493810533437</v>
      </c>
      <c r="CX72" s="197">
        <f t="shared" si="210"/>
        <v>13964.900479199157</v>
      </c>
      <c r="CY72" s="199">
        <f t="shared" si="211"/>
        <v>15820.673433515591</v>
      </c>
      <c r="DB72" s="204">
        <f t="shared" si="226"/>
        <v>10</v>
      </c>
      <c r="DC72" s="883" t="s">
        <v>5</v>
      </c>
      <c r="DD72" s="747">
        <f>'Arable Inputs'!$E$18</f>
        <v>6.3</v>
      </c>
      <c r="DE72" s="747">
        <f>'Arable Inputs'!$E$25-'Arable Inputs'!$E$25</f>
        <v>0</v>
      </c>
      <c r="DF72" s="747">
        <f>'Arable Inputs'!$E$19</f>
        <v>3.5</v>
      </c>
      <c r="DG72" s="747">
        <f>'Arable Inputs'!$E$26-'Arable Inputs'!$E$26</f>
        <v>0</v>
      </c>
      <c r="DH72" s="749">
        <f>DD72*DE72+DF72*DG72</f>
        <v>0</v>
      </c>
      <c r="DI72" s="197">
        <f>'Arable NPV'!$E152</f>
        <v>220</v>
      </c>
      <c r="DJ72" s="197">
        <f t="shared" si="212"/>
        <v>220</v>
      </c>
      <c r="DK72" s="197">
        <f>'Arable NPV'!$G152</f>
        <v>418.54877602277168</v>
      </c>
      <c r="DL72" s="197">
        <f>'Arable NPV'!$H152</f>
        <v>773.65999999999985</v>
      </c>
      <c r="DM72" s="197">
        <f t="shared" si="213"/>
        <v>1192.2087760227714</v>
      </c>
      <c r="DN72" s="197">
        <f t="shared" si="214"/>
        <v>-1192.2087760227714</v>
      </c>
      <c r="DO72" s="197">
        <f t="shared" si="215"/>
        <v>-972.20877602277142</v>
      </c>
      <c r="DP72" s="196">
        <f t="shared" si="216"/>
        <v>0</v>
      </c>
      <c r="DQ72" s="197">
        <f t="shared" si="217"/>
        <v>154.5690818273427</v>
      </c>
      <c r="DR72" s="197">
        <f t="shared" si="218"/>
        <v>837.63007207427199</v>
      </c>
      <c r="DS72" s="197">
        <f t="shared" si="219"/>
        <v>-837.63007207427199</v>
      </c>
      <c r="DT72" s="199">
        <f t="shared" si="220"/>
        <v>-683.06099024692935</v>
      </c>
      <c r="DU72" s="196">
        <f t="shared" si="221"/>
        <v>0</v>
      </c>
      <c r="DV72" s="197">
        <f t="shared" si="222"/>
        <v>1855.7729543164303</v>
      </c>
      <c r="DW72" s="197">
        <f t="shared" si="223"/>
        <v>11205.493810533437</v>
      </c>
      <c r="DX72" s="197">
        <f t="shared" si="224"/>
        <v>-11205.493810533437</v>
      </c>
      <c r="DY72" s="199">
        <f t="shared" si="225"/>
        <v>-9349.7208562170072</v>
      </c>
    </row>
    <row r="73" spans="2:129" x14ac:dyDescent="0.3">
      <c r="B73" s="881">
        <v>11</v>
      </c>
      <c r="C73" s="883" t="s">
        <v>4</v>
      </c>
      <c r="D73" s="747">
        <f>'Arable Inputs'!$D$18</f>
        <v>8.25</v>
      </c>
      <c r="E73" s="747">
        <f>'Arable Inputs'!$D$25</f>
        <v>162</v>
      </c>
      <c r="F73" s="747">
        <f>'Arable Inputs'!$D$19</f>
        <v>3.9</v>
      </c>
      <c r="G73" s="747">
        <f>'Arable Inputs'!$D$26</f>
        <v>65</v>
      </c>
      <c r="H73" s="749">
        <f>D73*E73+F73*G73</f>
        <v>1590</v>
      </c>
      <c r="I73" s="197">
        <f>'Arable NPV'!$E153</f>
        <v>220</v>
      </c>
      <c r="J73" s="197">
        <f t="shared" si="163"/>
        <v>1810</v>
      </c>
      <c r="K73" s="197">
        <f>'Arable NPV'!$G153</f>
        <v>684.46423508399835</v>
      </c>
      <c r="L73" s="197">
        <f>'Arable NPV'!$H153</f>
        <v>841.31999999999994</v>
      </c>
      <c r="M73" s="197">
        <f t="shared" si="164"/>
        <v>1525.7842350839983</v>
      </c>
      <c r="N73" s="197">
        <f t="shared" si="156"/>
        <v>64.215764916001717</v>
      </c>
      <c r="O73" s="197">
        <f t="shared" si="157"/>
        <v>284.21576491600172</v>
      </c>
      <c r="P73" s="196">
        <f t="shared" si="165"/>
        <v>1074.1470284330196</v>
      </c>
      <c r="Q73" s="197">
        <f t="shared" si="166"/>
        <v>148.62411714167567</v>
      </c>
      <c r="R73" s="197">
        <f t="shared" si="167"/>
        <v>1030.7651585820281</v>
      </c>
      <c r="S73" s="197">
        <f t="shared" si="168"/>
        <v>43.381869850991578</v>
      </c>
      <c r="T73" s="199">
        <f t="shared" si="169"/>
        <v>192.00598699266726</v>
      </c>
      <c r="U73" s="196">
        <f t="shared" si="170"/>
        <v>13659.344173299316</v>
      </c>
      <c r="V73" s="197">
        <f t="shared" si="171"/>
        <v>2004.397071458106</v>
      </c>
      <c r="W73" s="197">
        <f t="shared" si="172"/>
        <v>12236.258969115464</v>
      </c>
      <c r="X73" s="197">
        <f t="shared" si="173"/>
        <v>1423.085204183853</v>
      </c>
      <c r="Y73" s="199">
        <f t="shared" si="174"/>
        <v>3427.4822756419585</v>
      </c>
      <c r="AB73" s="881">
        <v>11</v>
      </c>
      <c r="AC73" s="883" t="s">
        <v>4</v>
      </c>
      <c r="AD73" s="747">
        <f>'Arable Inputs'!$D$18</f>
        <v>8.25</v>
      </c>
      <c r="AE73" s="747">
        <f>'Arable Inputs'!$D$25+0.5*'Arable Inputs'!$D$25</f>
        <v>243</v>
      </c>
      <c r="AF73" s="747">
        <f>'Arable Inputs'!$D$19</f>
        <v>3.9</v>
      </c>
      <c r="AG73" s="747">
        <f>'Arable Inputs'!$D$26+0.5*'Arable Inputs'!$D$26</f>
        <v>97.5</v>
      </c>
      <c r="AH73" s="749">
        <f>AD73*AE73+AF73*AG73</f>
        <v>2385</v>
      </c>
      <c r="AI73" s="197">
        <f>'Arable NPV'!$E153</f>
        <v>220</v>
      </c>
      <c r="AJ73" s="197">
        <f t="shared" si="175"/>
        <v>2605</v>
      </c>
      <c r="AK73" s="197">
        <f>'Arable NPV'!$G153</f>
        <v>684.46423508399835</v>
      </c>
      <c r="AL73" s="197">
        <f>'Arable NPV'!$H153</f>
        <v>841.31999999999994</v>
      </c>
      <c r="AM73" s="197">
        <f t="shared" si="158"/>
        <v>1525.7842350839983</v>
      </c>
      <c r="AN73" s="197">
        <f t="shared" si="159"/>
        <v>859.21576491600172</v>
      </c>
      <c r="AO73" s="197">
        <f t="shared" si="160"/>
        <v>1079.2157649160017</v>
      </c>
      <c r="AP73" s="196">
        <f t="shared" si="176"/>
        <v>1611.2205426495295</v>
      </c>
      <c r="AQ73" s="197">
        <f t="shared" si="177"/>
        <v>148.62411714167567</v>
      </c>
      <c r="AR73" s="197">
        <f t="shared" si="178"/>
        <v>1030.7651585820281</v>
      </c>
      <c r="AS73" s="197">
        <f t="shared" si="179"/>
        <v>580.45538406750143</v>
      </c>
      <c r="AT73" s="199">
        <f t="shared" si="180"/>
        <v>729.07950120917712</v>
      </c>
      <c r="AU73" s="196">
        <f t="shared" si="181"/>
        <v>20489.016259948978</v>
      </c>
      <c r="AV73" s="197">
        <f t="shared" si="182"/>
        <v>2004.397071458106</v>
      </c>
      <c r="AW73" s="197">
        <f t="shared" si="183"/>
        <v>12236.258969115464</v>
      </c>
      <c r="AX73" s="197">
        <f t="shared" si="184"/>
        <v>8252.7572908335114</v>
      </c>
      <c r="AY73" s="199">
        <f t="shared" si="185"/>
        <v>10257.154362291618</v>
      </c>
      <c r="BB73" s="881">
        <v>11</v>
      </c>
      <c r="BC73" s="883" t="s">
        <v>4</v>
      </c>
      <c r="BD73" s="747">
        <f>'Arable Inputs'!$D$18</f>
        <v>8.25</v>
      </c>
      <c r="BE73" s="747">
        <f>'Arable Inputs'!$D$25-0.5*'Arable Inputs'!$D$25</f>
        <v>81</v>
      </c>
      <c r="BF73" s="747">
        <f>'Arable Inputs'!$D$19</f>
        <v>3.9</v>
      </c>
      <c r="BG73" s="747">
        <f>'Arable Inputs'!$D$26-0.5*'Arable Inputs'!$D$26</f>
        <v>32.5</v>
      </c>
      <c r="BH73" s="749">
        <f>BD73*BE73+BF73*BG73</f>
        <v>795</v>
      </c>
      <c r="BI73" s="197">
        <f>'Arable NPV'!$E153</f>
        <v>220</v>
      </c>
      <c r="BJ73" s="197">
        <f t="shared" si="161"/>
        <v>1015</v>
      </c>
      <c r="BK73" s="197">
        <f>'Arable NPV'!$G153</f>
        <v>684.46423508399835</v>
      </c>
      <c r="BL73" s="197">
        <f>'Arable NPV'!$H153</f>
        <v>841.31999999999994</v>
      </c>
      <c r="BM73" s="197">
        <f t="shared" si="186"/>
        <v>1525.7842350839983</v>
      </c>
      <c r="BN73" s="197">
        <f t="shared" si="162"/>
        <v>-730.78423508399828</v>
      </c>
      <c r="BO73" s="197">
        <f t="shared" si="187"/>
        <v>-510.78423508399828</v>
      </c>
      <c r="BP73" s="196">
        <f t="shared" si="188"/>
        <v>537.07351421650981</v>
      </c>
      <c r="BQ73" s="197">
        <f t="shared" si="189"/>
        <v>148.62411714167567</v>
      </c>
      <c r="BR73" s="197">
        <f t="shared" si="190"/>
        <v>1030.7651585820281</v>
      </c>
      <c r="BS73" s="197">
        <f t="shared" si="191"/>
        <v>-493.6916443655183</v>
      </c>
      <c r="BT73" s="199">
        <f t="shared" si="192"/>
        <v>-345.0675272238426</v>
      </c>
      <c r="BU73" s="196">
        <f t="shared" si="193"/>
        <v>6829.672086649658</v>
      </c>
      <c r="BV73" s="197">
        <f t="shared" si="194"/>
        <v>2004.397071458106</v>
      </c>
      <c r="BW73" s="197">
        <f t="shared" si="195"/>
        <v>12236.258969115464</v>
      </c>
      <c r="BX73" s="197">
        <f t="shared" si="196"/>
        <v>-5406.5868824658055</v>
      </c>
      <c r="BY73" s="199">
        <f t="shared" si="197"/>
        <v>-3402.1898110077</v>
      </c>
      <c r="CB73" s="881">
        <v>11</v>
      </c>
      <c r="CC73" s="883" t="s">
        <v>4</v>
      </c>
      <c r="CD73" s="747">
        <f>'Arable Inputs'!$D$18</f>
        <v>8.25</v>
      </c>
      <c r="CE73" s="747">
        <f>'Arable Inputs'!$D$25+'Arable Inputs'!$D$25</f>
        <v>324</v>
      </c>
      <c r="CF73" s="747">
        <f>'Arable Inputs'!$D$19</f>
        <v>3.9</v>
      </c>
      <c r="CG73" s="747">
        <f>'Arable Inputs'!$D$26+'Arable Inputs'!$D$26</f>
        <v>130</v>
      </c>
      <c r="CH73" s="749">
        <f>CD73*CE73+CF73*CG73</f>
        <v>3180</v>
      </c>
      <c r="CI73" s="197">
        <f>'Arable NPV'!$E153</f>
        <v>220</v>
      </c>
      <c r="CJ73" s="197">
        <f t="shared" si="198"/>
        <v>3400</v>
      </c>
      <c r="CK73" s="197">
        <f>'Arable NPV'!$G153</f>
        <v>684.46423508399835</v>
      </c>
      <c r="CL73" s="197">
        <f>'Arable NPV'!$H153</f>
        <v>841.31999999999994</v>
      </c>
      <c r="CM73" s="197">
        <f t="shared" si="199"/>
        <v>1525.7842350839983</v>
      </c>
      <c r="CN73" s="197">
        <f t="shared" si="200"/>
        <v>1654.2157649160017</v>
      </c>
      <c r="CO73" s="197">
        <f t="shared" si="201"/>
        <v>1874.2157649160017</v>
      </c>
      <c r="CP73" s="196">
        <f t="shared" si="202"/>
        <v>2148.2940568660392</v>
      </c>
      <c r="CQ73" s="197">
        <f t="shared" si="203"/>
        <v>148.62411714167567</v>
      </c>
      <c r="CR73" s="197">
        <f t="shared" si="204"/>
        <v>1030.7651585820281</v>
      </c>
      <c r="CS73" s="197">
        <f t="shared" si="205"/>
        <v>1117.5288982840113</v>
      </c>
      <c r="CT73" s="199">
        <f t="shared" si="206"/>
        <v>1266.153015425687</v>
      </c>
      <c r="CU73" s="196">
        <f t="shared" si="207"/>
        <v>27318.688346598632</v>
      </c>
      <c r="CV73" s="197">
        <f t="shared" si="208"/>
        <v>2004.397071458106</v>
      </c>
      <c r="CW73" s="197">
        <f t="shared" si="209"/>
        <v>12236.258969115464</v>
      </c>
      <c r="CX73" s="197">
        <f t="shared" si="210"/>
        <v>15082.429377483169</v>
      </c>
      <c r="CY73" s="199">
        <f t="shared" si="211"/>
        <v>17086.826448941276</v>
      </c>
      <c r="DB73" s="204">
        <f t="shared" si="226"/>
        <v>11</v>
      </c>
      <c r="DC73" s="883" t="s">
        <v>4</v>
      </c>
      <c r="DD73" s="747">
        <f>'Arable Inputs'!$D$18</f>
        <v>8.25</v>
      </c>
      <c r="DE73" s="747">
        <f>'Arable Inputs'!$D$25-'Arable Inputs'!$D$25</f>
        <v>0</v>
      </c>
      <c r="DF73" s="747">
        <f>'Arable Inputs'!$D$19</f>
        <v>3.9</v>
      </c>
      <c r="DG73" s="747">
        <f>'Arable Inputs'!$D$26-'Arable Inputs'!$D$26</f>
        <v>0</v>
      </c>
      <c r="DH73" s="749">
        <f>DD73*DE73+DF73*DG73</f>
        <v>0</v>
      </c>
      <c r="DI73" s="197">
        <f>'Arable NPV'!$E153</f>
        <v>220</v>
      </c>
      <c r="DJ73" s="197">
        <f t="shared" si="212"/>
        <v>220</v>
      </c>
      <c r="DK73" s="197">
        <f>'Arable NPV'!$G153</f>
        <v>684.46423508399835</v>
      </c>
      <c r="DL73" s="197">
        <f>'Arable NPV'!$H153</f>
        <v>841.31999999999994</v>
      </c>
      <c r="DM73" s="197">
        <f t="shared" si="213"/>
        <v>1525.7842350839983</v>
      </c>
      <c r="DN73" s="197">
        <f t="shared" si="214"/>
        <v>-1525.7842350839983</v>
      </c>
      <c r="DO73" s="197">
        <f t="shared" si="215"/>
        <v>-1305.7842350839983</v>
      </c>
      <c r="DP73" s="196">
        <f t="shared" si="216"/>
        <v>0</v>
      </c>
      <c r="DQ73" s="197">
        <f t="shared" si="217"/>
        <v>148.62411714167567</v>
      </c>
      <c r="DR73" s="197">
        <f t="shared" si="218"/>
        <v>1030.7651585820281</v>
      </c>
      <c r="DS73" s="197">
        <f t="shared" si="219"/>
        <v>-1030.7651585820281</v>
      </c>
      <c r="DT73" s="199">
        <f t="shared" si="220"/>
        <v>-882.14104144035241</v>
      </c>
      <c r="DU73" s="196">
        <f t="shared" si="221"/>
        <v>0</v>
      </c>
      <c r="DV73" s="197">
        <f t="shared" si="222"/>
        <v>2004.397071458106</v>
      </c>
      <c r="DW73" s="197">
        <f t="shared" si="223"/>
        <v>12236.258969115464</v>
      </c>
      <c r="DX73" s="197">
        <f t="shared" si="224"/>
        <v>-12236.258969115464</v>
      </c>
      <c r="DY73" s="199">
        <f t="shared" si="225"/>
        <v>-10231.86189765736</v>
      </c>
    </row>
    <row r="74" spans="2:129" x14ac:dyDescent="0.3">
      <c r="B74" s="881">
        <v>12</v>
      </c>
      <c r="C74" s="883" t="s">
        <v>7</v>
      </c>
      <c r="D74" s="747">
        <f>'Arable Inputs'!$G$18</f>
        <v>78</v>
      </c>
      <c r="E74" s="747">
        <f>'Arable Inputs'!$G$25</f>
        <v>27.16</v>
      </c>
      <c r="H74" s="749">
        <f>D74*E74</f>
        <v>2118.48</v>
      </c>
      <c r="I74" s="197">
        <f>'Arable NPV'!$E154</f>
        <v>220</v>
      </c>
      <c r="J74" s="197">
        <f t="shared" si="163"/>
        <v>2338.48</v>
      </c>
      <c r="K74" s="197">
        <f>'Arable NPV'!$G154</f>
        <v>793.83573723279574</v>
      </c>
      <c r="L74" s="197">
        <f>'Arable NPV'!$H154</f>
        <v>841.03</v>
      </c>
      <c r="M74" s="197">
        <f t="shared" si="164"/>
        <v>1634.8657372327957</v>
      </c>
      <c r="N74" s="197">
        <f t="shared" si="156"/>
        <v>483.61426276720431</v>
      </c>
      <c r="O74" s="197">
        <f t="shared" si="157"/>
        <v>703.61426276720431</v>
      </c>
      <c r="P74" s="196">
        <f t="shared" si="165"/>
        <v>1376.1242118981518</v>
      </c>
      <c r="Q74" s="197">
        <f t="shared" si="166"/>
        <v>142.90780494391893</v>
      </c>
      <c r="R74" s="197">
        <f t="shared" si="167"/>
        <v>1061.9776085725482</v>
      </c>
      <c r="S74" s="197">
        <f t="shared" si="168"/>
        <v>314.14660332560362</v>
      </c>
      <c r="T74" s="199">
        <f t="shared" si="169"/>
        <v>457.05440826952253</v>
      </c>
      <c r="U74" s="196">
        <f t="shared" si="170"/>
        <v>15035.468385197468</v>
      </c>
      <c r="V74" s="197">
        <f t="shared" si="171"/>
        <v>2147.304876402025</v>
      </c>
      <c r="W74" s="197">
        <f t="shared" si="172"/>
        <v>13298.236577688012</v>
      </c>
      <c r="X74" s="197">
        <f t="shared" si="173"/>
        <v>1737.2318075094565</v>
      </c>
      <c r="Y74" s="199">
        <f t="shared" si="174"/>
        <v>3884.5366839114808</v>
      </c>
      <c r="AB74" s="881">
        <v>12</v>
      </c>
      <c r="AC74" s="883" t="s">
        <v>7</v>
      </c>
      <c r="AD74" s="747">
        <f>'Arable Inputs'!$G$18</f>
        <v>78</v>
      </c>
      <c r="AE74" s="747">
        <f>'Arable Inputs'!$G$25+0.5*'Arable Inputs'!$G$25</f>
        <v>40.74</v>
      </c>
      <c r="AH74" s="749">
        <f>AD74*AE74</f>
        <v>3177.7200000000003</v>
      </c>
      <c r="AI74" s="197">
        <f>'Arable NPV'!$E154</f>
        <v>220</v>
      </c>
      <c r="AJ74" s="197">
        <f t="shared" si="175"/>
        <v>3397.7200000000003</v>
      </c>
      <c r="AK74" s="197">
        <f>'Arable NPV'!$G154</f>
        <v>793.83573723279574</v>
      </c>
      <c r="AL74" s="197">
        <f>'Arable NPV'!$H154</f>
        <v>841.03</v>
      </c>
      <c r="AM74" s="197">
        <f t="shared" si="158"/>
        <v>1634.8657372327957</v>
      </c>
      <c r="AN74" s="197">
        <f t="shared" si="159"/>
        <v>1542.8542627672045</v>
      </c>
      <c r="AO74" s="197">
        <f t="shared" si="160"/>
        <v>1762.8542627672045</v>
      </c>
      <c r="AP74" s="196">
        <f t="shared" si="176"/>
        <v>2064.1863178472277</v>
      </c>
      <c r="AQ74" s="197">
        <f t="shared" si="177"/>
        <v>142.90780494391893</v>
      </c>
      <c r="AR74" s="197">
        <f t="shared" si="178"/>
        <v>1061.9776085725482</v>
      </c>
      <c r="AS74" s="197">
        <f t="shared" si="179"/>
        <v>1002.2087092746797</v>
      </c>
      <c r="AT74" s="199">
        <f t="shared" si="180"/>
        <v>1145.1165142185985</v>
      </c>
      <c r="AU74" s="196">
        <f t="shared" si="181"/>
        <v>22553.202577796204</v>
      </c>
      <c r="AV74" s="197">
        <f t="shared" si="182"/>
        <v>2147.304876402025</v>
      </c>
      <c r="AW74" s="197">
        <f t="shared" si="183"/>
        <v>13298.236577688012</v>
      </c>
      <c r="AX74" s="197">
        <f t="shared" si="184"/>
        <v>9254.9660001081902</v>
      </c>
      <c r="AY74" s="199">
        <f t="shared" si="185"/>
        <v>11402.270876510216</v>
      </c>
      <c r="BB74" s="881">
        <v>12</v>
      </c>
      <c r="BC74" s="883" t="s">
        <v>7</v>
      </c>
      <c r="BD74" s="747">
        <f>'Arable Inputs'!$G$18</f>
        <v>78</v>
      </c>
      <c r="BE74" s="747">
        <f>'Arable Inputs'!$G$25-0.5*'Arable Inputs'!$G$25</f>
        <v>13.58</v>
      </c>
      <c r="BH74" s="749">
        <f>BD74*BE74</f>
        <v>1059.24</v>
      </c>
      <c r="BI74" s="197">
        <f>'Arable NPV'!$E154</f>
        <v>220</v>
      </c>
      <c r="BJ74" s="197">
        <f t="shared" si="161"/>
        <v>1279.24</v>
      </c>
      <c r="BK74" s="197">
        <f>'Arable NPV'!$G154</f>
        <v>793.83573723279574</v>
      </c>
      <c r="BL74" s="197">
        <f>'Arable NPV'!$H154</f>
        <v>841.03</v>
      </c>
      <c r="BM74" s="197">
        <f t="shared" si="186"/>
        <v>1634.8657372327957</v>
      </c>
      <c r="BN74" s="197">
        <f t="shared" si="162"/>
        <v>-575.6257372327957</v>
      </c>
      <c r="BO74" s="197">
        <f t="shared" si="187"/>
        <v>-355.6257372327957</v>
      </c>
      <c r="BP74" s="196">
        <f t="shared" si="188"/>
        <v>688.06210594907589</v>
      </c>
      <c r="BQ74" s="197">
        <f t="shared" si="189"/>
        <v>142.90780494391893</v>
      </c>
      <c r="BR74" s="197">
        <f t="shared" si="190"/>
        <v>1061.9776085725482</v>
      </c>
      <c r="BS74" s="197">
        <f t="shared" si="191"/>
        <v>-373.91550262347226</v>
      </c>
      <c r="BT74" s="199">
        <f t="shared" si="192"/>
        <v>-231.00769767955336</v>
      </c>
      <c r="BU74" s="196">
        <f t="shared" si="193"/>
        <v>7517.7341925987339</v>
      </c>
      <c r="BV74" s="197">
        <f t="shared" si="194"/>
        <v>2147.304876402025</v>
      </c>
      <c r="BW74" s="197">
        <f t="shared" si="195"/>
        <v>13298.236577688012</v>
      </c>
      <c r="BX74" s="197">
        <f t="shared" si="196"/>
        <v>-5780.5023850892776</v>
      </c>
      <c r="BY74" s="199">
        <f t="shared" si="197"/>
        <v>-3633.1975086872535</v>
      </c>
      <c r="CB74" s="881">
        <v>12</v>
      </c>
      <c r="CC74" s="883" t="s">
        <v>7</v>
      </c>
      <c r="CD74" s="747">
        <f>'Arable Inputs'!$G$18</f>
        <v>78</v>
      </c>
      <c r="CE74" s="747">
        <f>'Arable Inputs'!$G$25+'Arable Inputs'!$G$25</f>
        <v>54.32</v>
      </c>
      <c r="CH74" s="749">
        <f>CD74*CE74</f>
        <v>4236.96</v>
      </c>
      <c r="CI74" s="197">
        <f>'Arable NPV'!$E154</f>
        <v>220</v>
      </c>
      <c r="CJ74" s="197">
        <f t="shared" si="198"/>
        <v>4456.96</v>
      </c>
      <c r="CK74" s="197">
        <f>'Arable NPV'!$G154</f>
        <v>793.83573723279574</v>
      </c>
      <c r="CL74" s="197">
        <f>'Arable NPV'!$H154</f>
        <v>841.03</v>
      </c>
      <c r="CM74" s="197">
        <f t="shared" si="199"/>
        <v>1634.8657372327957</v>
      </c>
      <c r="CN74" s="197">
        <f t="shared" si="200"/>
        <v>2602.0942627672043</v>
      </c>
      <c r="CO74" s="197">
        <f t="shared" si="201"/>
        <v>2822.0942627672043</v>
      </c>
      <c r="CP74" s="196">
        <f t="shared" si="202"/>
        <v>2752.2484237963035</v>
      </c>
      <c r="CQ74" s="197">
        <f t="shared" si="203"/>
        <v>142.90780494391893</v>
      </c>
      <c r="CR74" s="197">
        <f t="shared" si="204"/>
        <v>1061.9776085725482</v>
      </c>
      <c r="CS74" s="197">
        <f t="shared" si="205"/>
        <v>1690.2708152237553</v>
      </c>
      <c r="CT74" s="199">
        <f t="shared" si="206"/>
        <v>1833.1786201676744</v>
      </c>
      <c r="CU74" s="196">
        <f t="shared" si="207"/>
        <v>30070.936770394936</v>
      </c>
      <c r="CV74" s="197">
        <f t="shared" si="208"/>
        <v>2147.304876402025</v>
      </c>
      <c r="CW74" s="197">
        <f t="shared" si="209"/>
        <v>13298.236577688012</v>
      </c>
      <c r="CX74" s="197">
        <f t="shared" si="210"/>
        <v>16772.700192706925</v>
      </c>
      <c r="CY74" s="199">
        <f t="shared" si="211"/>
        <v>18920.005069108949</v>
      </c>
      <c r="DB74" s="204">
        <f t="shared" si="226"/>
        <v>12</v>
      </c>
      <c r="DC74" s="883" t="s">
        <v>7</v>
      </c>
      <c r="DD74" s="747">
        <f>'Arable Inputs'!$G$18</f>
        <v>78</v>
      </c>
      <c r="DE74" s="747">
        <f>'Arable Inputs'!$G$25-'Arable Inputs'!$G$25</f>
        <v>0</v>
      </c>
      <c r="DH74" s="749">
        <f>DD74*DE74</f>
        <v>0</v>
      </c>
      <c r="DI74" s="197">
        <f>'Arable NPV'!$E154</f>
        <v>220</v>
      </c>
      <c r="DJ74" s="197">
        <f t="shared" si="212"/>
        <v>220</v>
      </c>
      <c r="DK74" s="197">
        <f>'Arable NPV'!$G154</f>
        <v>793.83573723279574</v>
      </c>
      <c r="DL74" s="197">
        <f>'Arable NPV'!$H154</f>
        <v>841.03</v>
      </c>
      <c r="DM74" s="197">
        <f t="shared" si="213"/>
        <v>1634.8657372327957</v>
      </c>
      <c r="DN74" s="197">
        <f t="shared" si="214"/>
        <v>-1634.8657372327957</v>
      </c>
      <c r="DO74" s="197">
        <f t="shared" si="215"/>
        <v>-1414.8657372327957</v>
      </c>
      <c r="DP74" s="196">
        <f t="shared" si="216"/>
        <v>0</v>
      </c>
      <c r="DQ74" s="197">
        <f t="shared" si="217"/>
        <v>142.90780494391893</v>
      </c>
      <c r="DR74" s="197">
        <f t="shared" si="218"/>
        <v>1061.9776085725482</v>
      </c>
      <c r="DS74" s="197">
        <f t="shared" si="219"/>
        <v>-1061.9776085725482</v>
      </c>
      <c r="DT74" s="199">
        <f t="shared" si="220"/>
        <v>-919.06980362862919</v>
      </c>
      <c r="DU74" s="196">
        <f t="shared" si="221"/>
        <v>0</v>
      </c>
      <c r="DV74" s="197">
        <f t="shared" si="222"/>
        <v>2147.304876402025</v>
      </c>
      <c r="DW74" s="197">
        <f t="shared" si="223"/>
        <v>13298.236577688012</v>
      </c>
      <c r="DX74" s="197">
        <f t="shared" si="224"/>
        <v>-13298.236577688012</v>
      </c>
      <c r="DY74" s="199">
        <f t="shared" si="225"/>
        <v>-11150.931701285988</v>
      </c>
    </row>
    <row r="75" spans="2:129" x14ac:dyDescent="0.3">
      <c r="B75" s="881">
        <v>13</v>
      </c>
      <c r="C75" s="883" t="s">
        <v>260</v>
      </c>
      <c r="D75" s="747">
        <f>'Arable Inputs'!$H$18</f>
        <v>12</v>
      </c>
      <c r="E75" s="747">
        <f>'Arable Inputs'!$H$25</f>
        <v>107.1</v>
      </c>
      <c r="H75" s="749">
        <f>D75*E75</f>
        <v>1285.1999999999998</v>
      </c>
      <c r="I75" s="197">
        <f>'Arable NPV'!$E155</f>
        <v>220</v>
      </c>
      <c r="J75" s="197">
        <f t="shared" si="163"/>
        <v>1505.1999999999998</v>
      </c>
      <c r="K75" s="197">
        <f>'Arable NPV'!$G155</f>
        <v>528.51499999999999</v>
      </c>
      <c r="L75" s="197">
        <f>'Arable NPV'!$H155</f>
        <v>552.40000000000009</v>
      </c>
      <c r="M75" s="197">
        <f t="shared" si="164"/>
        <v>1080.915</v>
      </c>
      <c r="N75" s="197">
        <f t="shared" si="156"/>
        <v>204.28499999999985</v>
      </c>
      <c r="O75" s="197">
        <f t="shared" si="157"/>
        <v>424.28499999999985</v>
      </c>
      <c r="P75" s="196">
        <f t="shared" si="165"/>
        <v>802.73212812029965</v>
      </c>
      <c r="Q75" s="197">
        <f t="shared" si="166"/>
        <v>137.41135090761432</v>
      </c>
      <c r="R75" s="197">
        <f t="shared" si="167"/>
        <v>675.13631984683605</v>
      </c>
      <c r="S75" s="197">
        <f t="shared" si="168"/>
        <v>127.59580827346352</v>
      </c>
      <c r="T75" s="199">
        <f t="shared" si="169"/>
        <v>265.00715918107784</v>
      </c>
      <c r="U75" s="196">
        <f t="shared" si="170"/>
        <v>15838.200513317768</v>
      </c>
      <c r="V75" s="197">
        <f t="shared" si="171"/>
        <v>2284.7162273096392</v>
      </c>
      <c r="W75" s="197">
        <f t="shared" si="172"/>
        <v>13973.372897534848</v>
      </c>
      <c r="X75" s="197">
        <f t="shared" si="173"/>
        <v>1864.82761578292</v>
      </c>
      <c r="Y75" s="199">
        <f t="shared" si="174"/>
        <v>4149.5438430925587</v>
      </c>
      <c r="AB75" s="881">
        <v>13</v>
      </c>
      <c r="AC75" s="883" t="s">
        <v>31</v>
      </c>
      <c r="AD75" s="747">
        <f>'Arable Inputs'!$H$18</f>
        <v>12</v>
      </c>
      <c r="AE75" s="747">
        <f>'Arable Inputs'!$H$25+0.5*'Arable Inputs'!$H$25</f>
        <v>160.64999999999998</v>
      </c>
      <c r="AH75" s="749">
        <f>AD75*AE75</f>
        <v>1927.7999999999997</v>
      </c>
      <c r="AI75" s="197">
        <f>'Arable NPV'!$E155</f>
        <v>220</v>
      </c>
      <c r="AJ75" s="197">
        <f t="shared" si="175"/>
        <v>2147.7999999999997</v>
      </c>
      <c r="AK75" s="197">
        <f>'Arable NPV'!$G155</f>
        <v>528.51499999999999</v>
      </c>
      <c r="AL75" s="197">
        <f>'Arable NPV'!$H155</f>
        <v>552.40000000000009</v>
      </c>
      <c r="AM75" s="197">
        <f t="shared" si="158"/>
        <v>1080.915</v>
      </c>
      <c r="AN75" s="197">
        <f t="shared" si="159"/>
        <v>846.88499999999976</v>
      </c>
      <c r="AO75" s="197">
        <f t="shared" si="160"/>
        <v>1066.8849999999998</v>
      </c>
      <c r="AP75" s="196">
        <f t="shared" si="176"/>
        <v>1204.0981921804494</v>
      </c>
      <c r="AQ75" s="197">
        <f t="shared" si="177"/>
        <v>137.41135090761432</v>
      </c>
      <c r="AR75" s="197">
        <f t="shared" si="178"/>
        <v>675.13631984683605</v>
      </c>
      <c r="AS75" s="197">
        <f t="shared" si="179"/>
        <v>528.96187233361331</v>
      </c>
      <c r="AT75" s="199">
        <f t="shared" si="180"/>
        <v>666.37322324122761</v>
      </c>
      <c r="AU75" s="196">
        <f t="shared" si="181"/>
        <v>23757.300769976653</v>
      </c>
      <c r="AV75" s="197">
        <f t="shared" si="182"/>
        <v>2284.7162273096392</v>
      </c>
      <c r="AW75" s="197">
        <f t="shared" si="183"/>
        <v>13973.372897534848</v>
      </c>
      <c r="AX75" s="197">
        <f t="shared" si="184"/>
        <v>9783.9278724418036</v>
      </c>
      <c r="AY75" s="199">
        <f t="shared" si="185"/>
        <v>12068.644099751444</v>
      </c>
      <c r="BB75" s="881">
        <v>13</v>
      </c>
      <c r="BC75" s="883" t="s">
        <v>31</v>
      </c>
      <c r="BD75" s="747">
        <f>'Arable Inputs'!$H$18</f>
        <v>12</v>
      </c>
      <c r="BE75" s="747">
        <f>'Arable Inputs'!$H$25-0.5*'Arable Inputs'!$H$25</f>
        <v>53.55</v>
      </c>
      <c r="BH75" s="749">
        <f>BD75*BE75</f>
        <v>642.59999999999991</v>
      </c>
      <c r="BI75" s="197">
        <f>'Arable NPV'!$E155</f>
        <v>220</v>
      </c>
      <c r="BJ75" s="197">
        <f t="shared" si="161"/>
        <v>862.59999999999991</v>
      </c>
      <c r="BK75" s="197">
        <f>'Arable NPV'!$G155</f>
        <v>528.51499999999999</v>
      </c>
      <c r="BL75" s="197">
        <f>'Arable NPV'!$H155</f>
        <v>552.40000000000009</v>
      </c>
      <c r="BM75" s="197">
        <f t="shared" si="186"/>
        <v>1080.915</v>
      </c>
      <c r="BN75" s="197">
        <f t="shared" si="162"/>
        <v>-438.31500000000005</v>
      </c>
      <c r="BO75" s="197">
        <f t="shared" si="187"/>
        <v>-218.31500000000005</v>
      </c>
      <c r="BP75" s="196">
        <f t="shared" si="188"/>
        <v>401.36606406014982</v>
      </c>
      <c r="BQ75" s="197">
        <f t="shared" si="189"/>
        <v>137.41135090761432</v>
      </c>
      <c r="BR75" s="197">
        <f t="shared" si="190"/>
        <v>675.13631984683605</v>
      </c>
      <c r="BS75" s="197">
        <f t="shared" si="191"/>
        <v>-273.77025578668628</v>
      </c>
      <c r="BT75" s="199">
        <f t="shared" si="192"/>
        <v>-136.35890487907196</v>
      </c>
      <c r="BU75" s="196">
        <f t="shared" si="193"/>
        <v>7919.1002566588841</v>
      </c>
      <c r="BV75" s="197">
        <f t="shared" si="194"/>
        <v>2284.7162273096392</v>
      </c>
      <c r="BW75" s="197">
        <f t="shared" si="195"/>
        <v>13973.372897534848</v>
      </c>
      <c r="BX75" s="197">
        <f t="shared" si="196"/>
        <v>-6054.2726408759636</v>
      </c>
      <c r="BY75" s="199">
        <f t="shared" si="197"/>
        <v>-3769.5564135663253</v>
      </c>
      <c r="CB75" s="881">
        <v>13</v>
      </c>
      <c r="CC75" s="883" t="s">
        <v>31</v>
      </c>
      <c r="CD75" s="747">
        <f>'Arable Inputs'!$H$18</f>
        <v>12</v>
      </c>
      <c r="CE75" s="747">
        <f>'Arable Inputs'!$H$25+'Arable Inputs'!$H$25</f>
        <v>214.2</v>
      </c>
      <c r="CH75" s="749">
        <f>CD75*CE75</f>
        <v>2570.3999999999996</v>
      </c>
      <c r="CI75" s="197">
        <f>'Arable NPV'!$E155</f>
        <v>220</v>
      </c>
      <c r="CJ75" s="197">
        <f t="shared" si="198"/>
        <v>2790.3999999999996</v>
      </c>
      <c r="CK75" s="197">
        <f>'Arable NPV'!$G155</f>
        <v>528.51499999999999</v>
      </c>
      <c r="CL75" s="197">
        <f>'Arable NPV'!$H155</f>
        <v>552.40000000000009</v>
      </c>
      <c r="CM75" s="197">
        <f t="shared" si="199"/>
        <v>1080.915</v>
      </c>
      <c r="CN75" s="197">
        <f t="shared" si="200"/>
        <v>1489.4849999999997</v>
      </c>
      <c r="CO75" s="197">
        <f t="shared" si="201"/>
        <v>1709.4849999999997</v>
      </c>
      <c r="CP75" s="196">
        <f t="shared" si="202"/>
        <v>1605.4642562405993</v>
      </c>
      <c r="CQ75" s="197">
        <f t="shared" si="203"/>
        <v>137.41135090761432</v>
      </c>
      <c r="CR75" s="197">
        <f t="shared" si="204"/>
        <v>675.13631984683605</v>
      </c>
      <c r="CS75" s="197">
        <f t="shared" si="205"/>
        <v>930.32793639376314</v>
      </c>
      <c r="CT75" s="199">
        <f t="shared" si="206"/>
        <v>1067.7392873013775</v>
      </c>
      <c r="CU75" s="196">
        <f t="shared" si="207"/>
        <v>31676.401026635536</v>
      </c>
      <c r="CV75" s="197">
        <f t="shared" si="208"/>
        <v>2284.7162273096392</v>
      </c>
      <c r="CW75" s="197">
        <f t="shared" si="209"/>
        <v>13973.372897534848</v>
      </c>
      <c r="CX75" s="197">
        <f t="shared" si="210"/>
        <v>17703.028129100687</v>
      </c>
      <c r="CY75" s="199">
        <f t="shared" si="211"/>
        <v>19987.744356410327</v>
      </c>
      <c r="DB75" s="204">
        <f t="shared" si="226"/>
        <v>13</v>
      </c>
      <c r="DC75" s="883" t="s">
        <v>31</v>
      </c>
      <c r="DD75" s="747">
        <f>'Arable Inputs'!$H$18</f>
        <v>12</v>
      </c>
      <c r="DE75" s="747">
        <f>'Arable Inputs'!$H$25-'Arable Inputs'!$H$25</f>
        <v>0</v>
      </c>
      <c r="DH75" s="749">
        <f>DD75*DE75</f>
        <v>0</v>
      </c>
      <c r="DI75" s="197">
        <f>'Arable NPV'!$E155</f>
        <v>220</v>
      </c>
      <c r="DJ75" s="197">
        <f t="shared" si="212"/>
        <v>220</v>
      </c>
      <c r="DK75" s="197">
        <f>'Arable NPV'!$G155</f>
        <v>528.51499999999999</v>
      </c>
      <c r="DL75" s="197">
        <f>'Arable NPV'!$H155</f>
        <v>552.40000000000009</v>
      </c>
      <c r="DM75" s="197">
        <f t="shared" si="213"/>
        <v>1080.915</v>
      </c>
      <c r="DN75" s="197">
        <f t="shared" si="214"/>
        <v>-1080.915</v>
      </c>
      <c r="DO75" s="197">
        <f t="shared" si="215"/>
        <v>-860.91499999999996</v>
      </c>
      <c r="DP75" s="196">
        <f t="shared" si="216"/>
        <v>0</v>
      </c>
      <c r="DQ75" s="197">
        <f t="shared" si="217"/>
        <v>137.41135090761432</v>
      </c>
      <c r="DR75" s="197">
        <f t="shared" si="218"/>
        <v>675.13631984683605</v>
      </c>
      <c r="DS75" s="197">
        <f t="shared" si="219"/>
        <v>-675.13631984683605</v>
      </c>
      <c r="DT75" s="199">
        <f t="shared" si="220"/>
        <v>-537.72496893922175</v>
      </c>
      <c r="DU75" s="196">
        <f t="shared" si="221"/>
        <v>0</v>
      </c>
      <c r="DV75" s="197">
        <f t="shared" si="222"/>
        <v>2284.7162273096392</v>
      </c>
      <c r="DW75" s="197">
        <f t="shared" si="223"/>
        <v>13973.372897534848</v>
      </c>
      <c r="DX75" s="197">
        <f t="shared" si="224"/>
        <v>-13973.372897534848</v>
      </c>
      <c r="DY75" s="199">
        <f t="shared" si="225"/>
        <v>-11688.656670225209</v>
      </c>
    </row>
    <row r="76" spans="2:129" x14ac:dyDescent="0.3">
      <c r="B76" s="881">
        <v>14</v>
      </c>
      <c r="C76" s="883" t="s">
        <v>6</v>
      </c>
      <c r="D76" s="747">
        <f>'Arable Inputs'!$F$18</f>
        <v>3.5</v>
      </c>
      <c r="E76" s="747">
        <f>'Arable Inputs'!$F$25</f>
        <v>335</v>
      </c>
      <c r="F76" s="747">
        <f>'Arable Inputs'!$F$19</f>
        <v>2.6</v>
      </c>
      <c r="G76" s="747">
        <f>'Arable Inputs'!$F$26</f>
        <v>37.5</v>
      </c>
      <c r="H76" s="749">
        <f>D76*E76+F76*G76</f>
        <v>1270</v>
      </c>
      <c r="I76" s="197">
        <f>'Arable NPV'!$E156</f>
        <v>220</v>
      </c>
      <c r="J76" s="197">
        <f t="shared" si="163"/>
        <v>1490</v>
      </c>
      <c r="K76" s="197">
        <f>'Arable NPV'!$G156</f>
        <v>541.75901992521074</v>
      </c>
      <c r="L76" s="197">
        <f>'Arable NPV'!$H156</f>
        <v>621.47428571428577</v>
      </c>
      <c r="M76" s="197">
        <f t="shared" si="164"/>
        <v>1163.2333056394964</v>
      </c>
      <c r="N76" s="197">
        <f t="shared" si="156"/>
        <v>106.76669436050361</v>
      </c>
      <c r="O76" s="197">
        <f t="shared" si="157"/>
        <v>326.76669436050361</v>
      </c>
      <c r="P76" s="196">
        <f t="shared" si="165"/>
        <v>762.72908939104104</v>
      </c>
      <c r="Q76" s="197">
        <f t="shared" si="166"/>
        <v>132.12629894962916</v>
      </c>
      <c r="R76" s="197">
        <f t="shared" si="167"/>
        <v>698.60777949586111</v>
      </c>
      <c r="S76" s="197">
        <f t="shared" si="168"/>
        <v>64.121309895179934</v>
      </c>
      <c r="T76" s="199">
        <f t="shared" si="169"/>
        <v>196.24760884480909</v>
      </c>
      <c r="U76" s="196">
        <f t="shared" si="170"/>
        <v>16600.929602708809</v>
      </c>
      <c r="V76" s="197">
        <f t="shared" si="171"/>
        <v>2416.8425262592682</v>
      </c>
      <c r="W76" s="197">
        <f t="shared" si="172"/>
        <v>14671.98067703071</v>
      </c>
      <c r="X76" s="197">
        <f t="shared" si="173"/>
        <v>1928.9489256780998</v>
      </c>
      <c r="Y76" s="199">
        <f t="shared" si="174"/>
        <v>4345.791451937368</v>
      </c>
      <c r="AB76" s="881">
        <v>14</v>
      </c>
      <c r="AC76" s="883" t="s">
        <v>6</v>
      </c>
      <c r="AD76" s="747">
        <f>'Arable Inputs'!$F$18</f>
        <v>3.5</v>
      </c>
      <c r="AE76" s="747">
        <f>'Arable Inputs'!$F$25+0.5*'Arable Inputs'!$F$25</f>
        <v>502.5</v>
      </c>
      <c r="AF76" s="747">
        <f>'Arable Inputs'!$F$19</f>
        <v>2.6</v>
      </c>
      <c r="AG76" s="747">
        <f>'Arable Inputs'!$F$26+0.5*'Arable Inputs'!$F$26</f>
        <v>56.25</v>
      </c>
      <c r="AH76" s="749">
        <f>AD76*AE76+AF76*AG76</f>
        <v>1905</v>
      </c>
      <c r="AI76" s="197">
        <f>'Arable NPV'!$E156</f>
        <v>220</v>
      </c>
      <c r="AJ76" s="197">
        <f t="shared" si="175"/>
        <v>2125</v>
      </c>
      <c r="AK76" s="197">
        <f>'Arable NPV'!$G156</f>
        <v>541.75901992521074</v>
      </c>
      <c r="AL76" s="197">
        <f>'Arable NPV'!$H156</f>
        <v>621.47428571428577</v>
      </c>
      <c r="AM76" s="197">
        <f t="shared" si="158"/>
        <v>1163.2333056394964</v>
      </c>
      <c r="AN76" s="197">
        <f t="shared" si="159"/>
        <v>741.76669436050361</v>
      </c>
      <c r="AO76" s="197">
        <f t="shared" si="160"/>
        <v>961.76669436050361</v>
      </c>
      <c r="AP76" s="196">
        <f t="shared" si="176"/>
        <v>1144.0936340865617</v>
      </c>
      <c r="AQ76" s="197">
        <f t="shared" si="177"/>
        <v>132.12629894962916</v>
      </c>
      <c r="AR76" s="197">
        <f t="shared" si="178"/>
        <v>698.60777949586111</v>
      </c>
      <c r="AS76" s="197">
        <f t="shared" si="179"/>
        <v>445.48585459070046</v>
      </c>
      <c r="AT76" s="199">
        <f t="shared" si="180"/>
        <v>577.61215354032959</v>
      </c>
      <c r="AU76" s="196">
        <f t="shared" si="181"/>
        <v>24901.394404063216</v>
      </c>
      <c r="AV76" s="197">
        <f t="shared" si="182"/>
        <v>2416.8425262592682</v>
      </c>
      <c r="AW76" s="197">
        <f t="shared" si="183"/>
        <v>14671.98067703071</v>
      </c>
      <c r="AX76" s="197">
        <f t="shared" si="184"/>
        <v>10229.413727032505</v>
      </c>
      <c r="AY76" s="199">
        <f t="shared" si="185"/>
        <v>12646.256253291773</v>
      </c>
      <c r="BB76" s="881">
        <v>14</v>
      </c>
      <c r="BC76" s="883" t="s">
        <v>6</v>
      </c>
      <c r="BD76" s="747">
        <f>'Arable Inputs'!$F$18</f>
        <v>3.5</v>
      </c>
      <c r="BE76" s="747">
        <f>'Arable Inputs'!$F$25-0.5*'Arable Inputs'!$F$25</f>
        <v>167.5</v>
      </c>
      <c r="BF76" s="747">
        <f>'Arable Inputs'!$F$19</f>
        <v>2.6</v>
      </c>
      <c r="BG76" s="747">
        <f>'Arable Inputs'!$F$26-0.5*'Arable Inputs'!$F$26</f>
        <v>18.75</v>
      </c>
      <c r="BH76" s="749">
        <f>BD76*BE76+BF76*BG76</f>
        <v>635</v>
      </c>
      <c r="BI76" s="197">
        <f>'Arable NPV'!$E156</f>
        <v>220</v>
      </c>
      <c r="BJ76" s="197">
        <f t="shared" si="161"/>
        <v>855</v>
      </c>
      <c r="BK76" s="197">
        <f>'Arable NPV'!$G156</f>
        <v>541.75901992521074</v>
      </c>
      <c r="BL76" s="197">
        <f>'Arable NPV'!$H156</f>
        <v>621.47428571428577</v>
      </c>
      <c r="BM76" s="197">
        <f t="shared" si="186"/>
        <v>1163.2333056394964</v>
      </c>
      <c r="BN76" s="197">
        <f t="shared" si="162"/>
        <v>-528.23330563949639</v>
      </c>
      <c r="BO76" s="197">
        <f t="shared" si="187"/>
        <v>-308.23330563949639</v>
      </c>
      <c r="BP76" s="196">
        <f t="shared" si="188"/>
        <v>381.36454469552052</v>
      </c>
      <c r="BQ76" s="197">
        <f t="shared" si="189"/>
        <v>132.12629894962916</v>
      </c>
      <c r="BR76" s="197">
        <f t="shared" si="190"/>
        <v>698.60777949586111</v>
      </c>
      <c r="BS76" s="197">
        <f t="shared" si="191"/>
        <v>-317.24323480034059</v>
      </c>
      <c r="BT76" s="199">
        <f t="shared" si="192"/>
        <v>-185.11693585071143</v>
      </c>
      <c r="BU76" s="196">
        <f t="shared" si="193"/>
        <v>8300.4648013544047</v>
      </c>
      <c r="BV76" s="197">
        <f t="shared" si="194"/>
        <v>2416.8425262592682</v>
      </c>
      <c r="BW76" s="197">
        <f t="shared" si="195"/>
        <v>14671.98067703071</v>
      </c>
      <c r="BX76" s="197">
        <f t="shared" si="196"/>
        <v>-6371.5158756763039</v>
      </c>
      <c r="BY76" s="199">
        <f t="shared" si="197"/>
        <v>-3954.6733494170367</v>
      </c>
      <c r="CB76" s="881">
        <v>14</v>
      </c>
      <c r="CC76" s="883" t="s">
        <v>6</v>
      </c>
      <c r="CD76" s="747">
        <f>'Arable Inputs'!$F$18</f>
        <v>3.5</v>
      </c>
      <c r="CE76" s="747">
        <f>'Arable Inputs'!$F$25+'Arable Inputs'!$F$25</f>
        <v>670</v>
      </c>
      <c r="CF76" s="747">
        <f>'Arable Inputs'!$F$19</f>
        <v>2.6</v>
      </c>
      <c r="CG76" s="747">
        <f>'Arable Inputs'!$F$26+'Arable Inputs'!$F$26</f>
        <v>75</v>
      </c>
      <c r="CH76" s="749">
        <f>CD76*CE76+CF76*CG76</f>
        <v>2540</v>
      </c>
      <c r="CI76" s="197">
        <f>'Arable NPV'!$E156</f>
        <v>220</v>
      </c>
      <c r="CJ76" s="197">
        <f t="shared" si="198"/>
        <v>2760</v>
      </c>
      <c r="CK76" s="197">
        <f>'Arable NPV'!$G156</f>
        <v>541.75901992521074</v>
      </c>
      <c r="CL76" s="197">
        <f>'Arable NPV'!$H156</f>
        <v>621.47428571428577</v>
      </c>
      <c r="CM76" s="197">
        <f t="shared" si="199"/>
        <v>1163.2333056394964</v>
      </c>
      <c r="CN76" s="197">
        <f t="shared" si="200"/>
        <v>1376.7666943605036</v>
      </c>
      <c r="CO76" s="197">
        <f t="shared" si="201"/>
        <v>1596.7666943605036</v>
      </c>
      <c r="CP76" s="196">
        <f t="shared" si="202"/>
        <v>1525.4581787820821</v>
      </c>
      <c r="CQ76" s="197">
        <f t="shared" si="203"/>
        <v>132.12629894962916</v>
      </c>
      <c r="CR76" s="197">
        <f t="shared" si="204"/>
        <v>698.60777949586111</v>
      </c>
      <c r="CS76" s="197">
        <f t="shared" si="205"/>
        <v>826.85039928622098</v>
      </c>
      <c r="CT76" s="199">
        <f t="shared" si="206"/>
        <v>958.97669823585011</v>
      </c>
      <c r="CU76" s="196">
        <f t="shared" si="207"/>
        <v>33201.859205417619</v>
      </c>
      <c r="CV76" s="197">
        <f t="shared" si="208"/>
        <v>2416.8425262592682</v>
      </c>
      <c r="CW76" s="197">
        <f t="shared" si="209"/>
        <v>14671.98067703071</v>
      </c>
      <c r="CX76" s="197">
        <f t="shared" si="210"/>
        <v>18529.878528386907</v>
      </c>
      <c r="CY76" s="199">
        <f t="shared" si="211"/>
        <v>20946.721054646176</v>
      </c>
      <c r="DB76" s="204">
        <f t="shared" si="226"/>
        <v>14</v>
      </c>
      <c r="DC76" s="883" t="s">
        <v>6</v>
      </c>
      <c r="DD76" s="747">
        <f>'Arable Inputs'!$F$18</f>
        <v>3.5</v>
      </c>
      <c r="DE76" s="747">
        <f>'Arable Inputs'!$F$25-'Arable Inputs'!$F$25</f>
        <v>0</v>
      </c>
      <c r="DF76" s="747">
        <f>'Arable Inputs'!$F$19</f>
        <v>2.6</v>
      </c>
      <c r="DG76" s="747">
        <f>'Arable Inputs'!$F$26-'Arable Inputs'!$F$26</f>
        <v>0</v>
      </c>
      <c r="DH76" s="749">
        <f>DD76*DE76+DF76*DG76</f>
        <v>0</v>
      </c>
      <c r="DI76" s="197">
        <f>'Arable NPV'!$E156</f>
        <v>220</v>
      </c>
      <c r="DJ76" s="197">
        <f t="shared" si="212"/>
        <v>220</v>
      </c>
      <c r="DK76" s="197">
        <f>'Arable NPV'!$G156</f>
        <v>541.75901992521074</v>
      </c>
      <c r="DL76" s="197">
        <f>'Arable NPV'!$H156</f>
        <v>621.47428571428577</v>
      </c>
      <c r="DM76" s="197">
        <f t="shared" si="213"/>
        <v>1163.2333056394964</v>
      </c>
      <c r="DN76" s="197">
        <f t="shared" si="214"/>
        <v>-1163.2333056394964</v>
      </c>
      <c r="DO76" s="197">
        <f t="shared" si="215"/>
        <v>-943.23330563949639</v>
      </c>
      <c r="DP76" s="196">
        <f t="shared" si="216"/>
        <v>0</v>
      </c>
      <c r="DQ76" s="197">
        <f t="shared" si="217"/>
        <v>132.12629894962916</v>
      </c>
      <c r="DR76" s="197">
        <f t="shared" si="218"/>
        <v>698.60777949586111</v>
      </c>
      <c r="DS76" s="197">
        <f t="shared" si="219"/>
        <v>-698.60777949586111</v>
      </c>
      <c r="DT76" s="199">
        <f t="shared" si="220"/>
        <v>-566.48148054623198</v>
      </c>
      <c r="DU76" s="196">
        <f t="shared" si="221"/>
        <v>0</v>
      </c>
      <c r="DV76" s="197">
        <f t="shared" si="222"/>
        <v>2416.8425262592682</v>
      </c>
      <c r="DW76" s="197">
        <f t="shared" si="223"/>
        <v>14671.98067703071</v>
      </c>
      <c r="DX76" s="197">
        <f t="shared" si="224"/>
        <v>-14671.98067703071</v>
      </c>
      <c r="DY76" s="199">
        <f t="shared" si="225"/>
        <v>-12255.138150771441</v>
      </c>
    </row>
    <row r="77" spans="2:129" x14ac:dyDescent="0.3">
      <c r="B77" s="881">
        <v>15</v>
      </c>
      <c r="C77" s="883" t="s">
        <v>5</v>
      </c>
      <c r="D77" s="747">
        <f>'Arable Inputs'!$E$18</f>
        <v>6.3</v>
      </c>
      <c r="E77" s="747">
        <f>'Arable Inputs'!$E$25</f>
        <v>140</v>
      </c>
      <c r="F77" s="747">
        <f>'Arable Inputs'!$E$19</f>
        <v>3.5</v>
      </c>
      <c r="G77" s="747">
        <f>'Arable Inputs'!$E$26</f>
        <v>70</v>
      </c>
      <c r="H77" s="749">
        <f>D77*E77+F77*G77</f>
        <v>1127</v>
      </c>
      <c r="I77" s="197">
        <f>'Arable NPV'!$E157</f>
        <v>220</v>
      </c>
      <c r="J77" s="197">
        <f t="shared" si="163"/>
        <v>1347</v>
      </c>
      <c r="K77" s="197">
        <f>'Arable NPV'!$G157</f>
        <v>418.54877602277168</v>
      </c>
      <c r="L77" s="197">
        <f>'Arable NPV'!$H157</f>
        <v>773.65999999999985</v>
      </c>
      <c r="M77" s="197">
        <f t="shared" si="164"/>
        <v>1192.2087760227714</v>
      </c>
      <c r="N77" s="197">
        <f t="shared" si="156"/>
        <v>-65.208776022771417</v>
      </c>
      <c r="O77" s="197">
        <f t="shared" si="157"/>
        <v>154.79122397722858</v>
      </c>
      <c r="P77" s="196">
        <f t="shared" si="165"/>
        <v>650.81441834017517</v>
      </c>
      <c r="Q77" s="197">
        <f t="shared" si="166"/>
        <v>127.04451822079727</v>
      </c>
      <c r="R77" s="197">
        <f t="shared" si="167"/>
        <v>688.47086167463362</v>
      </c>
      <c r="S77" s="197">
        <f t="shared" si="168"/>
        <v>-37.656443334458508</v>
      </c>
      <c r="T77" s="199">
        <f t="shared" si="169"/>
        <v>89.388074886338771</v>
      </c>
      <c r="U77" s="196">
        <f t="shared" si="170"/>
        <v>17251.744021048984</v>
      </c>
      <c r="V77" s="197">
        <f t="shared" si="171"/>
        <v>2543.8870444800655</v>
      </c>
      <c r="W77" s="197">
        <f t="shared" si="172"/>
        <v>15360.451538705343</v>
      </c>
      <c r="X77" s="197">
        <f t="shared" si="173"/>
        <v>1891.2924823436413</v>
      </c>
      <c r="Y77" s="199">
        <f t="shared" si="174"/>
        <v>4435.1795268237065</v>
      </c>
      <c r="AB77" s="881">
        <v>15</v>
      </c>
      <c r="AC77" s="883" t="s">
        <v>5</v>
      </c>
      <c r="AD77" s="747">
        <f>'Arable Inputs'!$E$18</f>
        <v>6.3</v>
      </c>
      <c r="AE77" s="747">
        <f>'Arable Inputs'!$E$25+0.5*'Arable Inputs'!$E$25</f>
        <v>210</v>
      </c>
      <c r="AF77" s="747">
        <f>'Arable Inputs'!$E$19</f>
        <v>3.5</v>
      </c>
      <c r="AG77" s="747">
        <f>'Arable Inputs'!$E$26+0.5*'Arable Inputs'!$E$26</f>
        <v>105</v>
      </c>
      <c r="AH77" s="749">
        <f>AD77*AE77+AF77*AG77</f>
        <v>1690.5</v>
      </c>
      <c r="AI77" s="197">
        <f>'Arable NPV'!$E157</f>
        <v>220</v>
      </c>
      <c r="AJ77" s="197">
        <f t="shared" si="175"/>
        <v>1910.5</v>
      </c>
      <c r="AK77" s="197">
        <f>'Arable NPV'!$G157</f>
        <v>418.54877602277168</v>
      </c>
      <c r="AL77" s="197">
        <f>'Arable NPV'!$H157</f>
        <v>773.65999999999985</v>
      </c>
      <c r="AM77" s="197">
        <f t="shared" si="158"/>
        <v>1192.2087760227714</v>
      </c>
      <c r="AN77" s="197">
        <f t="shared" si="159"/>
        <v>498.29122397722858</v>
      </c>
      <c r="AO77" s="197">
        <f t="shared" si="160"/>
        <v>718.29122397722858</v>
      </c>
      <c r="AP77" s="196">
        <f t="shared" si="176"/>
        <v>976.22162751026269</v>
      </c>
      <c r="AQ77" s="197">
        <f t="shared" si="177"/>
        <v>127.04451822079727</v>
      </c>
      <c r="AR77" s="197">
        <f t="shared" si="178"/>
        <v>688.47086167463362</v>
      </c>
      <c r="AS77" s="197">
        <f t="shared" si="179"/>
        <v>287.75076583562907</v>
      </c>
      <c r="AT77" s="199">
        <f t="shared" si="180"/>
        <v>414.79528405642634</v>
      </c>
      <c r="AU77" s="196">
        <f t="shared" si="181"/>
        <v>25877.616031573478</v>
      </c>
      <c r="AV77" s="197">
        <f t="shared" si="182"/>
        <v>2543.8870444800655</v>
      </c>
      <c r="AW77" s="197">
        <f t="shared" si="183"/>
        <v>15360.451538705343</v>
      </c>
      <c r="AX77" s="197">
        <f t="shared" si="184"/>
        <v>10517.164492868134</v>
      </c>
      <c r="AY77" s="199">
        <f t="shared" si="185"/>
        <v>13061.051537348199</v>
      </c>
      <c r="BB77" s="881">
        <v>15</v>
      </c>
      <c r="BC77" s="883" t="s">
        <v>5</v>
      </c>
      <c r="BD77" s="747">
        <f>'Arable Inputs'!$E$18</f>
        <v>6.3</v>
      </c>
      <c r="BE77" s="747">
        <f>'Arable Inputs'!$E$25-0.5*'Arable Inputs'!$E$25</f>
        <v>70</v>
      </c>
      <c r="BF77" s="747">
        <f>'Arable Inputs'!$E$19</f>
        <v>3.5</v>
      </c>
      <c r="BG77" s="747">
        <f>'Arable Inputs'!$E$26-0.5*'Arable Inputs'!$E$26</f>
        <v>35</v>
      </c>
      <c r="BH77" s="749">
        <f>BD77*BE77+BF77*BG77</f>
        <v>563.5</v>
      </c>
      <c r="BI77" s="197">
        <f>'Arable NPV'!$E157</f>
        <v>220</v>
      </c>
      <c r="BJ77" s="197">
        <f t="shared" si="161"/>
        <v>783.5</v>
      </c>
      <c r="BK77" s="197">
        <f>'Arable NPV'!$G157</f>
        <v>418.54877602277168</v>
      </c>
      <c r="BL77" s="197">
        <f>'Arable NPV'!$H157</f>
        <v>773.65999999999985</v>
      </c>
      <c r="BM77" s="197">
        <f t="shared" si="186"/>
        <v>1192.2087760227714</v>
      </c>
      <c r="BN77" s="197">
        <f t="shared" si="162"/>
        <v>-628.70877602277142</v>
      </c>
      <c r="BO77" s="197">
        <f t="shared" si="187"/>
        <v>-408.70877602277142</v>
      </c>
      <c r="BP77" s="196">
        <f t="shared" si="188"/>
        <v>325.40720917008758</v>
      </c>
      <c r="BQ77" s="197">
        <f t="shared" si="189"/>
        <v>127.04451822079727</v>
      </c>
      <c r="BR77" s="197">
        <f t="shared" si="190"/>
        <v>688.47086167463362</v>
      </c>
      <c r="BS77" s="197">
        <f t="shared" si="191"/>
        <v>-363.06365250454604</v>
      </c>
      <c r="BT77" s="199">
        <f t="shared" si="192"/>
        <v>-236.0191342837488</v>
      </c>
      <c r="BU77" s="196">
        <f t="shared" si="193"/>
        <v>8625.872010524492</v>
      </c>
      <c r="BV77" s="197">
        <f t="shared" si="194"/>
        <v>2543.8870444800655</v>
      </c>
      <c r="BW77" s="197">
        <f t="shared" si="195"/>
        <v>15360.451538705343</v>
      </c>
      <c r="BX77" s="197">
        <f t="shared" si="196"/>
        <v>-6734.5795281808496</v>
      </c>
      <c r="BY77" s="199">
        <f t="shared" si="197"/>
        <v>-4190.6924837007855</v>
      </c>
      <c r="CB77" s="881">
        <v>15</v>
      </c>
      <c r="CC77" s="883" t="s">
        <v>5</v>
      </c>
      <c r="CD77" s="747">
        <f>'Arable Inputs'!$E$18</f>
        <v>6.3</v>
      </c>
      <c r="CE77" s="747">
        <f>'Arable Inputs'!$E$25+'Arable Inputs'!$E$25</f>
        <v>280</v>
      </c>
      <c r="CF77" s="747">
        <f>'Arable Inputs'!$E$19</f>
        <v>3.5</v>
      </c>
      <c r="CG77" s="747">
        <f>'Arable Inputs'!$E$26+'Arable Inputs'!$E$26</f>
        <v>140</v>
      </c>
      <c r="CH77" s="749">
        <f>CD77*CE77+CF77*CG77</f>
        <v>2254</v>
      </c>
      <c r="CI77" s="197">
        <f>'Arable NPV'!$E157</f>
        <v>220</v>
      </c>
      <c r="CJ77" s="197">
        <f t="shared" si="198"/>
        <v>2474</v>
      </c>
      <c r="CK77" s="197">
        <f>'Arable NPV'!$G157</f>
        <v>418.54877602277168</v>
      </c>
      <c r="CL77" s="197">
        <f>'Arable NPV'!$H157</f>
        <v>773.65999999999985</v>
      </c>
      <c r="CM77" s="197">
        <f t="shared" si="199"/>
        <v>1192.2087760227714</v>
      </c>
      <c r="CN77" s="197">
        <f t="shared" si="200"/>
        <v>1061.7912239772286</v>
      </c>
      <c r="CO77" s="197">
        <f t="shared" si="201"/>
        <v>1281.7912239772286</v>
      </c>
      <c r="CP77" s="196">
        <f t="shared" si="202"/>
        <v>1301.6288366803503</v>
      </c>
      <c r="CQ77" s="197">
        <f t="shared" si="203"/>
        <v>127.04451822079727</v>
      </c>
      <c r="CR77" s="197">
        <f t="shared" si="204"/>
        <v>688.47086167463362</v>
      </c>
      <c r="CS77" s="197">
        <f t="shared" si="205"/>
        <v>613.15797500571659</v>
      </c>
      <c r="CT77" s="199">
        <f t="shared" si="206"/>
        <v>740.20249322651387</v>
      </c>
      <c r="CU77" s="196">
        <f t="shared" si="207"/>
        <v>34503.488042097968</v>
      </c>
      <c r="CV77" s="197">
        <f t="shared" si="208"/>
        <v>2543.8870444800655</v>
      </c>
      <c r="CW77" s="197">
        <f t="shared" si="209"/>
        <v>15360.451538705343</v>
      </c>
      <c r="CX77" s="197">
        <f t="shared" si="210"/>
        <v>19143.036503392625</v>
      </c>
      <c r="CY77" s="199">
        <f t="shared" si="211"/>
        <v>21686.923547872688</v>
      </c>
      <c r="DB77" s="204">
        <f t="shared" si="226"/>
        <v>15</v>
      </c>
      <c r="DC77" s="883" t="s">
        <v>5</v>
      </c>
      <c r="DD77" s="747">
        <f>'Arable Inputs'!$E$18</f>
        <v>6.3</v>
      </c>
      <c r="DE77" s="747">
        <f>'Arable Inputs'!$E$25-'Arable Inputs'!$E$25</f>
        <v>0</v>
      </c>
      <c r="DF77" s="747">
        <f>'Arable Inputs'!$E$19</f>
        <v>3.5</v>
      </c>
      <c r="DG77" s="747">
        <f>'Arable Inputs'!$E$26-'Arable Inputs'!$E$26</f>
        <v>0</v>
      </c>
      <c r="DH77" s="749">
        <f>DD77*DE77+DF77*DG77</f>
        <v>0</v>
      </c>
      <c r="DI77" s="197">
        <f>'Arable NPV'!$E157</f>
        <v>220</v>
      </c>
      <c r="DJ77" s="197">
        <f t="shared" si="212"/>
        <v>220</v>
      </c>
      <c r="DK77" s="197">
        <f>'Arable NPV'!$G157</f>
        <v>418.54877602277168</v>
      </c>
      <c r="DL77" s="197">
        <f>'Arable NPV'!$H157</f>
        <v>773.65999999999985</v>
      </c>
      <c r="DM77" s="197">
        <f t="shared" si="213"/>
        <v>1192.2087760227714</v>
      </c>
      <c r="DN77" s="197">
        <f t="shared" si="214"/>
        <v>-1192.2087760227714</v>
      </c>
      <c r="DO77" s="197">
        <f t="shared" si="215"/>
        <v>-972.20877602277142</v>
      </c>
      <c r="DP77" s="196">
        <f t="shared" si="216"/>
        <v>0</v>
      </c>
      <c r="DQ77" s="197">
        <f t="shared" si="217"/>
        <v>127.04451822079727</v>
      </c>
      <c r="DR77" s="197">
        <f t="shared" si="218"/>
        <v>688.47086167463362</v>
      </c>
      <c r="DS77" s="197">
        <f t="shared" si="219"/>
        <v>-688.47086167463362</v>
      </c>
      <c r="DT77" s="199">
        <f t="shared" si="220"/>
        <v>-561.42634345383635</v>
      </c>
      <c r="DU77" s="196">
        <f t="shared" si="221"/>
        <v>0</v>
      </c>
      <c r="DV77" s="197">
        <f t="shared" si="222"/>
        <v>2543.8870444800655</v>
      </c>
      <c r="DW77" s="197">
        <f t="shared" si="223"/>
        <v>15360.451538705343</v>
      </c>
      <c r="DX77" s="197">
        <f t="shared" si="224"/>
        <v>-15360.451538705343</v>
      </c>
      <c r="DY77" s="199">
        <f t="shared" si="225"/>
        <v>-12816.564494225278</v>
      </c>
    </row>
    <row r="78" spans="2:129" x14ac:dyDescent="0.3">
      <c r="B78" s="882">
        <v>16</v>
      </c>
      <c r="C78" s="884" t="s">
        <v>4</v>
      </c>
      <c r="D78" s="748">
        <f>'Arable Inputs'!$D$18</f>
        <v>8.25</v>
      </c>
      <c r="E78" s="748">
        <f>'Arable Inputs'!$D$25</f>
        <v>162</v>
      </c>
      <c r="F78" s="748">
        <f>'Arable Inputs'!$D$19</f>
        <v>3.9</v>
      </c>
      <c r="G78" s="748">
        <f>'Arable Inputs'!$D$26</f>
        <v>65</v>
      </c>
      <c r="H78" s="207">
        <f>D78*E78+F78*G78</f>
        <v>1590</v>
      </c>
      <c r="I78" s="207">
        <f>'Arable NPV'!$E158</f>
        <v>220</v>
      </c>
      <c r="J78" s="207">
        <f t="shared" si="163"/>
        <v>1810</v>
      </c>
      <c r="K78" s="207">
        <f>'Arable NPV'!$G158</f>
        <v>684.46423508399835</v>
      </c>
      <c r="L78" s="207">
        <f>'Arable NPV'!$H158</f>
        <v>841.31999999999994</v>
      </c>
      <c r="M78" s="207">
        <f t="shared" si="164"/>
        <v>1525.7842350839983</v>
      </c>
      <c r="N78" s="207">
        <f t="shared" si="156"/>
        <v>64.215764916001717</v>
      </c>
      <c r="O78" s="207">
        <f t="shared" si="157"/>
        <v>284.21576491600172</v>
      </c>
      <c r="P78" s="208">
        <f t="shared" si="165"/>
        <v>882.87055931410691</v>
      </c>
      <c r="Q78" s="207">
        <f t="shared" si="166"/>
        <v>122.15819059692046</v>
      </c>
      <c r="R78" s="207">
        <f t="shared" si="167"/>
        <v>847.21382454167065</v>
      </c>
      <c r="S78" s="207">
        <f t="shared" si="168"/>
        <v>35.656734772436252</v>
      </c>
      <c r="T78" s="209">
        <f t="shared" si="169"/>
        <v>157.8149253693567</v>
      </c>
      <c r="U78" s="208">
        <f t="shared" si="170"/>
        <v>18134.61458036309</v>
      </c>
      <c r="V78" s="207">
        <f t="shared" si="171"/>
        <v>2666.045235076986</v>
      </c>
      <c r="W78" s="207">
        <f t="shared" si="172"/>
        <v>16207.665363247013</v>
      </c>
      <c r="X78" s="207">
        <f t="shared" si="173"/>
        <v>1926.9492171160775</v>
      </c>
      <c r="Y78" s="209">
        <f t="shared" si="174"/>
        <v>4592.9944521930629</v>
      </c>
      <c r="AB78" s="882">
        <v>16</v>
      </c>
      <c r="AC78" s="884" t="s">
        <v>4</v>
      </c>
      <c r="AD78" s="748">
        <f>'Arable Inputs'!$D$18</f>
        <v>8.25</v>
      </c>
      <c r="AE78" s="748">
        <f>'Arable Inputs'!$D$25+0.5*'Arable Inputs'!$D$25</f>
        <v>243</v>
      </c>
      <c r="AF78" s="748">
        <f>'Arable Inputs'!$D$19</f>
        <v>3.9</v>
      </c>
      <c r="AG78" s="748">
        <f>'Arable Inputs'!$D$26+0.5*'Arable Inputs'!$D$26</f>
        <v>97.5</v>
      </c>
      <c r="AH78" s="207">
        <f>AD78*AE78+AF78*AG78</f>
        <v>2385</v>
      </c>
      <c r="AI78" s="207">
        <f>'Arable NPV'!$E158</f>
        <v>220</v>
      </c>
      <c r="AJ78" s="207">
        <f t="shared" si="175"/>
        <v>2605</v>
      </c>
      <c r="AK78" s="207">
        <f>'Arable NPV'!$G158</f>
        <v>684.46423508399835</v>
      </c>
      <c r="AL78" s="207">
        <f>'Arable NPV'!$H158</f>
        <v>841.31999999999994</v>
      </c>
      <c r="AM78" s="207">
        <f t="shared" si="158"/>
        <v>1525.7842350839983</v>
      </c>
      <c r="AN78" s="207">
        <f t="shared" si="159"/>
        <v>859.21576491600172</v>
      </c>
      <c r="AO78" s="207">
        <f t="shared" si="160"/>
        <v>1079.2157649160017</v>
      </c>
      <c r="AP78" s="208">
        <f t="shared" si="176"/>
        <v>1324.3058389711605</v>
      </c>
      <c r="AQ78" s="207">
        <f t="shared" si="177"/>
        <v>122.15819059692046</v>
      </c>
      <c r="AR78" s="207">
        <f t="shared" si="178"/>
        <v>847.21382454167065</v>
      </c>
      <c r="AS78" s="207">
        <f t="shared" si="179"/>
        <v>477.09201442948972</v>
      </c>
      <c r="AT78" s="209">
        <f t="shared" si="180"/>
        <v>599.25020502641019</v>
      </c>
      <c r="AU78" s="208">
        <f t="shared" si="181"/>
        <v>27201.92187054464</v>
      </c>
      <c r="AV78" s="207">
        <f t="shared" si="182"/>
        <v>2666.045235076986</v>
      </c>
      <c r="AW78" s="207">
        <f t="shared" si="183"/>
        <v>16207.665363247013</v>
      </c>
      <c r="AX78" s="207">
        <f t="shared" si="184"/>
        <v>10994.256507297625</v>
      </c>
      <c r="AY78" s="209">
        <f t="shared" si="185"/>
        <v>13660.30174237461</v>
      </c>
      <c r="BB78" s="882">
        <v>16</v>
      </c>
      <c r="BC78" s="884" t="s">
        <v>4</v>
      </c>
      <c r="BD78" s="748">
        <f>'Arable Inputs'!$D$18</f>
        <v>8.25</v>
      </c>
      <c r="BE78" s="748">
        <f>'Arable Inputs'!$D$25-0.5*'Arable Inputs'!$D$25</f>
        <v>81</v>
      </c>
      <c r="BF78" s="748">
        <f>'Arable Inputs'!$D$19</f>
        <v>3.9</v>
      </c>
      <c r="BG78" s="748">
        <f>'Arable Inputs'!$D$26-0.5*'Arable Inputs'!$D$26</f>
        <v>32.5</v>
      </c>
      <c r="BH78" s="207">
        <f>BD78*BE78+BF78*BG78</f>
        <v>795</v>
      </c>
      <c r="BI78" s="207">
        <f>'Arable NPV'!$E158</f>
        <v>220</v>
      </c>
      <c r="BJ78" s="207">
        <f t="shared" si="161"/>
        <v>1015</v>
      </c>
      <c r="BK78" s="207">
        <f>'Arable NPV'!$G158</f>
        <v>684.46423508399835</v>
      </c>
      <c r="BL78" s="207">
        <f>'Arable NPV'!$H158</f>
        <v>841.31999999999994</v>
      </c>
      <c r="BM78" s="207">
        <f>BK78+BL78</f>
        <v>1525.7842350839983</v>
      </c>
      <c r="BN78" s="207">
        <f t="shared" si="162"/>
        <v>-730.78423508399828</v>
      </c>
      <c r="BO78" s="207">
        <f t="shared" si="187"/>
        <v>-510.78423508399828</v>
      </c>
      <c r="BP78" s="208">
        <f t="shared" si="188"/>
        <v>441.43527965705346</v>
      </c>
      <c r="BQ78" s="207">
        <f t="shared" si="189"/>
        <v>122.15819059692046</v>
      </c>
      <c r="BR78" s="207">
        <f t="shared" si="190"/>
        <v>847.21382454167065</v>
      </c>
      <c r="BS78" s="207">
        <f t="shared" si="191"/>
        <v>-405.77854488461719</v>
      </c>
      <c r="BT78" s="209">
        <f>BO78/(1+$B$4)^(BB78-1)</f>
        <v>-283.62035428769678</v>
      </c>
      <c r="BU78" s="208">
        <f t="shared" si="193"/>
        <v>9067.3072901815449</v>
      </c>
      <c r="BV78" s="207">
        <f t="shared" si="194"/>
        <v>2666.045235076986</v>
      </c>
      <c r="BW78" s="207">
        <f t="shared" si="195"/>
        <v>16207.665363247013</v>
      </c>
      <c r="BX78" s="207">
        <f t="shared" si="196"/>
        <v>-7140.3580730654667</v>
      </c>
      <c r="BY78" s="209">
        <f t="shared" si="197"/>
        <v>-4474.312837988482</v>
      </c>
      <c r="CB78" s="882">
        <v>16</v>
      </c>
      <c r="CC78" s="884" t="s">
        <v>4</v>
      </c>
      <c r="CD78" s="748">
        <f>'Arable Inputs'!$D$18</f>
        <v>8.25</v>
      </c>
      <c r="CE78" s="748">
        <f>'Arable Inputs'!$D$25+'Arable Inputs'!$D$25</f>
        <v>324</v>
      </c>
      <c r="CF78" s="748">
        <f>'Arable Inputs'!$D$19</f>
        <v>3.9</v>
      </c>
      <c r="CG78" s="748">
        <f>'Arable Inputs'!$D$26+'Arable Inputs'!$D$26</f>
        <v>130</v>
      </c>
      <c r="CH78" s="207">
        <f>CD78*CE78+CF78*CG78</f>
        <v>3180</v>
      </c>
      <c r="CI78" s="207">
        <f>'Arable NPV'!$E158</f>
        <v>220</v>
      </c>
      <c r="CJ78" s="207">
        <f t="shared" si="198"/>
        <v>3400</v>
      </c>
      <c r="CK78" s="207">
        <f>'Arable NPV'!$G158</f>
        <v>684.46423508399835</v>
      </c>
      <c r="CL78" s="207">
        <f>'Arable NPV'!$H158</f>
        <v>841.31999999999994</v>
      </c>
      <c r="CM78" s="207">
        <f t="shared" si="199"/>
        <v>1525.7842350839983</v>
      </c>
      <c r="CN78" s="207">
        <f t="shared" si="200"/>
        <v>1654.2157649160017</v>
      </c>
      <c r="CO78" s="207">
        <f t="shared" si="201"/>
        <v>1874.2157649160017</v>
      </c>
      <c r="CP78" s="208">
        <f t="shared" si="202"/>
        <v>1765.7411186282138</v>
      </c>
      <c r="CQ78" s="207">
        <f t="shared" si="203"/>
        <v>122.15819059692046</v>
      </c>
      <c r="CR78" s="207">
        <f t="shared" si="204"/>
        <v>847.21382454167065</v>
      </c>
      <c r="CS78" s="207">
        <f t="shared" si="205"/>
        <v>918.52729408654318</v>
      </c>
      <c r="CT78" s="209">
        <f>CO78/(1+$B$4)^(CB78-1)</f>
        <v>1040.6854846834638</v>
      </c>
      <c r="CU78" s="208">
        <f t="shared" si="207"/>
        <v>36269.22916072618</v>
      </c>
      <c r="CV78" s="207">
        <f t="shared" si="208"/>
        <v>2666.045235076986</v>
      </c>
      <c r="CW78" s="207">
        <f t="shared" si="209"/>
        <v>16207.665363247013</v>
      </c>
      <c r="CX78" s="207">
        <f t="shared" si="210"/>
        <v>20061.563797479168</v>
      </c>
      <c r="CY78" s="209">
        <f t="shared" si="211"/>
        <v>22727.609032556153</v>
      </c>
      <c r="DB78" s="206">
        <f t="shared" si="226"/>
        <v>16</v>
      </c>
      <c r="DC78" s="884" t="s">
        <v>4</v>
      </c>
      <c r="DD78" s="748">
        <f>'Arable Inputs'!$D$18</f>
        <v>8.25</v>
      </c>
      <c r="DE78" s="748">
        <f>'Arable Inputs'!$D$25-'Arable Inputs'!$D$25</f>
        <v>0</v>
      </c>
      <c r="DF78" s="748">
        <f>'Arable Inputs'!$D$19</f>
        <v>3.9</v>
      </c>
      <c r="DG78" s="748">
        <f>'Arable Inputs'!$D$26-'Arable Inputs'!$D$26</f>
        <v>0</v>
      </c>
      <c r="DH78" s="207">
        <f>DD78*DE78+DF78*DG78</f>
        <v>0</v>
      </c>
      <c r="DI78" s="207">
        <f>'Arable NPV'!$E158</f>
        <v>220</v>
      </c>
      <c r="DJ78" s="207">
        <f t="shared" si="212"/>
        <v>220</v>
      </c>
      <c r="DK78" s="207">
        <f>'Arable NPV'!$G158</f>
        <v>684.46423508399835</v>
      </c>
      <c r="DL78" s="207">
        <f>'Arable NPV'!$H158</f>
        <v>841.31999999999994</v>
      </c>
      <c r="DM78" s="207">
        <f t="shared" si="213"/>
        <v>1525.7842350839983</v>
      </c>
      <c r="DN78" s="207">
        <f t="shared" si="214"/>
        <v>-1525.7842350839983</v>
      </c>
      <c r="DO78" s="207">
        <f t="shared" si="215"/>
        <v>-1305.7842350839983</v>
      </c>
      <c r="DP78" s="208">
        <f t="shared" si="216"/>
        <v>0</v>
      </c>
      <c r="DQ78" s="207">
        <f t="shared" si="217"/>
        <v>122.15819059692046</v>
      </c>
      <c r="DR78" s="207">
        <f t="shared" si="218"/>
        <v>847.21382454167065</v>
      </c>
      <c r="DS78" s="207">
        <f t="shared" si="219"/>
        <v>-847.21382454167065</v>
      </c>
      <c r="DT78" s="209">
        <f>DO78/(1+$B$4)^(DB78-1)</f>
        <v>-725.05563394475018</v>
      </c>
      <c r="DU78" s="208">
        <f t="shared" si="221"/>
        <v>0</v>
      </c>
      <c r="DV78" s="207">
        <f t="shared" si="222"/>
        <v>2666.045235076986</v>
      </c>
      <c r="DW78" s="207">
        <f t="shared" si="223"/>
        <v>16207.665363247013</v>
      </c>
      <c r="DX78" s="207">
        <f t="shared" si="224"/>
        <v>-16207.665363247013</v>
      </c>
      <c r="DY78" s="209">
        <f t="shared" si="225"/>
        <v>-13541.620128170029</v>
      </c>
    </row>
    <row r="84" spans="2:177" x14ac:dyDescent="0.3">
      <c r="B84" s="211" t="s">
        <v>94</v>
      </c>
      <c r="C84" s="750" t="s">
        <v>407</v>
      </c>
      <c r="D84" s="269" t="s">
        <v>418</v>
      </c>
      <c r="E84" s="887">
        <v>1</v>
      </c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Y84" s="102"/>
      <c r="Z84" s="211" t="s">
        <v>94</v>
      </c>
      <c r="AA84" s="211" t="s">
        <v>327</v>
      </c>
      <c r="AB84" s="890">
        <v>1.5</v>
      </c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94</v>
      </c>
      <c r="AY84" s="211" t="s">
        <v>333</v>
      </c>
      <c r="AZ84" s="889">
        <v>0.5</v>
      </c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94</v>
      </c>
      <c r="BW84" s="211" t="s">
        <v>334</v>
      </c>
      <c r="BX84" s="889">
        <v>2</v>
      </c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94</v>
      </c>
      <c r="CU84" s="211" t="s">
        <v>335</v>
      </c>
      <c r="CV84" s="889">
        <v>0</v>
      </c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EB84" s="102"/>
      <c r="EC84" s="102"/>
      <c r="ED84" s="102"/>
      <c r="EE84" s="102"/>
      <c r="EF84" s="102"/>
      <c r="EG84" s="102"/>
      <c r="EH84" s="102"/>
      <c r="EI84" s="102"/>
      <c r="EJ84" s="102"/>
      <c r="EK84" s="102"/>
      <c r="EL84" s="102"/>
      <c r="FK84" s="102"/>
      <c r="FL84" s="102"/>
      <c r="FM84" s="102"/>
      <c r="FN84" s="102"/>
      <c r="FO84" s="102"/>
      <c r="FP84" s="102"/>
      <c r="FQ84" s="102"/>
      <c r="FR84" s="102"/>
      <c r="FS84" s="102"/>
      <c r="FT84" s="102"/>
      <c r="FU84" s="102"/>
    </row>
    <row r="85" spans="2:177" x14ac:dyDescent="0.3">
      <c r="B85" s="203"/>
      <c r="C85" s="148"/>
      <c r="D85" s="148"/>
      <c r="E85" s="970"/>
      <c r="F85" s="970"/>
      <c r="G85" s="970"/>
      <c r="H85" s="148"/>
      <c r="I85" s="910"/>
      <c r="J85" s="970"/>
      <c r="K85" s="970"/>
      <c r="L85" s="148"/>
      <c r="M85" s="148"/>
      <c r="N85" s="971" t="s">
        <v>279</v>
      </c>
      <c r="O85" s="972"/>
      <c r="P85" s="972"/>
      <c r="Q85" s="972"/>
      <c r="R85" s="973"/>
      <c r="S85" s="971" t="s">
        <v>280</v>
      </c>
      <c r="T85" s="972"/>
      <c r="U85" s="972"/>
      <c r="V85" s="972"/>
      <c r="W85" s="973"/>
      <c r="Z85" s="203"/>
      <c r="AA85" s="148"/>
      <c r="AB85" s="148"/>
      <c r="AC85" s="966"/>
      <c r="AD85" s="966"/>
      <c r="AE85" s="966"/>
      <c r="AF85" s="148"/>
      <c r="AG85" s="910"/>
      <c r="AH85" s="966"/>
      <c r="AI85" s="966"/>
      <c r="AJ85" s="148"/>
      <c r="AK85" s="148"/>
      <c r="AL85" s="967" t="s">
        <v>279</v>
      </c>
      <c r="AM85" s="968"/>
      <c r="AN85" s="968"/>
      <c r="AO85" s="968"/>
      <c r="AP85" s="969"/>
      <c r="AQ85" s="967" t="s">
        <v>280</v>
      </c>
      <c r="AR85" s="968"/>
      <c r="AS85" s="968"/>
      <c r="AT85" s="968"/>
      <c r="AU85" s="969"/>
      <c r="AX85" s="203"/>
      <c r="AY85" s="148"/>
      <c r="AZ85" s="148"/>
      <c r="BA85" s="970"/>
      <c r="BB85" s="970"/>
      <c r="BC85" s="970"/>
      <c r="BD85" s="148"/>
      <c r="BE85" s="910"/>
      <c r="BF85" s="148"/>
      <c r="BG85" s="745"/>
      <c r="BH85" s="148"/>
      <c r="BI85" s="148"/>
      <c r="BJ85" s="222" t="s">
        <v>279</v>
      </c>
      <c r="BK85" s="221"/>
      <c r="BL85" s="221"/>
      <c r="BM85" s="221"/>
      <c r="BN85" s="978"/>
      <c r="BO85" s="222" t="s">
        <v>280</v>
      </c>
      <c r="BP85" s="221"/>
      <c r="BQ85" s="221"/>
      <c r="BR85" s="221"/>
      <c r="BS85" s="978"/>
      <c r="BV85" s="203"/>
      <c r="BW85" s="148"/>
      <c r="BX85" s="148"/>
      <c r="BY85" s="970"/>
      <c r="BZ85" s="970"/>
      <c r="CA85" s="970"/>
      <c r="CB85" s="148"/>
      <c r="CC85" s="910"/>
      <c r="CD85" s="970"/>
      <c r="CE85" s="970"/>
      <c r="CF85" s="148"/>
      <c r="CG85" s="148"/>
      <c r="CH85" s="971" t="s">
        <v>279</v>
      </c>
      <c r="CI85" s="972"/>
      <c r="CJ85" s="972"/>
      <c r="CK85" s="972"/>
      <c r="CL85" s="973"/>
      <c r="CM85" s="971" t="s">
        <v>280</v>
      </c>
      <c r="CN85" s="972"/>
      <c r="CO85" s="972"/>
      <c r="CP85" s="972"/>
      <c r="CQ85" s="973"/>
      <c r="CT85" s="203"/>
      <c r="CU85" s="148"/>
      <c r="CV85" s="148"/>
      <c r="CW85" s="970"/>
      <c r="CX85" s="970"/>
      <c r="CY85" s="970"/>
      <c r="CZ85" s="148"/>
      <c r="DA85" s="910"/>
      <c r="DB85" s="970"/>
      <c r="DC85" s="970"/>
      <c r="DD85" s="148"/>
      <c r="DE85" s="148"/>
      <c r="DF85" s="971" t="s">
        <v>279</v>
      </c>
      <c r="DG85" s="972"/>
      <c r="DH85" s="972"/>
      <c r="DI85" s="972"/>
      <c r="DJ85" s="973"/>
      <c r="DK85" s="971" t="s">
        <v>280</v>
      </c>
      <c r="DL85" s="972"/>
      <c r="DM85" s="972"/>
      <c r="DN85" s="972"/>
      <c r="DO85" s="973"/>
    </row>
    <row r="86" spans="2:177" ht="51" x14ac:dyDescent="0.3">
      <c r="B86" s="204" t="s">
        <v>281</v>
      </c>
      <c r="C86" s="205" t="s">
        <v>307</v>
      </c>
      <c r="D86" s="205" t="s">
        <v>308</v>
      </c>
      <c r="E86" s="171" t="s">
        <v>283</v>
      </c>
      <c r="F86" s="171" t="s">
        <v>10</v>
      </c>
      <c r="G86" s="171" t="s">
        <v>284</v>
      </c>
      <c r="H86" s="205" t="s">
        <v>305</v>
      </c>
      <c r="I86" s="914" t="str">
        <f>'Energy NPV'!U11</f>
        <v>Total Recurring Costs</v>
      </c>
      <c r="J86" s="205" t="s">
        <v>309</v>
      </c>
      <c r="K86" s="171" t="s">
        <v>287</v>
      </c>
      <c r="L86" s="171" t="s">
        <v>288</v>
      </c>
      <c r="M86" s="171" t="s">
        <v>289</v>
      </c>
      <c r="N86" s="195" t="s">
        <v>290</v>
      </c>
      <c r="O86" s="171" t="s">
        <v>291</v>
      </c>
      <c r="P86" s="171" t="s">
        <v>292</v>
      </c>
      <c r="Q86" s="171" t="s">
        <v>293</v>
      </c>
      <c r="R86" s="198" t="s">
        <v>294</v>
      </c>
      <c r="S86" s="195" t="s">
        <v>295</v>
      </c>
      <c r="T86" s="171" t="s">
        <v>296</v>
      </c>
      <c r="U86" s="171" t="s">
        <v>297</v>
      </c>
      <c r="V86" s="171" t="s">
        <v>298</v>
      </c>
      <c r="W86" s="198" t="s">
        <v>299</v>
      </c>
      <c r="Z86" s="204" t="s">
        <v>281</v>
      </c>
      <c r="AA86" s="205" t="s">
        <v>307</v>
      </c>
      <c r="AB86" s="205" t="s">
        <v>308</v>
      </c>
      <c r="AC86" s="171" t="s">
        <v>283</v>
      </c>
      <c r="AD86" s="171" t="s">
        <v>10</v>
      </c>
      <c r="AE86" s="171" t="s">
        <v>284</v>
      </c>
      <c r="AF86" s="205" t="s">
        <v>305</v>
      </c>
      <c r="AG86" s="914" t="str">
        <f>'Energy NPV'!U11</f>
        <v>Total Recurring Costs</v>
      </c>
      <c r="AH86" s="205" t="str">
        <f>J86</f>
        <v>Total Decomm. Costs</v>
      </c>
      <c r="AI86" s="171" t="s">
        <v>287</v>
      </c>
      <c r="AJ86" s="171" t="s">
        <v>288</v>
      </c>
      <c r="AK86" s="171" t="s">
        <v>289</v>
      </c>
      <c r="AL86" s="195" t="s">
        <v>290</v>
      </c>
      <c r="AM86" s="171" t="s">
        <v>291</v>
      </c>
      <c r="AN86" s="171" t="s">
        <v>292</v>
      </c>
      <c r="AO86" s="171" t="s">
        <v>293</v>
      </c>
      <c r="AP86" s="198" t="s">
        <v>294</v>
      </c>
      <c r="AQ86" s="195" t="s">
        <v>295</v>
      </c>
      <c r="AR86" s="171" t="s">
        <v>296</v>
      </c>
      <c r="AS86" s="171" t="s">
        <v>297</v>
      </c>
      <c r="AT86" s="171" t="s">
        <v>298</v>
      </c>
      <c r="AU86" s="198" t="s">
        <v>299</v>
      </c>
      <c r="AX86" s="204" t="s">
        <v>281</v>
      </c>
      <c r="AY86" s="205" t="s">
        <v>307</v>
      </c>
      <c r="AZ86" s="205" t="s">
        <v>308</v>
      </c>
      <c r="BA86" s="171" t="s">
        <v>283</v>
      </c>
      <c r="BB86" s="171" t="s">
        <v>10</v>
      </c>
      <c r="BC86" s="171" t="s">
        <v>284</v>
      </c>
      <c r="BD86" s="205" t="s">
        <v>305</v>
      </c>
      <c r="BE86" s="914" t="str">
        <f>'Energy NPV'!U11</f>
        <v>Total Recurring Costs</v>
      </c>
      <c r="BF86" s="205" t="s">
        <v>309</v>
      </c>
      <c r="BG86" s="171" t="s">
        <v>287</v>
      </c>
      <c r="BH86" s="171" t="s">
        <v>288</v>
      </c>
      <c r="BI86" s="171" t="s">
        <v>289</v>
      </c>
      <c r="BJ86" s="195" t="s">
        <v>290</v>
      </c>
      <c r="BK86" s="171" t="s">
        <v>291</v>
      </c>
      <c r="BL86" s="171" t="s">
        <v>292</v>
      </c>
      <c r="BM86" s="171" t="s">
        <v>293</v>
      </c>
      <c r="BN86" s="198" t="s">
        <v>294</v>
      </c>
      <c r="BO86" s="195" t="s">
        <v>295</v>
      </c>
      <c r="BP86" s="171" t="s">
        <v>296</v>
      </c>
      <c r="BQ86" s="171" t="s">
        <v>297</v>
      </c>
      <c r="BR86" s="171" t="s">
        <v>298</v>
      </c>
      <c r="BS86" s="198" t="s">
        <v>299</v>
      </c>
      <c r="BV86" s="204" t="s">
        <v>281</v>
      </c>
      <c r="BW86" s="205" t="s">
        <v>307</v>
      </c>
      <c r="BX86" s="205" t="s">
        <v>308</v>
      </c>
      <c r="BY86" s="171" t="s">
        <v>283</v>
      </c>
      <c r="BZ86" s="171" t="s">
        <v>10</v>
      </c>
      <c r="CA86" s="171" t="s">
        <v>284</v>
      </c>
      <c r="CB86" s="205" t="s">
        <v>305</v>
      </c>
      <c r="CC86" s="914" t="str">
        <f>'Energy NPV'!U11</f>
        <v>Total Recurring Costs</v>
      </c>
      <c r="CD86" s="205" t="s">
        <v>309</v>
      </c>
      <c r="CE86" s="171" t="s">
        <v>287</v>
      </c>
      <c r="CF86" s="171" t="s">
        <v>288</v>
      </c>
      <c r="CG86" s="171" t="s">
        <v>289</v>
      </c>
      <c r="CH86" s="195" t="s">
        <v>290</v>
      </c>
      <c r="CI86" s="171" t="s">
        <v>291</v>
      </c>
      <c r="CJ86" s="171" t="s">
        <v>292</v>
      </c>
      <c r="CK86" s="171" t="s">
        <v>293</v>
      </c>
      <c r="CL86" s="198" t="s">
        <v>294</v>
      </c>
      <c r="CM86" s="195" t="s">
        <v>295</v>
      </c>
      <c r="CN86" s="171" t="s">
        <v>296</v>
      </c>
      <c r="CO86" s="171" t="s">
        <v>297</v>
      </c>
      <c r="CP86" s="171" t="s">
        <v>298</v>
      </c>
      <c r="CQ86" s="198" t="s">
        <v>299</v>
      </c>
      <c r="CT86" s="204" t="s">
        <v>281</v>
      </c>
      <c r="CU86" s="205" t="s">
        <v>307</v>
      </c>
      <c r="CV86" s="205" t="s">
        <v>308</v>
      </c>
      <c r="CW86" s="171" t="s">
        <v>283</v>
      </c>
      <c r="CX86" s="171" t="s">
        <v>10</v>
      </c>
      <c r="CY86" s="171" t="s">
        <v>284</v>
      </c>
      <c r="CZ86" s="205" t="s">
        <v>305</v>
      </c>
      <c r="DA86" s="914" t="str">
        <f>'Energy NPV'!U11</f>
        <v>Total Recurring Costs</v>
      </c>
      <c r="DB86" s="205" t="s">
        <v>309</v>
      </c>
      <c r="DC86" s="171" t="s">
        <v>287</v>
      </c>
      <c r="DD86" s="171" t="s">
        <v>288</v>
      </c>
      <c r="DE86" s="171" t="s">
        <v>289</v>
      </c>
      <c r="DF86" s="195" t="s">
        <v>290</v>
      </c>
      <c r="DG86" s="171" t="s">
        <v>291</v>
      </c>
      <c r="DH86" s="171" t="s">
        <v>292</v>
      </c>
      <c r="DI86" s="171" t="s">
        <v>293</v>
      </c>
      <c r="DJ86" s="198" t="s">
        <v>294</v>
      </c>
      <c r="DK86" s="195" t="s">
        <v>295</v>
      </c>
      <c r="DL86" s="171" t="s">
        <v>296</v>
      </c>
      <c r="DM86" s="171" t="s">
        <v>297</v>
      </c>
      <c r="DN86" s="171" t="s">
        <v>298</v>
      </c>
      <c r="DO86" s="198" t="s">
        <v>299</v>
      </c>
    </row>
    <row r="87" spans="2:177" x14ac:dyDescent="0.3">
      <c r="B87" s="173"/>
      <c r="C87" s="226" t="s">
        <v>356</v>
      </c>
      <c r="D87" s="226" t="s">
        <v>476</v>
      </c>
      <c r="E87" s="201" t="s">
        <v>474</v>
      </c>
      <c r="F87" s="201" t="s">
        <v>474</v>
      </c>
      <c r="G87" s="201" t="s">
        <v>474</v>
      </c>
      <c r="H87" s="201" t="s">
        <v>474</v>
      </c>
      <c r="I87" s="948" t="str">
        <f>'Energy NPV'!U12</f>
        <v>(£ ha-1)</v>
      </c>
      <c r="J87" s="201" t="s">
        <v>474</v>
      </c>
      <c r="K87" s="201" t="s">
        <v>474</v>
      </c>
      <c r="L87" s="201" t="s">
        <v>474</v>
      </c>
      <c r="M87" s="202" t="s">
        <v>474</v>
      </c>
      <c r="N87" s="201" t="s">
        <v>474</v>
      </c>
      <c r="O87" s="201" t="s">
        <v>474</v>
      </c>
      <c r="P87" s="201" t="s">
        <v>474</v>
      </c>
      <c r="Q87" s="201" t="s">
        <v>474</v>
      </c>
      <c r="R87" s="202" t="s">
        <v>474</v>
      </c>
      <c r="S87" s="201" t="s">
        <v>474</v>
      </c>
      <c r="T87" s="201" t="s">
        <v>474</v>
      </c>
      <c r="U87" s="201" t="s">
        <v>474</v>
      </c>
      <c r="V87" s="201" t="s">
        <v>474</v>
      </c>
      <c r="W87" s="202" t="s">
        <v>474</v>
      </c>
      <c r="Z87" s="173"/>
      <c r="AA87" s="226" t="s">
        <v>356</v>
      </c>
      <c r="AB87" s="226" t="s">
        <v>476</v>
      </c>
      <c r="AC87" s="201" t="s">
        <v>474</v>
      </c>
      <c r="AD87" s="201" t="s">
        <v>474</v>
      </c>
      <c r="AE87" s="201" t="s">
        <v>474</v>
      </c>
      <c r="AF87" s="201" t="s">
        <v>474</v>
      </c>
      <c r="AG87" s="948" t="str">
        <f>'Energy NPV'!U12</f>
        <v>(£ ha-1)</v>
      </c>
      <c r="AH87" s="201" t="str">
        <f>J87</f>
        <v>(£ ha-1)</v>
      </c>
      <c r="AI87" s="201" t="s">
        <v>474</v>
      </c>
      <c r="AJ87" s="201" t="s">
        <v>474</v>
      </c>
      <c r="AK87" s="202" t="s">
        <v>474</v>
      </c>
      <c r="AL87" s="201" t="s">
        <v>474</v>
      </c>
      <c r="AM87" s="201" t="s">
        <v>474</v>
      </c>
      <c r="AN87" s="201" t="s">
        <v>474</v>
      </c>
      <c r="AO87" s="201" t="s">
        <v>474</v>
      </c>
      <c r="AP87" s="202" t="s">
        <v>474</v>
      </c>
      <c r="AQ87" s="201" t="s">
        <v>474</v>
      </c>
      <c r="AR87" s="201" t="s">
        <v>474</v>
      </c>
      <c r="AS87" s="201" t="s">
        <v>474</v>
      </c>
      <c r="AT87" s="201" t="s">
        <v>474</v>
      </c>
      <c r="AU87" s="202" t="s">
        <v>474</v>
      </c>
      <c r="AX87" s="173"/>
      <c r="AY87" s="226" t="s">
        <v>356</v>
      </c>
      <c r="AZ87" s="226" t="s">
        <v>476</v>
      </c>
      <c r="BA87" s="201" t="s">
        <v>474</v>
      </c>
      <c r="BB87" s="201" t="s">
        <v>474</v>
      </c>
      <c r="BC87" s="201" t="s">
        <v>474</v>
      </c>
      <c r="BD87" s="201" t="s">
        <v>474</v>
      </c>
      <c r="BE87" s="948" t="str">
        <f>'Energy NPV'!U12</f>
        <v>(£ ha-1)</v>
      </c>
      <c r="BF87" s="201" t="s">
        <v>474</v>
      </c>
      <c r="BG87" s="201" t="s">
        <v>474</v>
      </c>
      <c r="BH87" s="201" t="s">
        <v>474</v>
      </c>
      <c r="BI87" s="202" t="s">
        <v>474</v>
      </c>
      <c r="BJ87" s="201" t="s">
        <v>474</v>
      </c>
      <c r="BK87" s="201" t="s">
        <v>474</v>
      </c>
      <c r="BL87" s="201" t="s">
        <v>474</v>
      </c>
      <c r="BM87" s="201" t="s">
        <v>474</v>
      </c>
      <c r="BN87" s="202" t="s">
        <v>474</v>
      </c>
      <c r="BO87" s="201" t="s">
        <v>474</v>
      </c>
      <c r="BP87" s="201" t="s">
        <v>474</v>
      </c>
      <c r="BQ87" s="201" t="s">
        <v>474</v>
      </c>
      <c r="BR87" s="201" t="s">
        <v>474</v>
      </c>
      <c r="BS87" s="202" t="s">
        <v>474</v>
      </c>
      <c r="BV87" s="173"/>
      <c r="BW87" s="226" t="s">
        <v>356</v>
      </c>
      <c r="BX87" s="226" t="s">
        <v>476</v>
      </c>
      <c r="BY87" s="201" t="s">
        <v>474</v>
      </c>
      <c r="BZ87" s="201" t="s">
        <v>474</v>
      </c>
      <c r="CA87" s="201" t="s">
        <v>474</v>
      </c>
      <c r="CB87" s="201" t="s">
        <v>474</v>
      </c>
      <c r="CC87" s="948" t="str">
        <f>'Energy NPV'!U12</f>
        <v>(£ ha-1)</v>
      </c>
      <c r="CD87" s="201" t="s">
        <v>474</v>
      </c>
      <c r="CE87" s="201" t="s">
        <v>474</v>
      </c>
      <c r="CF87" s="201" t="s">
        <v>474</v>
      </c>
      <c r="CG87" s="202" t="s">
        <v>474</v>
      </c>
      <c r="CH87" s="201" t="s">
        <v>474</v>
      </c>
      <c r="CI87" s="201" t="s">
        <v>474</v>
      </c>
      <c r="CJ87" s="201" t="s">
        <v>474</v>
      </c>
      <c r="CK87" s="201" t="s">
        <v>474</v>
      </c>
      <c r="CL87" s="202" t="s">
        <v>474</v>
      </c>
      <c r="CM87" s="201" t="s">
        <v>474</v>
      </c>
      <c r="CN87" s="201" t="s">
        <v>474</v>
      </c>
      <c r="CO87" s="201" t="s">
        <v>474</v>
      </c>
      <c r="CP87" s="201" t="s">
        <v>474</v>
      </c>
      <c r="CQ87" s="202" t="s">
        <v>474</v>
      </c>
      <c r="CT87" s="173"/>
      <c r="CU87" s="226" t="s">
        <v>356</v>
      </c>
      <c r="CV87" s="226" t="s">
        <v>476</v>
      </c>
      <c r="CW87" s="201" t="s">
        <v>474</v>
      </c>
      <c r="CX87" s="201" t="s">
        <v>474</v>
      </c>
      <c r="CY87" s="201" t="s">
        <v>474</v>
      </c>
      <c r="CZ87" s="201" t="s">
        <v>474</v>
      </c>
      <c r="DA87" s="948" t="str">
        <f>'Energy NPV'!U12</f>
        <v>(£ ha-1)</v>
      </c>
      <c r="DB87" s="201" t="s">
        <v>474</v>
      </c>
      <c r="DC87" s="201" t="s">
        <v>474</v>
      </c>
      <c r="DD87" s="201" t="s">
        <v>474</v>
      </c>
      <c r="DE87" s="202" t="s">
        <v>474</v>
      </c>
      <c r="DF87" s="201" t="s">
        <v>474</v>
      </c>
      <c r="DG87" s="201" t="s">
        <v>474</v>
      </c>
      <c r="DH87" s="201" t="s">
        <v>474</v>
      </c>
      <c r="DI87" s="201" t="s">
        <v>474</v>
      </c>
      <c r="DJ87" s="202" t="s">
        <v>474</v>
      </c>
      <c r="DK87" s="201" t="s">
        <v>474</v>
      </c>
      <c r="DL87" s="201" t="s">
        <v>474</v>
      </c>
      <c r="DM87" s="201" t="s">
        <v>474</v>
      </c>
      <c r="DN87" s="201" t="s">
        <v>474</v>
      </c>
      <c r="DO87" s="202" t="s">
        <v>474</v>
      </c>
    </row>
    <row r="88" spans="2:177" x14ac:dyDescent="0.3">
      <c r="B88" s="880">
        <v>1</v>
      </c>
      <c r="C88" s="747">
        <f>'Energy NPV'!$D13</f>
        <v>0</v>
      </c>
      <c r="D88" s="197">
        <f>'Energy Inputs'!$D$58*$E$84</f>
        <v>55</v>
      </c>
      <c r="E88" s="197">
        <f>C88*D88</f>
        <v>0</v>
      </c>
      <c r="F88" s="197">
        <f>'Margins summary'!$Q$14</f>
        <v>220</v>
      </c>
      <c r="G88" s="197">
        <f>E88+F88</f>
        <v>220</v>
      </c>
      <c r="H88" s="197">
        <f>'Margins summary'!$P$20</f>
        <v>1642.4049999999997</v>
      </c>
      <c r="I88" s="897">
        <f>'Energy NPV'!U13</f>
        <v>0</v>
      </c>
      <c r="J88" s="197"/>
      <c r="K88" s="197">
        <f t="shared" ref="K88:K103" si="227">H88+I88+J88</f>
        <v>1642.4049999999997</v>
      </c>
      <c r="L88" s="197">
        <f t="shared" ref="L88:L103" si="228">E88-K88</f>
        <v>-1642.4049999999997</v>
      </c>
      <c r="M88" s="197">
        <f t="shared" ref="M88:M103" si="229">G88-K88</f>
        <v>-1422.4049999999997</v>
      </c>
      <c r="N88" s="1007">
        <f>E88/((1+$B$4)^($B88-1))</f>
        <v>0</v>
      </c>
      <c r="O88" s="1010">
        <f>F88/((1+$B$4)^($B88-1))</f>
        <v>220</v>
      </c>
      <c r="P88" s="1010">
        <f>K88/((1+$B$4)^($B88-1))</f>
        <v>1642.4049999999997</v>
      </c>
      <c r="Q88" s="1010">
        <f>L88/((1+$B$4)^($B88-1))</f>
        <v>-1642.4049999999997</v>
      </c>
      <c r="R88" s="1012">
        <f>M88/((1+$B$4)^($B88-1))</f>
        <v>-1422.4049999999997</v>
      </c>
      <c r="S88" s="1001">
        <f>N88</f>
        <v>0</v>
      </c>
      <c r="T88" s="1002">
        <f>O88</f>
        <v>220</v>
      </c>
      <c r="U88" s="1002">
        <f>P88</f>
        <v>1642.4049999999997</v>
      </c>
      <c r="V88" s="1002">
        <f>Q88</f>
        <v>-1642.4049999999997</v>
      </c>
      <c r="W88" s="1003">
        <f>R88</f>
        <v>-1422.4049999999997</v>
      </c>
      <c r="Z88" s="880">
        <v>1</v>
      </c>
      <c r="AA88" s="746">
        <f>'Energy NPV'!$D13</f>
        <v>0</v>
      </c>
      <c r="AB88" s="197">
        <f>'Energy Inputs'!$D$58*$AB$84</f>
        <v>82.5</v>
      </c>
      <c r="AC88" s="197">
        <f>AA88*AB88</f>
        <v>0</v>
      </c>
      <c r="AD88" s="197">
        <f>'Margins summary'!$Q$14</f>
        <v>220</v>
      </c>
      <c r="AE88" s="197">
        <f>AC88+AD88</f>
        <v>220</v>
      </c>
      <c r="AF88" s="197">
        <f>'Margins summary'!$P$20</f>
        <v>1642.4049999999997</v>
      </c>
      <c r="AG88" s="897">
        <f>'Energy NPV'!U13</f>
        <v>0</v>
      </c>
      <c r="AH88" s="197"/>
      <c r="AI88" s="197">
        <f t="shared" ref="AI88:AI102" si="230">AF88+AG88</f>
        <v>1642.4049999999997</v>
      </c>
      <c r="AJ88" s="197">
        <f t="shared" ref="AJ88:AJ103" si="231">AC88-AI88</f>
        <v>-1642.4049999999997</v>
      </c>
      <c r="AK88" s="197">
        <f t="shared" ref="AK88:AK103" si="232">AE88-AI88</f>
        <v>-1422.4049999999997</v>
      </c>
      <c r="AL88" s="1007">
        <f>AC88/((1+$B$4)^($Z88-1))</f>
        <v>0</v>
      </c>
      <c r="AM88" s="1010">
        <f>AD88/((1+$B$4)^($Z88-1))</f>
        <v>220</v>
      </c>
      <c r="AN88" s="1010">
        <f>AI88/((1+$B$4)^($Z88-1))</f>
        <v>1642.4049999999997</v>
      </c>
      <c r="AO88" s="1010">
        <f>AJ88/((1+$B$4)^($Z88-1))</f>
        <v>-1642.4049999999997</v>
      </c>
      <c r="AP88" s="1012">
        <f>AK88/((1+$B$4)^($Z88-1))</f>
        <v>-1422.4049999999997</v>
      </c>
      <c r="AQ88" s="196">
        <f>AL88</f>
        <v>0</v>
      </c>
      <c r="AR88" s="197">
        <f>AM88</f>
        <v>220</v>
      </c>
      <c r="AS88" s="197">
        <f>AN88</f>
        <v>1642.4049999999997</v>
      </c>
      <c r="AT88" s="197">
        <f>AO88</f>
        <v>-1642.4049999999997</v>
      </c>
      <c r="AU88" s="199">
        <f>AP88</f>
        <v>-1422.4049999999997</v>
      </c>
      <c r="AX88" s="880">
        <v>1</v>
      </c>
      <c r="AY88" s="746">
        <f>'Energy NPV'!$D13</f>
        <v>0</v>
      </c>
      <c r="AZ88" s="197">
        <f>'Energy Inputs'!$D$58*$AZ$84</f>
        <v>27.5</v>
      </c>
      <c r="BA88" s="197">
        <f>AY88*AZ88</f>
        <v>0</v>
      </c>
      <c r="BB88" s="197">
        <f>'Margins summary'!$Q$14</f>
        <v>220</v>
      </c>
      <c r="BC88" s="197">
        <f>BA88+BB88</f>
        <v>220</v>
      </c>
      <c r="BD88" s="197">
        <f>'Margins summary'!$P$20</f>
        <v>1642.4049999999997</v>
      </c>
      <c r="BE88" s="897">
        <f>'Energy NPV'!U13</f>
        <v>0</v>
      </c>
      <c r="BF88" s="197"/>
      <c r="BG88" s="197">
        <f t="shared" ref="BG88:BG103" si="233">BD88+BE88+BF88</f>
        <v>1642.4049999999997</v>
      </c>
      <c r="BH88" s="197">
        <f t="shared" ref="BH88:BH103" si="234">BA88-BG88</f>
        <v>-1642.4049999999997</v>
      </c>
      <c r="BI88" s="197">
        <f t="shared" ref="BI88:BI103" si="235">BC88-BG88</f>
        <v>-1422.4049999999997</v>
      </c>
      <c r="BJ88" s="1007">
        <f>BA88/((1+$B$4)^($AX88-1))</f>
        <v>0</v>
      </c>
      <c r="BK88" s="1010">
        <f>BB88/((1+$B$4)^($AX88-1))</f>
        <v>220</v>
      </c>
      <c r="BL88" s="1010">
        <f>BG88/((1+$B$4)^($AX88-1))</f>
        <v>1642.4049999999997</v>
      </c>
      <c r="BM88" s="1010">
        <f>BH88/((1+$B$4)^($AX88-1))</f>
        <v>-1642.4049999999997</v>
      </c>
      <c r="BN88" s="1012">
        <f>BI88/((1+$B$4)^($AX88-1))</f>
        <v>-1422.4049999999997</v>
      </c>
      <c r="BO88" s="196">
        <f>BJ88</f>
        <v>0</v>
      </c>
      <c r="BP88" s="197">
        <f>BK88</f>
        <v>220</v>
      </c>
      <c r="BQ88" s="197">
        <f>BL88</f>
        <v>1642.4049999999997</v>
      </c>
      <c r="BR88" s="197">
        <f>BM88</f>
        <v>-1642.4049999999997</v>
      </c>
      <c r="BS88" s="199">
        <f>BN88</f>
        <v>-1422.4049999999997</v>
      </c>
      <c r="BV88" s="980">
        <v>1</v>
      </c>
      <c r="BW88" s="746">
        <f>'Energy NPV'!$D13</f>
        <v>0</v>
      </c>
      <c r="BX88" s="197">
        <f>'Energy Inputs'!$D$58*$BX$84</f>
        <v>110</v>
      </c>
      <c r="BY88" s="197">
        <f>BW88*BX88</f>
        <v>0</v>
      </c>
      <c r="BZ88" s="197">
        <f>'Margins summary'!$Q$14</f>
        <v>220</v>
      </c>
      <c r="CA88" s="197">
        <f>BY88+BZ88</f>
        <v>220</v>
      </c>
      <c r="CB88" s="197">
        <f>'Margins summary'!$P$20</f>
        <v>1642.4049999999997</v>
      </c>
      <c r="CC88" s="897">
        <f>'Energy NPV'!U13</f>
        <v>0</v>
      </c>
      <c r="CD88" s="197"/>
      <c r="CE88" s="197">
        <f t="shared" ref="CE88:CE103" si="236">CB88+CC88+CD88</f>
        <v>1642.4049999999997</v>
      </c>
      <c r="CF88" s="197">
        <f t="shared" ref="CF88:CF103" si="237">BY88-CE88</f>
        <v>-1642.4049999999997</v>
      </c>
      <c r="CG88" s="197">
        <f t="shared" ref="CG88:CG103" si="238">CA88-CE88</f>
        <v>-1422.4049999999997</v>
      </c>
      <c r="CH88" s="1007">
        <f>BY88/((1+$B$4)^($BV88-1))</f>
        <v>0</v>
      </c>
      <c r="CI88" s="1010">
        <f>BZ88/((1+$B$4)^($BV88-1))</f>
        <v>220</v>
      </c>
      <c r="CJ88" s="1010">
        <f>CE88/((1+$B$4)^($BV88-1))</f>
        <v>1642.4049999999997</v>
      </c>
      <c r="CK88" s="1010">
        <f>CF88/((1+$B$4)^($BV88-1))</f>
        <v>-1642.4049999999997</v>
      </c>
      <c r="CL88" s="1012">
        <f>CG88/((1+$B$4)^($BV88-1))</f>
        <v>-1422.4049999999997</v>
      </c>
      <c r="CM88" s="196">
        <f>CH88</f>
        <v>0</v>
      </c>
      <c r="CN88" s="197">
        <f>CI88</f>
        <v>220</v>
      </c>
      <c r="CO88" s="197">
        <f>CJ88</f>
        <v>1642.4049999999997</v>
      </c>
      <c r="CP88" s="197">
        <f>CK88</f>
        <v>-1642.4049999999997</v>
      </c>
      <c r="CQ88" s="199">
        <f>CL88</f>
        <v>-1422.4049999999997</v>
      </c>
      <c r="CT88" s="204">
        <v>1</v>
      </c>
      <c r="CU88" s="746">
        <f>'Energy NPV'!$D13</f>
        <v>0</v>
      </c>
      <c r="CV88" s="197">
        <f>'Energy Inputs'!$D$58*$CV$84</f>
        <v>0</v>
      </c>
      <c r="CW88" s="197">
        <f>CU88*CV88</f>
        <v>0</v>
      </c>
      <c r="CX88" s="197">
        <f>'Margins summary'!$Q$14</f>
        <v>220</v>
      </c>
      <c r="CY88" s="197">
        <f>CW88+CX88</f>
        <v>220</v>
      </c>
      <c r="CZ88" s="197">
        <f>'Margins summary'!$P$20</f>
        <v>1642.4049999999997</v>
      </c>
      <c r="DA88" s="897">
        <f>'Energy NPV'!U13</f>
        <v>0</v>
      </c>
      <c r="DB88" s="197"/>
      <c r="DC88" s="197">
        <f t="shared" ref="DC88:DC103" si="239">CZ88+DA88+DB88</f>
        <v>1642.4049999999997</v>
      </c>
      <c r="DD88" s="197">
        <f t="shared" ref="DD88:DD103" si="240">CW88-DC88</f>
        <v>-1642.4049999999997</v>
      </c>
      <c r="DE88" s="197">
        <f t="shared" ref="DE88:DE103" si="241">CY88-DC88</f>
        <v>-1422.4049999999997</v>
      </c>
      <c r="DF88" s="1007">
        <f>CW88/((1+$B$4)^($CT88-1))</f>
        <v>0</v>
      </c>
      <c r="DG88" s="1010">
        <f>CX88/((1+$B$4)^($CT88-1))</f>
        <v>220</v>
      </c>
      <c r="DH88" s="1010">
        <f>DC88/((1+$B$4)^($CT88-1))</f>
        <v>1642.4049999999997</v>
      </c>
      <c r="DI88" s="1010">
        <f>DD88/((1+$B$4)^($CT88-1))</f>
        <v>-1642.4049999999997</v>
      </c>
      <c r="DJ88" s="1012">
        <f>DE88/((1+$B$4)^($CT88-1))</f>
        <v>-1422.4049999999997</v>
      </c>
      <c r="DK88" s="196">
        <f>DF88</f>
        <v>0</v>
      </c>
      <c r="DL88" s="197">
        <f>DG88</f>
        <v>220</v>
      </c>
      <c r="DM88" s="197">
        <f>DH88</f>
        <v>1642.4049999999997</v>
      </c>
      <c r="DN88" s="197">
        <f>DI88</f>
        <v>-1642.4049999999997</v>
      </c>
      <c r="DO88" s="199">
        <f>DJ88</f>
        <v>-1422.4049999999997</v>
      </c>
    </row>
    <row r="89" spans="2:177" x14ac:dyDescent="0.3">
      <c r="B89" s="881">
        <v>2</v>
      </c>
      <c r="C89" s="747">
        <f>'Energy NPV'!$D14</f>
        <v>0</v>
      </c>
      <c r="D89" s="197">
        <f>'Energy Inputs'!$D$58*$E$84</f>
        <v>55</v>
      </c>
      <c r="E89" s="197">
        <f>C89*D89</f>
        <v>0</v>
      </c>
      <c r="F89" s="197">
        <f>'Margins summary'!$Q$14</f>
        <v>220</v>
      </c>
      <c r="G89" s="197">
        <f t="shared" ref="G89:G103" si="242">E89+F89</f>
        <v>220</v>
      </c>
      <c r="H89" s="197"/>
      <c r="I89" s="897">
        <f>'Energy NPV'!U14</f>
        <v>140.30000000000001</v>
      </c>
      <c r="J89" s="197"/>
      <c r="K89" s="197">
        <f t="shared" si="227"/>
        <v>140.30000000000001</v>
      </c>
      <c r="L89" s="197">
        <f t="shared" si="228"/>
        <v>-140.30000000000001</v>
      </c>
      <c r="M89" s="197">
        <f t="shared" si="229"/>
        <v>79.699999999999989</v>
      </c>
      <c r="N89" s="1008">
        <f t="shared" ref="N89:N103" si="243">E89/((1+$B$4)^($B89-1))</f>
        <v>0</v>
      </c>
      <c r="O89" s="1011">
        <f t="shared" ref="O89:O103" si="244">F89/((1+$B$4)^($B89-1))</f>
        <v>211.53846153846152</v>
      </c>
      <c r="P89" s="1011">
        <f t="shared" ref="P89:P103" si="245">K89/((1+$B$4)^($B89-1))</f>
        <v>134.90384615384616</v>
      </c>
      <c r="Q89" s="1011">
        <f t="shared" ref="Q89:Q103" si="246">L89/((1+$B$4)^($B89-1))</f>
        <v>-134.90384615384616</v>
      </c>
      <c r="R89" s="1013">
        <f t="shared" ref="R89:R102" si="247">M89/((1+$B$4)^($B89-1))</f>
        <v>76.634615384615373</v>
      </c>
      <c r="S89" s="1001">
        <f>S88+N89</f>
        <v>0</v>
      </c>
      <c r="T89" s="1002">
        <f t="shared" ref="T89:T103" si="248">T88+O89</f>
        <v>431.53846153846155</v>
      </c>
      <c r="U89" s="1002">
        <f t="shared" ref="U89:U103" si="249">U88+P89</f>
        <v>1777.3088461538459</v>
      </c>
      <c r="V89" s="1002">
        <f t="shared" ref="V89:V103" si="250">V88+Q89</f>
        <v>-1777.3088461538459</v>
      </c>
      <c r="W89" s="1003">
        <f t="shared" ref="W89:W103" si="251">W88+R89</f>
        <v>-1345.7703846153843</v>
      </c>
      <c r="Z89" s="881">
        <v>2</v>
      </c>
      <c r="AA89" s="746">
        <f>'Energy NPV'!$D14</f>
        <v>0</v>
      </c>
      <c r="AB89" s="197">
        <f>'Energy Inputs'!$D$58*$AB$84</f>
        <v>82.5</v>
      </c>
      <c r="AC89" s="197">
        <f>AA89*AB89</f>
        <v>0</v>
      </c>
      <c r="AD89" s="197">
        <f>'Margins summary'!$Q$14</f>
        <v>220</v>
      </c>
      <c r="AE89" s="197">
        <f t="shared" ref="AE89:AE103" si="252">AC89+AD89</f>
        <v>220</v>
      </c>
      <c r="AF89" s="197"/>
      <c r="AG89" s="897">
        <f>'Energy NPV'!U14</f>
        <v>140.30000000000001</v>
      </c>
      <c r="AH89" s="197"/>
      <c r="AI89" s="197">
        <f t="shared" si="230"/>
        <v>140.30000000000001</v>
      </c>
      <c r="AJ89" s="197">
        <f t="shared" si="231"/>
        <v>-140.30000000000001</v>
      </c>
      <c r="AK89" s="197">
        <f t="shared" si="232"/>
        <v>79.699999999999989</v>
      </c>
      <c r="AL89" s="1008">
        <f t="shared" ref="AL89:AL103" si="253">AC89/((1+$B$4)^($Z89-1))</f>
        <v>0</v>
      </c>
      <c r="AM89" s="1011">
        <f t="shared" ref="AM89:AM103" si="254">AD89/((1+$B$4)^($Z89-1))</f>
        <v>211.53846153846152</v>
      </c>
      <c r="AN89" s="1011">
        <f t="shared" ref="AN89:AN103" si="255">AI89/((1+$B$4)^($Z89-1))</f>
        <v>134.90384615384616</v>
      </c>
      <c r="AO89" s="1011">
        <f t="shared" ref="AO89:AO103" si="256">AJ89/((1+$B$4)^($Z89-1))</f>
        <v>-134.90384615384616</v>
      </c>
      <c r="AP89" s="1013">
        <f t="shared" ref="AP89:AP103" si="257">AK89/((1+$B$4)^($Z89-1))</f>
        <v>76.634615384615373</v>
      </c>
      <c r="AQ89" s="196">
        <f>AQ88+AL89</f>
        <v>0</v>
      </c>
      <c r="AR89" s="197">
        <f t="shared" ref="AR89:AR103" si="258">AR88+AM89</f>
        <v>431.53846153846155</v>
      </c>
      <c r="AS89" s="197">
        <f t="shared" ref="AS89:AS103" si="259">AS88+AN89</f>
        <v>1777.3088461538459</v>
      </c>
      <c r="AT89" s="197">
        <f t="shared" ref="AT89:AT103" si="260">AT88+AO89</f>
        <v>-1777.3088461538459</v>
      </c>
      <c r="AU89" s="199">
        <f t="shared" ref="AU89:AU103" si="261">AU88+AP89</f>
        <v>-1345.7703846153843</v>
      </c>
      <c r="AX89" s="881">
        <v>2</v>
      </c>
      <c r="AY89" s="746">
        <f>'Energy NPV'!$D14</f>
        <v>0</v>
      </c>
      <c r="AZ89" s="197">
        <f>'Energy Inputs'!$D$58*$AZ$84</f>
        <v>27.5</v>
      </c>
      <c r="BA89" s="197">
        <f>AY89*AZ89</f>
        <v>0</v>
      </c>
      <c r="BB89" s="197">
        <f>'Margins summary'!$Q$14</f>
        <v>220</v>
      </c>
      <c r="BC89" s="197">
        <f t="shared" ref="BC89:BC103" si="262">BA89+BB89</f>
        <v>220</v>
      </c>
      <c r="BD89" s="197"/>
      <c r="BE89" s="897">
        <f>'Energy NPV'!U14</f>
        <v>140.30000000000001</v>
      </c>
      <c r="BF89" s="197"/>
      <c r="BG89" s="197">
        <f t="shared" si="233"/>
        <v>140.30000000000001</v>
      </c>
      <c r="BH89" s="197">
        <f t="shared" si="234"/>
        <v>-140.30000000000001</v>
      </c>
      <c r="BI89" s="197">
        <f t="shared" si="235"/>
        <v>79.699999999999989</v>
      </c>
      <c r="BJ89" s="1008">
        <f t="shared" ref="BJ89:BJ103" si="263">BA89/((1+$B$4)^($AX89-1))</f>
        <v>0</v>
      </c>
      <c r="BK89" s="1011">
        <f t="shared" ref="BK89:BK103" si="264">BB89/((1+$B$4)^($AX89-1))</f>
        <v>211.53846153846152</v>
      </c>
      <c r="BL89" s="1011">
        <f t="shared" ref="BL89:BL103" si="265">BG89/((1+$B$4)^($AX89-1))</f>
        <v>134.90384615384616</v>
      </c>
      <c r="BM89" s="1011">
        <f t="shared" ref="BM89:BM103" si="266">BH89/((1+$B$4)^($AX89-1))</f>
        <v>-134.90384615384616</v>
      </c>
      <c r="BN89" s="1013">
        <f t="shared" ref="BN89:BN103" si="267">BI89/((1+$B$4)^($AX89-1))</f>
        <v>76.634615384615373</v>
      </c>
      <c r="BO89" s="196">
        <f t="shared" ref="BO89:BO103" si="268">BO88+BJ89</f>
        <v>0</v>
      </c>
      <c r="BP89" s="197">
        <f t="shared" ref="BP89:BP103" si="269">BP88+BK89</f>
        <v>431.53846153846155</v>
      </c>
      <c r="BQ89" s="197">
        <f t="shared" ref="BQ89:BQ103" si="270">BQ88+BL89</f>
        <v>1777.3088461538459</v>
      </c>
      <c r="BR89" s="197">
        <f t="shared" ref="BR89:BR103" si="271">BR88+BM89</f>
        <v>-1777.3088461538459</v>
      </c>
      <c r="BS89" s="199">
        <f t="shared" ref="BS89:BS103" si="272">BS88+BN89</f>
        <v>-1345.7703846153843</v>
      </c>
      <c r="BV89" s="981">
        <v>2</v>
      </c>
      <c r="BW89" s="746">
        <f>'Energy NPV'!$D14</f>
        <v>0</v>
      </c>
      <c r="BX89" s="197">
        <f>'Energy Inputs'!$D$58*$BX$84</f>
        <v>110</v>
      </c>
      <c r="BY89" s="197">
        <f>BW89*BX89</f>
        <v>0</v>
      </c>
      <c r="BZ89" s="197">
        <f>'Margins summary'!$Q$14</f>
        <v>220</v>
      </c>
      <c r="CA89" s="197">
        <f t="shared" ref="CA89:CA103" si="273">BY89+BZ89</f>
        <v>220</v>
      </c>
      <c r="CB89" s="197"/>
      <c r="CC89" s="897">
        <f>'Energy NPV'!U14</f>
        <v>140.30000000000001</v>
      </c>
      <c r="CD89" s="197"/>
      <c r="CE89" s="197">
        <f t="shared" si="236"/>
        <v>140.30000000000001</v>
      </c>
      <c r="CF89" s="197">
        <f t="shared" si="237"/>
        <v>-140.30000000000001</v>
      </c>
      <c r="CG89" s="197">
        <f t="shared" si="238"/>
        <v>79.699999999999989</v>
      </c>
      <c r="CH89" s="1008">
        <f t="shared" ref="CH89:CH103" si="274">BY89/((1+$B$4)^($BV89-1))</f>
        <v>0</v>
      </c>
      <c r="CI89" s="1011">
        <f t="shared" ref="CI89:CI103" si="275">BZ89/((1+$B$4)^($BV89-1))</f>
        <v>211.53846153846152</v>
      </c>
      <c r="CJ89" s="1011">
        <f t="shared" ref="CJ89:CJ103" si="276">CE89/((1+$B$4)^($BV89-1))</f>
        <v>134.90384615384616</v>
      </c>
      <c r="CK89" s="1011">
        <f t="shared" ref="CK89:CK103" si="277">CF89/((1+$B$4)^($BV89-1))</f>
        <v>-134.90384615384616</v>
      </c>
      <c r="CL89" s="1013">
        <f t="shared" ref="CL89:CL103" si="278">CG89/((1+$B$4)^($BV89-1))</f>
        <v>76.634615384615373</v>
      </c>
      <c r="CM89" s="196">
        <f>CM88+CH89</f>
        <v>0</v>
      </c>
      <c r="CN89" s="197">
        <f t="shared" ref="CN89:CN103" si="279">CN88+CI89</f>
        <v>431.53846153846155</v>
      </c>
      <c r="CO89" s="197">
        <f t="shared" ref="CO89:CO103" si="280">CO88+CJ89</f>
        <v>1777.3088461538459</v>
      </c>
      <c r="CP89" s="197">
        <f t="shared" ref="CP89:CP103" si="281">CP88+CK89</f>
        <v>-1777.3088461538459</v>
      </c>
      <c r="CQ89" s="199">
        <f t="shared" ref="CQ89:CQ103" si="282">CQ88+CL89</f>
        <v>-1345.7703846153843</v>
      </c>
      <c r="CT89" s="204">
        <v>2</v>
      </c>
      <c r="CU89" s="746">
        <f>'Energy NPV'!$D14</f>
        <v>0</v>
      </c>
      <c r="CV89" s="197">
        <f>'Energy Inputs'!$D$58*$CV$84</f>
        <v>0</v>
      </c>
      <c r="CW89" s="197">
        <f>CU89*CV89</f>
        <v>0</v>
      </c>
      <c r="CX89" s="197">
        <f>'Margins summary'!$Q$14</f>
        <v>220</v>
      </c>
      <c r="CY89" s="197">
        <f t="shared" ref="CY89:CY103" si="283">CW89+CX89</f>
        <v>220</v>
      </c>
      <c r="CZ89" s="197"/>
      <c r="DA89" s="897">
        <f>'Energy NPV'!U14</f>
        <v>140.30000000000001</v>
      </c>
      <c r="DB89" s="197"/>
      <c r="DC89" s="197">
        <f t="shared" si="239"/>
        <v>140.30000000000001</v>
      </c>
      <c r="DD89" s="197">
        <f t="shared" si="240"/>
        <v>-140.30000000000001</v>
      </c>
      <c r="DE89" s="197">
        <f t="shared" si="241"/>
        <v>79.699999999999989</v>
      </c>
      <c r="DF89" s="1008">
        <f t="shared" ref="DF89:DF103" si="284">CW89/((1+$B$4)^($CT89-1))</f>
        <v>0</v>
      </c>
      <c r="DG89" s="1011">
        <f t="shared" ref="DG89:DG103" si="285">CX89/((1+$B$4)^($CT89-1))</f>
        <v>211.53846153846152</v>
      </c>
      <c r="DH89" s="1011">
        <f t="shared" ref="DH89:DH103" si="286">DC89/((1+$B$4)^($CT89-1))</f>
        <v>134.90384615384616</v>
      </c>
      <c r="DI89" s="1011">
        <f t="shared" ref="DI89:DI103" si="287">DD89/((1+$B$4)^($CT89-1))</f>
        <v>-134.90384615384616</v>
      </c>
      <c r="DJ89" s="1013">
        <f t="shared" ref="DJ89:DJ103" si="288">DE89/((1+$B$4)^($CT89-1))</f>
        <v>76.634615384615373</v>
      </c>
      <c r="DK89" s="196">
        <f>DK88+DF89</f>
        <v>0</v>
      </c>
      <c r="DL89" s="197">
        <f t="shared" ref="DL89:DL103" si="289">DL88+DG89</f>
        <v>431.53846153846155</v>
      </c>
      <c r="DM89" s="197">
        <f t="shared" ref="DM89:DM103" si="290">DM88+DH89</f>
        <v>1777.3088461538459</v>
      </c>
      <c r="DN89" s="197">
        <f t="shared" ref="DN89:DN103" si="291">DN88+DI89</f>
        <v>-1777.3088461538459</v>
      </c>
      <c r="DO89" s="199">
        <f t="shared" ref="DO89:DO103" si="292">DO88+DJ89</f>
        <v>-1345.7703846153843</v>
      </c>
    </row>
    <row r="90" spans="2:177" x14ac:dyDescent="0.3">
      <c r="B90" s="881">
        <v>3</v>
      </c>
      <c r="C90" s="747">
        <f>'Energy NPV'!$D15</f>
        <v>0</v>
      </c>
      <c r="D90" s="197">
        <f>'Energy Inputs'!$D$58*$E$84</f>
        <v>55</v>
      </c>
      <c r="E90" s="197">
        <f t="shared" ref="E90:E103" si="293">C90*D90</f>
        <v>0</v>
      </c>
      <c r="F90" s="197">
        <f>'Margins summary'!$Q$14</f>
        <v>220</v>
      </c>
      <c r="G90" s="197">
        <f t="shared" si="242"/>
        <v>220</v>
      </c>
      <c r="H90" s="197"/>
      <c r="I90" s="897">
        <f>'Energy NPV'!U15</f>
        <v>140.30000000000001</v>
      </c>
      <c r="J90" s="197"/>
      <c r="K90" s="197">
        <f t="shared" si="227"/>
        <v>140.30000000000001</v>
      </c>
      <c r="L90" s="197">
        <f t="shared" si="228"/>
        <v>-140.30000000000001</v>
      </c>
      <c r="M90" s="197">
        <f t="shared" si="229"/>
        <v>79.699999999999989</v>
      </c>
      <c r="N90" s="1008">
        <f t="shared" si="243"/>
        <v>0</v>
      </c>
      <c r="O90" s="1011">
        <f t="shared" si="244"/>
        <v>203.40236686390531</v>
      </c>
      <c r="P90" s="1011">
        <f t="shared" si="245"/>
        <v>129.71523668639054</v>
      </c>
      <c r="Q90" s="1011">
        <f t="shared" si="246"/>
        <v>-129.71523668639054</v>
      </c>
      <c r="R90" s="1013">
        <f t="shared" si="247"/>
        <v>73.687130177514774</v>
      </c>
      <c r="S90" s="1001">
        <f t="shared" ref="S90:S102" si="294">S89+N90</f>
        <v>0</v>
      </c>
      <c r="T90" s="1002">
        <f t="shared" si="248"/>
        <v>634.94082840236683</v>
      </c>
      <c r="U90" s="1002">
        <f t="shared" si="249"/>
        <v>1907.0240828402366</v>
      </c>
      <c r="V90" s="1002">
        <f t="shared" si="250"/>
        <v>-1907.0240828402366</v>
      </c>
      <c r="W90" s="1003">
        <f t="shared" si="251"/>
        <v>-1272.0832544378695</v>
      </c>
      <c r="Z90" s="881">
        <v>3</v>
      </c>
      <c r="AA90" s="746">
        <f>'Energy NPV'!$D15</f>
        <v>0</v>
      </c>
      <c r="AB90" s="197">
        <f>'Energy Inputs'!$D$58*$AB$84</f>
        <v>82.5</v>
      </c>
      <c r="AC90" s="197">
        <f t="shared" ref="AC90:AC103" si="295">AA90*AB90</f>
        <v>0</v>
      </c>
      <c r="AD90" s="197">
        <f>'Margins summary'!$Q$14</f>
        <v>220</v>
      </c>
      <c r="AE90" s="197">
        <f t="shared" si="252"/>
        <v>220</v>
      </c>
      <c r="AF90" s="197"/>
      <c r="AG90" s="897">
        <f>'Energy NPV'!U15</f>
        <v>140.30000000000001</v>
      </c>
      <c r="AH90" s="197"/>
      <c r="AI90" s="197">
        <f t="shared" si="230"/>
        <v>140.30000000000001</v>
      </c>
      <c r="AJ90" s="197">
        <f t="shared" si="231"/>
        <v>-140.30000000000001</v>
      </c>
      <c r="AK90" s="197">
        <f t="shared" si="232"/>
        <v>79.699999999999989</v>
      </c>
      <c r="AL90" s="1008">
        <f t="shared" si="253"/>
        <v>0</v>
      </c>
      <c r="AM90" s="1011">
        <f t="shared" si="254"/>
        <v>203.40236686390531</v>
      </c>
      <c r="AN90" s="1011">
        <f t="shared" si="255"/>
        <v>129.71523668639054</v>
      </c>
      <c r="AO90" s="1011">
        <f t="shared" si="256"/>
        <v>-129.71523668639054</v>
      </c>
      <c r="AP90" s="1013">
        <f t="shared" si="257"/>
        <v>73.687130177514774</v>
      </c>
      <c r="AQ90" s="196">
        <f t="shared" ref="AQ90:AQ102" si="296">AQ89+AL90</f>
        <v>0</v>
      </c>
      <c r="AR90" s="197">
        <f t="shared" si="258"/>
        <v>634.94082840236683</v>
      </c>
      <c r="AS90" s="197">
        <f t="shared" si="259"/>
        <v>1907.0240828402366</v>
      </c>
      <c r="AT90" s="197">
        <f t="shared" si="260"/>
        <v>-1907.0240828402366</v>
      </c>
      <c r="AU90" s="199">
        <f t="shared" si="261"/>
        <v>-1272.0832544378695</v>
      </c>
      <c r="AX90" s="881">
        <v>3</v>
      </c>
      <c r="AY90" s="746">
        <f>'Energy NPV'!$D15</f>
        <v>0</v>
      </c>
      <c r="AZ90" s="197">
        <f>'Energy Inputs'!$D$58*$AZ$84</f>
        <v>27.5</v>
      </c>
      <c r="BA90" s="197">
        <f t="shared" ref="BA90:BA103" si="297">AY90*AZ90</f>
        <v>0</v>
      </c>
      <c r="BB90" s="197">
        <f>'Margins summary'!$Q$14</f>
        <v>220</v>
      </c>
      <c r="BC90" s="197">
        <f t="shared" si="262"/>
        <v>220</v>
      </c>
      <c r="BD90" s="197"/>
      <c r="BE90" s="897">
        <f>'Energy NPV'!U15</f>
        <v>140.30000000000001</v>
      </c>
      <c r="BF90" s="197"/>
      <c r="BG90" s="197">
        <f t="shared" si="233"/>
        <v>140.30000000000001</v>
      </c>
      <c r="BH90" s="197">
        <f t="shared" si="234"/>
        <v>-140.30000000000001</v>
      </c>
      <c r="BI90" s="197">
        <f t="shared" si="235"/>
        <v>79.699999999999989</v>
      </c>
      <c r="BJ90" s="1008">
        <f t="shared" si="263"/>
        <v>0</v>
      </c>
      <c r="BK90" s="1011">
        <f t="shared" si="264"/>
        <v>203.40236686390531</v>
      </c>
      <c r="BL90" s="1011">
        <f t="shared" si="265"/>
        <v>129.71523668639054</v>
      </c>
      <c r="BM90" s="1011">
        <f t="shared" si="266"/>
        <v>-129.71523668639054</v>
      </c>
      <c r="BN90" s="1013">
        <f t="shared" si="267"/>
        <v>73.687130177514774</v>
      </c>
      <c r="BO90" s="196">
        <f t="shared" si="268"/>
        <v>0</v>
      </c>
      <c r="BP90" s="197">
        <f t="shared" si="269"/>
        <v>634.94082840236683</v>
      </c>
      <c r="BQ90" s="197">
        <f t="shared" si="270"/>
        <v>1907.0240828402366</v>
      </c>
      <c r="BR90" s="197">
        <f t="shared" si="271"/>
        <v>-1907.0240828402366</v>
      </c>
      <c r="BS90" s="199">
        <f t="shared" si="272"/>
        <v>-1272.0832544378695</v>
      </c>
      <c r="BV90" s="981">
        <v>3</v>
      </c>
      <c r="BW90" s="746">
        <f>'Energy NPV'!$D15</f>
        <v>0</v>
      </c>
      <c r="BX90" s="197">
        <f>'Energy Inputs'!$D$58*$BX$84</f>
        <v>110</v>
      </c>
      <c r="BY90" s="197">
        <f t="shared" ref="BY90:BY103" si="298">BW90*BX90</f>
        <v>0</v>
      </c>
      <c r="BZ90" s="197">
        <f>'Margins summary'!$Q$14</f>
        <v>220</v>
      </c>
      <c r="CA90" s="197">
        <f t="shared" si="273"/>
        <v>220</v>
      </c>
      <c r="CB90" s="197"/>
      <c r="CC90" s="897">
        <f>'Energy NPV'!U15</f>
        <v>140.30000000000001</v>
      </c>
      <c r="CD90" s="197"/>
      <c r="CE90" s="197">
        <f t="shared" si="236"/>
        <v>140.30000000000001</v>
      </c>
      <c r="CF90" s="197">
        <f t="shared" si="237"/>
        <v>-140.30000000000001</v>
      </c>
      <c r="CG90" s="197">
        <f t="shared" si="238"/>
        <v>79.699999999999989</v>
      </c>
      <c r="CH90" s="1008">
        <f t="shared" si="274"/>
        <v>0</v>
      </c>
      <c r="CI90" s="1011">
        <f t="shared" si="275"/>
        <v>203.40236686390531</v>
      </c>
      <c r="CJ90" s="1011">
        <f t="shared" si="276"/>
        <v>129.71523668639054</v>
      </c>
      <c r="CK90" s="1011">
        <f t="shared" si="277"/>
        <v>-129.71523668639054</v>
      </c>
      <c r="CL90" s="1013">
        <f t="shared" si="278"/>
        <v>73.687130177514774</v>
      </c>
      <c r="CM90" s="196">
        <f t="shared" ref="CM90:CM103" si="299">CM89+CH90</f>
        <v>0</v>
      </c>
      <c r="CN90" s="197">
        <f t="shared" si="279"/>
        <v>634.94082840236683</v>
      </c>
      <c r="CO90" s="197">
        <f t="shared" si="280"/>
        <v>1907.0240828402366</v>
      </c>
      <c r="CP90" s="197">
        <f t="shared" si="281"/>
        <v>-1907.0240828402366</v>
      </c>
      <c r="CQ90" s="199">
        <f t="shared" si="282"/>
        <v>-1272.0832544378695</v>
      </c>
      <c r="CT90" s="204">
        <f t="shared" ref="CT90:CT103" si="300">CT89+1</f>
        <v>3</v>
      </c>
      <c r="CU90" s="746">
        <f>'Energy NPV'!$D15</f>
        <v>0</v>
      </c>
      <c r="CV90" s="197">
        <f>'Energy Inputs'!$D$58*$CV$84</f>
        <v>0</v>
      </c>
      <c r="CW90" s="197">
        <f t="shared" ref="CW90:CW103" si="301">CU90*CV90</f>
        <v>0</v>
      </c>
      <c r="CX90" s="197">
        <f>'Margins summary'!$Q$14</f>
        <v>220</v>
      </c>
      <c r="CY90" s="197">
        <f t="shared" si="283"/>
        <v>220</v>
      </c>
      <c r="CZ90" s="197"/>
      <c r="DA90" s="897">
        <f>'Energy NPV'!U15</f>
        <v>140.30000000000001</v>
      </c>
      <c r="DB90" s="197"/>
      <c r="DC90" s="197">
        <f t="shared" si="239"/>
        <v>140.30000000000001</v>
      </c>
      <c r="DD90" s="197">
        <f t="shared" si="240"/>
        <v>-140.30000000000001</v>
      </c>
      <c r="DE90" s="197">
        <f t="shared" si="241"/>
        <v>79.699999999999989</v>
      </c>
      <c r="DF90" s="1008">
        <f t="shared" si="284"/>
        <v>0</v>
      </c>
      <c r="DG90" s="1011">
        <f t="shared" si="285"/>
        <v>203.40236686390531</v>
      </c>
      <c r="DH90" s="1011">
        <f t="shared" si="286"/>
        <v>129.71523668639054</v>
      </c>
      <c r="DI90" s="1011">
        <f t="shared" si="287"/>
        <v>-129.71523668639054</v>
      </c>
      <c r="DJ90" s="1013">
        <f t="shared" si="288"/>
        <v>73.687130177514774</v>
      </c>
      <c r="DK90" s="196">
        <f t="shared" ref="DK90:DK103" si="302">DK89+DF90</f>
        <v>0</v>
      </c>
      <c r="DL90" s="197">
        <f t="shared" si="289"/>
        <v>634.94082840236683</v>
      </c>
      <c r="DM90" s="197">
        <f t="shared" si="290"/>
        <v>1907.0240828402366</v>
      </c>
      <c r="DN90" s="197">
        <f t="shared" si="291"/>
        <v>-1907.0240828402366</v>
      </c>
      <c r="DO90" s="199">
        <f t="shared" si="292"/>
        <v>-1272.0832544378695</v>
      </c>
    </row>
    <row r="91" spans="2:177" x14ac:dyDescent="0.3">
      <c r="B91" s="881">
        <v>4</v>
      </c>
      <c r="C91" s="747">
        <f>'Energy NPV'!$D16</f>
        <v>30</v>
      </c>
      <c r="D91" s="197">
        <f>'Energy Inputs'!$D$58*$E$84</f>
        <v>55</v>
      </c>
      <c r="E91" s="197">
        <f t="shared" si="293"/>
        <v>1650</v>
      </c>
      <c r="F91" s="197">
        <f>'Margins summary'!$Q$14</f>
        <v>220</v>
      </c>
      <c r="G91" s="197">
        <f t="shared" si="242"/>
        <v>1870</v>
      </c>
      <c r="H91" s="197"/>
      <c r="I91" s="897">
        <f>'Energy NPV'!U16</f>
        <v>592.40499999999997</v>
      </c>
      <c r="J91" s="197"/>
      <c r="K91" s="197">
        <f t="shared" si="227"/>
        <v>592.40499999999997</v>
      </c>
      <c r="L91" s="197">
        <f t="shared" si="228"/>
        <v>1057.595</v>
      </c>
      <c r="M91" s="197">
        <f t="shared" si="229"/>
        <v>1277.595</v>
      </c>
      <c r="N91" s="1008">
        <f t="shared" si="243"/>
        <v>1466.8439918070094</v>
      </c>
      <c r="O91" s="1011">
        <f t="shared" si="244"/>
        <v>195.57919890760127</v>
      </c>
      <c r="P91" s="1011">
        <f t="shared" si="245"/>
        <v>526.6458878584433</v>
      </c>
      <c r="Q91" s="1011">
        <f t="shared" si="246"/>
        <v>940.1981039485662</v>
      </c>
      <c r="R91" s="1013">
        <f t="shared" si="247"/>
        <v>1135.7773028561674</v>
      </c>
      <c r="S91" s="1001">
        <f t="shared" si="294"/>
        <v>1466.8439918070094</v>
      </c>
      <c r="T91" s="1002">
        <f t="shared" si="248"/>
        <v>830.5200273099681</v>
      </c>
      <c r="U91" s="1002">
        <f t="shared" si="249"/>
        <v>2433.6699706986801</v>
      </c>
      <c r="V91" s="1002">
        <f t="shared" si="250"/>
        <v>-966.82597889167039</v>
      </c>
      <c r="W91" s="1003">
        <f t="shared" si="251"/>
        <v>-136.30595158170217</v>
      </c>
      <c r="Z91" s="881">
        <v>4</v>
      </c>
      <c r="AA91" s="746">
        <f>'Energy NPV'!$D16</f>
        <v>30</v>
      </c>
      <c r="AB91" s="197">
        <f>'Energy Inputs'!$D$58*$AB$84</f>
        <v>82.5</v>
      </c>
      <c r="AC91" s="197">
        <f t="shared" si="295"/>
        <v>2475</v>
      </c>
      <c r="AD91" s="197">
        <f>'Margins summary'!$Q$14</f>
        <v>220</v>
      </c>
      <c r="AE91" s="197">
        <f t="shared" si="252"/>
        <v>2695</v>
      </c>
      <c r="AF91" s="197"/>
      <c r="AG91" s="897">
        <f>'Energy NPV'!U16</f>
        <v>592.40499999999997</v>
      </c>
      <c r="AH91" s="197"/>
      <c r="AI91" s="197">
        <f t="shared" si="230"/>
        <v>592.40499999999997</v>
      </c>
      <c r="AJ91" s="197">
        <f t="shared" si="231"/>
        <v>1882.595</v>
      </c>
      <c r="AK91" s="197">
        <f t="shared" si="232"/>
        <v>2102.5950000000003</v>
      </c>
      <c r="AL91" s="1008">
        <f t="shared" si="253"/>
        <v>2200.2659877105143</v>
      </c>
      <c r="AM91" s="1011">
        <f t="shared" si="254"/>
        <v>195.57919890760127</v>
      </c>
      <c r="AN91" s="1011">
        <f t="shared" si="255"/>
        <v>526.6458878584433</v>
      </c>
      <c r="AO91" s="1011">
        <f t="shared" si="256"/>
        <v>1673.620099852071</v>
      </c>
      <c r="AP91" s="1013">
        <f t="shared" si="257"/>
        <v>1869.1992987596723</v>
      </c>
      <c r="AQ91" s="196">
        <f t="shared" si="296"/>
        <v>2200.2659877105143</v>
      </c>
      <c r="AR91" s="197">
        <f t="shared" si="258"/>
        <v>830.5200273099681</v>
      </c>
      <c r="AS91" s="197">
        <f t="shared" si="259"/>
        <v>2433.6699706986801</v>
      </c>
      <c r="AT91" s="197">
        <f t="shared" si="260"/>
        <v>-233.40398298816558</v>
      </c>
      <c r="AU91" s="199">
        <f t="shared" si="261"/>
        <v>597.11604432180275</v>
      </c>
      <c r="AX91" s="881">
        <v>4</v>
      </c>
      <c r="AY91" s="746">
        <f>'Energy NPV'!$D16</f>
        <v>30</v>
      </c>
      <c r="AZ91" s="197">
        <f>'Energy Inputs'!$D$58*$AZ$84</f>
        <v>27.5</v>
      </c>
      <c r="BA91" s="197">
        <f t="shared" si="297"/>
        <v>825</v>
      </c>
      <c r="BB91" s="197">
        <f>'Margins summary'!$Q$14</f>
        <v>220</v>
      </c>
      <c r="BC91" s="197">
        <f t="shared" si="262"/>
        <v>1045</v>
      </c>
      <c r="BD91" s="197"/>
      <c r="BE91" s="897">
        <f>'Energy NPV'!U16</f>
        <v>592.40499999999997</v>
      </c>
      <c r="BF91" s="197"/>
      <c r="BG91" s="197">
        <f t="shared" si="233"/>
        <v>592.40499999999997</v>
      </c>
      <c r="BH91" s="197">
        <f t="shared" si="234"/>
        <v>232.59500000000003</v>
      </c>
      <c r="BI91" s="197">
        <f t="shared" si="235"/>
        <v>452.59500000000003</v>
      </c>
      <c r="BJ91" s="1008">
        <f t="shared" si="263"/>
        <v>733.42199590350469</v>
      </c>
      <c r="BK91" s="1011">
        <f t="shared" si="264"/>
        <v>195.57919890760127</v>
      </c>
      <c r="BL91" s="1011">
        <f t="shared" si="265"/>
        <v>526.6458878584433</v>
      </c>
      <c r="BM91" s="1011">
        <f t="shared" si="266"/>
        <v>206.77610804506145</v>
      </c>
      <c r="BN91" s="1013">
        <f t="shared" si="267"/>
        <v>402.35530695266272</v>
      </c>
      <c r="BO91" s="196">
        <f t="shared" si="268"/>
        <v>733.42199590350469</v>
      </c>
      <c r="BP91" s="197">
        <f t="shared" si="269"/>
        <v>830.5200273099681</v>
      </c>
      <c r="BQ91" s="197">
        <f t="shared" si="270"/>
        <v>2433.6699706986801</v>
      </c>
      <c r="BR91" s="197">
        <f t="shared" si="271"/>
        <v>-1700.2479747951752</v>
      </c>
      <c r="BS91" s="199">
        <f t="shared" si="272"/>
        <v>-869.72794748520687</v>
      </c>
      <c r="BV91" s="981">
        <v>4</v>
      </c>
      <c r="BW91" s="746">
        <f>'Energy NPV'!$D16</f>
        <v>30</v>
      </c>
      <c r="BX91" s="197">
        <f>'Energy Inputs'!$D$58*$BX$84</f>
        <v>110</v>
      </c>
      <c r="BY91" s="197">
        <f t="shared" si="298"/>
        <v>3300</v>
      </c>
      <c r="BZ91" s="197">
        <f>'Margins summary'!$Q$14</f>
        <v>220</v>
      </c>
      <c r="CA91" s="197">
        <f t="shared" si="273"/>
        <v>3520</v>
      </c>
      <c r="CB91" s="197"/>
      <c r="CC91" s="897">
        <f>'Energy NPV'!U16</f>
        <v>592.40499999999997</v>
      </c>
      <c r="CD91" s="197"/>
      <c r="CE91" s="197">
        <f t="shared" si="236"/>
        <v>592.40499999999997</v>
      </c>
      <c r="CF91" s="197">
        <f t="shared" si="237"/>
        <v>2707.5950000000003</v>
      </c>
      <c r="CG91" s="197">
        <f t="shared" si="238"/>
        <v>2927.5950000000003</v>
      </c>
      <c r="CH91" s="1008">
        <f t="shared" si="274"/>
        <v>2933.6879836140188</v>
      </c>
      <c r="CI91" s="1011">
        <f t="shared" si="275"/>
        <v>195.57919890760127</v>
      </c>
      <c r="CJ91" s="1011">
        <f t="shared" si="276"/>
        <v>526.6458878584433</v>
      </c>
      <c r="CK91" s="1011">
        <f t="shared" si="277"/>
        <v>2407.0420957555757</v>
      </c>
      <c r="CL91" s="1013">
        <f t="shared" si="278"/>
        <v>2602.6212946631772</v>
      </c>
      <c r="CM91" s="196">
        <f t="shared" si="299"/>
        <v>2933.6879836140188</v>
      </c>
      <c r="CN91" s="197">
        <f t="shared" si="279"/>
        <v>830.5200273099681</v>
      </c>
      <c r="CO91" s="197">
        <f t="shared" si="280"/>
        <v>2433.6699706986801</v>
      </c>
      <c r="CP91" s="197">
        <f t="shared" si="281"/>
        <v>500.01801291533911</v>
      </c>
      <c r="CQ91" s="199">
        <f t="shared" si="282"/>
        <v>1330.5380402253077</v>
      </c>
      <c r="CT91" s="204">
        <f t="shared" si="300"/>
        <v>4</v>
      </c>
      <c r="CU91" s="746">
        <f>'Energy NPV'!$D16</f>
        <v>30</v>
      </c>
      <c r="CV91" s="197">
        <f>'Energy Inputs'!$D$58*$CV$84</f>
        <v>0</v>
      </c>
      <c r="CW91" s="197">
        <f t="shared" si="301"/>
        <v>0</v>
      </c>
      <c r="CX91" s="197">
        <f>'Margins summary'!$Q$14</f>
        <v>220</v>
      </c>
      <c r="CY91" s="197">
        <f t="shared" si="283"/>
        <v>220</v>
      </c>
      <c r="CZ91" s="197"/>
      <c r="DA91" s="897">
        <f>'Energy NPV'!U16</f>
        <v>592.40499999999997</v>
      </c>
      <c r="DB91" s="197"/>
      <c r="DC91" s="197">
        <f t="shared" si="239"/>
        <v>592.40499999999997</v>
      </c>
      <c r="DD91" s="197">
        <f t="shared" si="240"/>
        <v>-592.40499999999997</v>
      </c>
      <c r="DE91" s="197">
        <f t="shared" si="241"/>
        <v>-372.40499999999997</v>
      </c>
      <c r="DF91" s="1008">
        <f t="shared" si="284"/>
        <v>0</v>
      </c>
      <c r="DG91" s="1011">
        <f t="shared" si="285"/>
        <v>195.57919890760127</v>
      </c>
      <c r="DH91" s="1011">
        <f t="shared" si="286"/>
        <v>526.6458878584433</v>
      </c>
      <c r="DI91" s="1011">
        <f t="shared" si="287"/>
        <v>-526.6458878584433</v>
      </c>
      <c r="DJ91" s="1013">
        <f t="shared" si="288"/>
        <v>-331.06668895084204</v>
      </c>
      <c r="DK91" s="196">
        <f t="shared" si="302"/>
        <v>0</v>
      </c>
      <c r="DL91" s="197">
        <f t="shared" si="289"/>
        <v>830.5200273099681</v>
      </c>
      <c r="DM91" s="197">
        <f t="shared" si="290"/>
        <v>2433.6699706986801</v>
      </c>
      <c r="DN91" s="197">
        <f t="shared" si="291"/>
        <v>-2433.6699706986801</v>
      </c>
      <c r="DO91" s="199">
        <f t="shared" si="292"/>
        <v>-1603.1499433887116</v>
      </c>
    </row>
    <row r="92" spans="2:177" x14ac:dyDescent="0.3">
      <c r="B92" s="881">
        <v>5</v>
      </c>
      <c r="C92" s="747">
        <f>'Energy NPV'!$D17</f>
        <v>0</v>
      </c>
      <c r="D92" s="197">
        <f>'Energy Inputs'!$D$58*$E$84</f>
        <v>55</v>
      </c>
      <c r="E92" s="197">
        <f t="shared" si="293"/>
        <v>0</v>
      </c>
      <c r="F92" s="197">
        <f>'Margins summary'!$Q$14</f>
        <v>220</v>
      </c>
      <c r="G92" s="197">
        <f t="shared" si="242"/>
        <v>220</v>
      </c>
      <c r="H92" s="197"/>
      <c r="I92" s="897">
        <f>'Energy NPV'!U17</f>
        <v>0</v>
      </c>
      <c r="J92" s="197"/>
      <c r="K92" s="197">
        <f t="shared" si="227"/>
        <v>0</v>
      </c>
      <c r="L92" s="197">
        <f t="shared" si="228"/>
        <v>0</v>
      </c>
      <c r="M92" s="197">
        <f t="shared" si="229"/>
        <v>220</v>
      </c>
      <c r="N92" s="1008">
        <f t="shared" si="243"/>
        <v>0</v>
      </c>
      <c r="O92" s="1011">
        <f t="shared" si="244"/>
        <v>188.05692202653967</v>
      </c>
      <c r="P92" s="1011">
        <f t="shared" si="245"/>
        <v>0</v>
      </c>
      <c r="Q92" s="1011">
        <f t="shared" si="246"/>
        <v>0</v>
      </c>
      <c r="R92" s="1013">
        <f t="shared" si="247"/>
        <v>188.05692202653967</v>
      </c>
      <c r="S92" s="1001">
        <f t="shared" si="294"/>
        <v>1466.8439918070094</v>
      </c>
      <c r="T92" s="1002">
        <f t="shared" si="248"/>
        <v>1018.5769493365078</v>
      </c>
      <c r="U92" s="1002">
        <f t="shared" si="249"/>
        <v>2433.6699706986801</v>
      </c>
      <c r="V92" s="1002">
        <f t="shared" si="250"/>
        <v>-966.82597889167039</v>
      </c>
      <c r="W92" s="1003">
        <f t="shared" si="251"/>
        <v>51.750970444837492</v>
      </c>
      <c r="Z92" s="881">
        <v>5</v>
      </c>
      <c r="AA92" s="746">
        <f>'Energy NPV'!$D17</f>
        <v>0</v>
      </c>
      <c r="AB92" s="197">
        <f>'Energy Inputs'!$D$58*$AB$84</f>
        <v>82.5</v>
      </c>
      <c r="AC92" s="197">
        <f t="shared" si="295"/>
        <v>0</v>
      </c>
      <c r="AD92" s="197">
        <f>'Margins summary'!$Q$14</f>
        <v>220</v>
      </c>
      <c r="AE92" s="197">
        <f t="shared" si="252"/>
        <v>220</v>
      </c>
      <c r="AF92" s="197"/>
      <c r="AG92" s="897">
        <f>'Energy NPV'!U17</f>
        <v>0</v>
      </c>
      <c r="AH92" s="197"/>
      <c r="AI92" s="197">
        <f t="shared" si="230"/>
        <v>0</v>
      </c>
      <c r="AJ92" s="197">
        <f t="shared" si="231"/>
        <v>0</v>
      </c>
      <c r="AK92" s="197">
        <f t="shared" si="232"/>
        <v>220</v>
      </c>
      <c r="AL92" s="1008">
        <f t="shared" si="253"/>
        <v>0</v>
      </c>
      <c r="AM92" s="1011">
        <f t="shared" si="254"/>
        <v>188.05692202653967</v>
      </c>
      <c r="AN92" s="1011">
        <f t="shared" si="255"/>
        <v>0</v>
      </c>
      <c r="AO92" s="1011">
        <f t="shared" si="256"/>
        <v>0</v>
      </c>
      <c r="AP92" s="1013">
        <f t="shared" si="257"/>
        <v>188.05692202653967</v>
      </c>
      <c r="AQ92" s="196">
        <f t="shared" si="296"/>
        <v>2200.2659877105143</v>
      </c>
      <c r="AR92" s="197">
        <f t="shared" si="258"/>
        <v>1018.5769493365078</v>
      </c>
      <c r="AS92" s="197">
        <f t="shared" si="259"/>
        <v>2433.6699706986801</v>
      </c>
      <c r="AT92" s="197">
        <f t="shared" si="260"/>
        <v>-233.40398298816558</v>
      </c>
      <c r="AU92" s="199">
        <f t="shared" si="261"/>
        <v>785.17296634834247</v>
      </c>
      <c r="AX92" s="881">
        <v>5</v>
      </c>
      <c r="AY92" s="746">
        <f>'Energy NPV'!$D17</f>
        <v>0</v>
      </c>
      <c r="AZ92" s="197">
        <f>'Energy Inputs'!$D$58*$AZ$84</f>
        <v>27.5</v>
      </c>
      <c r="BA92" s="197">
        <f t="shared" si="297"/>
        <v>0</v>
      </c>
      <c r="BB92" s="197">
        <f>'Margins summary'!$Q$14</f>
        <v>220</v>
      </c>
      <c r="BC92" s="197">
        <f t="shared" si="262"/>
        <v>220</v>
      </c>
      <c r="BD92" s="197"/>
      <c r="BE92" s="897">
        <f>'Energy NPV'!U17</f>
        <v>0</v>
      </c>
      <c r="BF92" s="197"/>
      <c r="BG92" s="197">
        <f t="shared" si="233"/>
        <v>0</v>
      </c>
      <c r="BH92" s="197">
        <f t="shared" si="234"/>
        <v>0</v>
      </c>
      <c r="BI92" s="197">
        <f t="shared" si="235"/>
        <v>220</v>
      </c>
      <c r="BJ92" s="1008">
        <f t="shared" si="263"/>
        <v>0</v>
      </c>
      <c r="BK92" s="1011">
        <f t="shared" si="264"/>
        <v>188.05692202653967</v>
      </c>
      <c r="BL92" s="1011">
        <f t="shared" si="265"/>
        <v>0</v>
      </c>
      <c r="BM92" s="1011">
        <f t="shared" si="266"/>
        <v>0</v>
      </c>
      <c r="BN92" s="1013">
        <f t="shared" si="267"/>
        <v>188.05692202653967</v>
      </c>
      <c r="BO92" s="196">
        <f t="shared" si="268"/>
        <v>733.42199590350469</v>
      </c>
      <c r="BP92" s="197">
        <f t="shared" si="269"/>
        <v>1018.5769493365078</v>
      </c>
      <c r="BQ92" s="197">
        <f t="shared" si="270"/>
        <v>2433.6699706986801</v>
      </c>
      <c r="BR92" s="197">
        <f t="shared" si="271"/>
        <v>-1700.2479747951752</v>
      </c>
      <c r="BS92" s="199">
        <f t="shared" si="272"/>
        <v>-681.67102545866715</v>
      </c>
      <c r="BV92" s="981">
        <v>5</v>
      </c>
      <c r="BW92" s="746">
        <f>'Energy NPV'!$D17</f>
        <v>0</v>
      </c>
      <c r="BX92" s="197">
        <f>'Energy Inputs'!$D$58*$BX$84</f>
        <v>110</v>
      </c>
      <c r="BY92" s="197">
        <f t="shared" si="298"/>
        <v>0</v>
      </c>
      <c r="BZ92" s="197">
        <f>'Margins summary'!$Q$14</f>
        <v>220</v>
      </c>
      <c r="CA92" s="197">
        <f t="shared" si="273"/>
        <v>220</v>
      </c>
      <c r="CB92" s="197"/>
      <c r="CC92" s="897">
        <f>'Energy NPV'!U17</f>
        <v>0</v>
      </c>
      <c r="CD92" s="197"/>
      <c r="CE92" s="197">
        <f t="shared" si="236"/>
        <v>0</v>
      </c>
      <c r="CF92" s="197">
        <f t="shared" si="237"/>
        <v>0</v>
      </c>
      <c r="CG92" s="197">
        <f t="shared" si="238"/>
        <v>220</v>
      </c>
      <c r="CH92" s="1008">
        <f t="shared" si="274"/>
        <v>0</v>
      </c>
      <c r="CI92" s="1011">
        <f t="shared" si="275"/>
        <v>188.05692202653967</v>
      </c>
      <c r="CJ92" s="1011">
        <f t="shared" si="276"/>
        <v>0</v>
      </c>
      <c r="CK92" s="1011">
        <f t="shared" si="277"/>
        <v>0</v>
      </c>
      <c r="CL92" s="1013">
        <f t="shared" si="278"/>
        <v>188.05692202653967</v>
      </c>
      <c r="CM92" s="196">
        <f t="shared" si="299"/>
        <v>2933.6879836140188</v>
      </c>
      <c r="CN92" s="197">
        <f t="shared" si="279"/>
        <v>1018.5769493365078</v>
      </c>
      <c r="CO92" s="197">
        <f t="shared" si="280"/>
        <v>2433.6699706986801</v>
      </c>
      <c r="CP92" s="197">
        <f t="shared" si="281"/>
        <v>500.01801291533911</v>
      </c>
      <c r="CQ92" s="199">
        <f t="shared" si="282"/>
        <v>1518.5949622518474</v>
      </c>
      <c r="CT92" s="204">
        <f t="shared" si="300"/>
        <v>5</v>
      </c>
      <c r="CU92" s="746">
        <f>'Energy NPV'!$D17</f>
        <v>0</v>
      </c>
      <c r="CV92" s="197">
        <f>'Energy Inputs'!$D$58*$CV$84</f>
        <v>0</v>
      </c>
      <c r="CW92" s="197">
        <f t="shared" si="301"/>
        <v>0</v>
      </c>
      <c r="CX92" s="197">
        <f>'Margins summary'!$Q$14</f>
        <v>220</v>
      </c>
      <c r="CY92" s="197">
        <f t="shared" si="283"/>
        <v>220</v>
      </c>
      <c r="CZ92" s="197"/>
      <c r="DA92" s="897">
        <f>'Energy NPV'!U17</f>
        <v>0</v>
      </c>
      <c r="DB92" s="197"/>
      <c r="DC92" s="197">
        <f t="shared" si="239"/>
        <v>0</v>
      </c>
      <c r="DD92" s="197">
        <f t="shared" si="240"/>
        <v>0</v>
      </c>
      <c r="DE92" s="197">
        <f t="shared" si="241"/>
        <v>220</v>
      </c>
      <c r="DF92" s="1008">
        <f t="shared" si="284"/>
        <v>0</v>
      </c>
      <c r="DG92" s="1011">
        <f t="shared" si="285"/>
        <v>188.05692202653967</v>
      </c>
      <c r="DH92" s="1011">
        <f t="shared" si="286"/>
        <v>0</v>
      </c>
      <c r="DI92" s="1011">
        <f t="shared" si="287"/>
        <v>0</v>
      </c>
      <c r="DJ92" s="1013">
        <f t="shared" si="288"/>
        <v>188.05692202653967</v>
      </c>
      <c r="DK92" s="196">
        <f t="shared" si="302"/>
        <v>0</v>
      </c>
      <c r="DL92" s="197">
        <f t="shared" si="289"/>
        <v>1018.5769493365078</v>
      </c>
      <c r="DM92" s="197">
        <f t="shared" si="290"/>
        <v>2433.6699706986801</v>
      </c>
      <c r="DN92" s="197">
        <f t="shared" si="291"/>
        <v>-2433.6699706986801</v>
      </c>
      <c r="DO92" s="199">
        <f t="shared" si="292"/>
        <v>-1415.0930213621718</v>
      </c>
    </row>
    <row r="93" spans="2:177" x14ac:dyDescent="0.3">
      <c r="B93" s="881">
        <v>6</v>
      </c>
      <c r="C93" s="747">
        <f>'Energy NPV'!$D18</f>
        <v>0</v>
      </c>
      <c r="D93" s="197">
        <f>'Energy Inputs'!$D$58*$E$84</f>
        <v>55</v>
      </c>
      <c r="E93" s="197">
        <f t="shared" si="293"/>
        <v>0</v>
      </c>
      <c r="F93" s="197">
        <f>'Margins summary'!$Q$14</f>
        <v>220</v>
      </c>
      <c r="G93" s="197">
        <f t="shared" si="242"/>
        <v>220</v>
      </c>
      <c r="H93" s="197"/>
      <c r="I93" s="897">
        <f>'Energy NPV'!U18</f>
        <v>0</v>
      </c>
      <c r="J93" s="197"/>
      <c r="K93" s="197">
        <f t="shared" si="227"/>
        <v>0</v>
      </c>
      <c r="L93" s="197">
        <f t="shared" si="228"/>
        <v>0</v>
      </c>
      <c r="M93" s="197">
        <f t="shared" si="229"/>
        <v>220</v>
      </c>
      <c r="N93" s="1008">
        <f t="shared" si="243"/>
        <v>0</v>
      </c>
      <c r="O93" s="1011">
        <f t="shared" si="244"/>
        <v>180.82396348705734</v>
      </c>
      <c r="P93" s="1011">
        <f t="shared" si="245"/>
        <v>0</v>
      </c>
      <c r="Q93" s="1011">
        <f t="shared" si="246"/>
        <v>0</v>
      </c>
      <c r="R93" s="1013">
        <f t="shared" si="247"/>
        <v>180.82396348705734</v>
      </c>
      <c r="S93" s="1001">
        <f t="shared" si="294"/>
        <v>1466.8439918070094</v>
      </c>
      <c r="T93" s="1002">
        <f t="shared" si="248"/>
        <v>1199.4009128235652</v>
      </c>
      <c r="U93" s="1002">
        <f t="shared" si="249"/>
        <v>2433.6699706986801</v>
      </c>
      <c r="V93" s="1002">
        <f t="shared" si="250"/>
        <v>-966.82597889167039</v>
      </c>
      <c r="W93" s="1003">
        <f t="shared" si="251"/>
        <v>232.57493393189483</v>
      </c>
      <c r="Z93" s="881">
        <v>6</v>
      </c>
      <c r="AA93" s="746">
        <f>'Energy NPV'!$D18</f>
        <v>0</v>
      </c>
      <c r="AB93" s="197">
        <f>'Energy Inputs'!$D$58*$AB$84</f>
        <v>82.5</v>
      </c>
      <c r="AC93" s="197">
        <f t="shared" si="295"/>
        <v>0</v>
      </c>
      <c r="AD93" s="197">
        <f>'Margins summary'!$Q$14</f>
        <v>220</v>
      </c>
      <c r="AE93" s="197">
        <f t="shared" si="252"/>
        <v>220</v>
      </c>
      <c r="AF93" s="197"/>
      <c r="AG93" s="897">
        <f>'Energy NPV'!U18</f>
        <v>0</v>
      </c>
      <c r="AH93" s="197"/>
      <c r="AI93" s="197">
        <f t="shared" si="230"/>
        <v>0</v>
      </c>
      <c r="AJ93" s="197">
        <f t="shared" si="231"/>
        <v>0</v>
      </c>
      <c r="AK93" s="197">
        <f t="shared" si="232"/>
        <v>220</v>
      </c>
      <c r="AL93" s="1008">
        <f t="shared" si="253"/>
        <v>0</v>
      </c>
      <c r="AM93" s="1011">
        <f t="shared" si="254"/>
        <v>180.82396348705734</v>
      </c>
      <c r="AN93" s="1011">
        <f t="shared" si="255"/>
        <v>0</v>
      </c>
      <c r="AO93" s="1011">
        <f t="shared" si="256"/>
        <v>0</v>
      </c>
      <c r="AP93" s="1013">
        <f t="shared" si="257"/>
        <v>180.82396348705734</v>
      </c>
      <c r="AQ93" s="196">
        <f t="shared" si="296"/>
        <v>2200.2659877105143</v>
      </c>
      <c r="AR93" s="197">
        <f t="shared" si="258"/>
        <v>1199.4009128235652</v>
      </c>
      <c r="AS93" s="197">
        <f t="shared" si="259"/>
        <v>2433.6699706986801</v>
      </c>
      <c r="AT93" s="197">
        <f t="shared" si="260"/>
        <v>-233.40398298816558</v>
      </c>
      <c r="AU93" s="199">
        <f t="shared" si="261"/>
        <v>965.99692983539978</v>
      </c>
      <c r="AX93" s="881">
        <v>6</v>
      </c>
      <c r="AY93" s="746">
        <f>'Energy NPV'!$D18</f>
        <v>0</v>
      </c>
      <c r="AZ93" s="197">
        <f>'Energy Inputs'!$D$58*$AZ$84</f>
        <v>27.5</v>
      </c>
      <c r="BA93" s="197">
        <f t="shared" si="297"/>
        <v>0</v>
      </c>
      <c r="BB93" s="197">
        <f>'Margins summary'!$Q$14</f>
        <v>220</v>
      </c>
      <c r="BC93" s="197">
        <f t="shared" si="262"/>
        <v>220</v>
      </c>
      <c r="BD93" s="197"/>
      <c r="BE93" s="897">
        <f>'Energy NPV'!U18</f>
        <v>0</v>
      </c>
      <c r="BF93" s="197"/>
      <c r="BG93" s="197">
        <f t="shared" si="233"/>
        <v>0</v>
      </c>
      <c r="BH93" s="197">
        <f t="shared" si="234"/>
        <v>0</v>
      </c>
      <c r="BI93" s="197">
        <f t="shared" si="235"/>
        <v>220</v>
      </c>
      <c r="BJ93" s="1008">
        <f t="shared" si="263"/>
        <v>0</v>
      </c>
      <c r="BK93" s="1011">
        <f t="shared" si="264"/>
        <v>180.82396348705734</v>
      </c>
      <c r="BL93" s="1011">
        <f t="shared" si="265"/>
        <v>0</v>
      </c>
      <c r="BM93" s="1011">
        <f t="shared" si="266"/>
        <v>0</v>
      </c>
      <c r="BN93" s="1013">
        <f t="shared" si="267"/>
        <v>180.82396348705734</v>
      </c>
      <c r="BO93" s="196">
        <f t="shared" si="268"/>
        <v>733.42199590350469</v>
      </c>
      <c r="BP93" s="197">
        <f t="shared" si="269"/>
        <v>1199.4009128235652</v>
      </c>
      <c r="BQ93" s="197">
        <f t="shared" si="270"/>
        <v>2433.6699706986801</v>
      </c>
      <c r="BR93" s="197">
        <f t="shared" si="271"/>
        <v>-1700.2479747951752</v>
      </c>
      <c r="BS93" s="199">
        <f t="shared" si="272"/>
        <v>-500.84706197160983</v>
      </c>
      <c r="BV93" s="981">
        <v>6</v>
      </c>
      <c r="BW93" s="746">
        <f>'Energy NPV'!$D18</f>
        <v>0</v>
      </c>
      <c r="BX93" s="197">
        <f>'Energy Inputs'!$D$58*$BX$84</f>
        <v>110</v>
      </c>
      <c r="BY93" s="197">
        <f t="shared" si="298"/>
        <v>0</v>
      </c>
      <c r="BZ93" s="197">
        <f>'Margins summary'!$Q$14</f>
        <v>220</v>
      </c>
      <c r="CA93" s="197">
        <f t="shared" si="273"/>
        <v>220</v>
      </c>
      <c r="CB93" s="197"/>
      <c r="CC93" s="897">
        <f>'Energy NPV'!U18</f>
        <v>0</v>
      </c>
      <c r="CD93" s="197"/>
      <c r="CE93" s="197">
        <f t="shared" si="236"/>
        <v>0</v>
      </c>
      <c r="CF93" s="197">
        <f t="shared" si="237"/>
        <v>0</v>
      </c>
      <c r="CG93" s="197">
        <f t="shared" si="238"/>
        <v>220</v>
      </c>
      <c r="CH93" s="1008">
        <f t="shared" si="274"/>
        <v>0</v>
      </c>
      <c r="CI93" s="1011">
        <f t="shared" si="275"/>
        <v>180.82396348705734</v>
      </c>
      <c r="CJ93" s="1011">
        <f t="shared" si="276"/>
        <v>0</v>
      </c>
      <c r="CK93" s="1011">
        <f t="shared" si="277"/>
        <v>0</v>
      </c>
      <c r="CL93" s="1013">
        <f t="shared" si="278"/>
        <v>180.82396348705734</v>
      </c>
      <c r="CM93" s="196">
        <f t="shared" si="299"/>
        <v>2933.6879836140188</v>
      </c>
      <c r="CN93" s="197">
        <f t="shared" si="279"/>
        <v>1199.4009128235652</v>
      </c>
      <c r="CO93" s="197">
        <f t="shared" si="280"/>
        <v>2433.6699706986801</v>
      </c>
      <c r="CP93" s="197">
        <f t="shared" si="281"/>
        <v>500.01801291533911</v>
      </c>
      <c r="CQ93" s="199">
        <f t="shared" si="282"/>
        <v>1699.4189257389048</v>
      </c>
      <c r="CT93" s="204">
        <f t="shared" si="300"/>
        <v>6</v>
      </c>
      <c r="CU93" s="746">
        <f>'Energy NPV'!$D18</f>
        <v>0</v>
      </c>
      <c r="CV93" s="197">
        <f>'Energy Inputs'!$D$58*$CV$84</f>
        <v>0</v>
      </c>
      <c r="CW93" s="197">
        <f t="shared" si="301"/>
        <v>0</v>
      </c>
      <c r="CX93" s="197">
        <f>'Margins summary'!$Q$14</f>
        <v>220</v>
      </c>
      <c r="CY93" s="197">
        <f t="shared" si="283"/>
        <v>220</v>
      </c>
      <c r="CZ93" s="197"/>
      <c r="DA93" s="897">
        <f>'Energy NPV'!U18</f>
        <v>0</v>
      </c>
      <c r="DB93" s="197"/>
      <c r="DC93" s="197">
        <f t="shared" si="239"/>
        <v>0</v>
      </c>
      <c r="DD93" s="197">
        <f t="shared" si="240"/>
        <v>0</v>
      </c>
      <c r="DE93" s="197">
        <f t="shared" si="241"/>
        <v>220</v>
      </c>
      <c r="DF93" s="1008">
        <f t="shared" si="284"/>
        <v>0</v>
      </c>
      <c r="DG93" s="1011">
        <f t="shared" si="285"/>
        <v>180.82396348705734</v>
      </c>
      <c r="DH93" s="1011">
        <f t="shared" si="286"/>
        <v>0</v>
      </c>
      <c r="DI93" s="1011">
        <f t="shared" si="287"/>
        <v>0</v>
      </c>
      <c r="DJ93" s="1013">
        <f t="shared" si="288"/>
        <v>180.82396348705734</v>
      </c>
      <c r="DK93" s="196">
        <f t="shared" si="302"/>
        <v>0</v>
      </c>
      <c r="DL93" s="197">
        <f t="shared" si="289"/>
        <v>1199.4009128235652</v>
      </c>
      <c r="DM93" s="197">
        <f t="shared" si="290"/>
        <v>2433.6699706986801</v>
      </c>
      <c r="DN93" s="197">
        <f t="shared" si="291"/>
        <v>-2433.6699706986801</v>
      </c>
      <c r="DO93" s="199">
        <f t="shared" si="292"/>
        <v>-1234.2690578751144</v>
      </c>
    </row>
    <row r="94" spans="2:177" x14ac:dyDescent="0.3">
      <c r="B94" s="881">
        <v>7</v>
      </c>
      <c r="C94" s="747">
        <f>'Energy NPV'!$D19</f>
        <v>30</v>
      </c>
      <c r="D94" s="197">
        <f>'Energy Inputs'!$D$58*$E$84</f>
        <v>55</v>
      </c>
      <c r="E94" s="197">
        <f t="shared" si="293"/>
        <v>1650</v>
      </c>
      <c r="F94" s="197">
        <f>'Margins summary'!$Q$14</f>
        <v>220</v>
      </c>
      <c r="G94" s="197">
        <f t="shared" si="242"/>
        <v>1870</v>
      </c>
      <c r="H94" s="197"/>
      <c r="I94" s="897">
        <f>'Energy NPV'!U19</f>
        <v>592.40499999999997</v>
      </c>
      <c r="J94" s="197"/>
      <c r="K94" s="197">
        <f t="shared" si="227"/>
        <v>592.40499999999997</v>
      </c>
      <c r="L94" s="197">
        <f t="shared" si="228"/>
        <v>1057.595</v>
      </c>
      <c r="M94" s="197">
        <f t="shared" si="229"/>
        <v>1277.595</v>
      </c>
      <c r="N94" s="1008">
        <f t="shared" si="243"/>
        <v>1304.0189674547405</v>
      </c>
      <c r="O94" s="1011">
        <f t="shared" si="244"/>
        <v>173.86919566063204</v>
      </c>
      <c r="P94" s="1011">
        <f t="shared" si="245"/>
        <v>468.18627661516695</v>
      </c>
      <c r="Q94" s="1011">
        <f t="shared" si="246"/>
        <v>835.8326908395735</v>
      </c>
      <c r="R94" s="1013">
        <f t="shared" si="247"/>
        <v>1009.7018865002055</v>
      </c>
      <c r="S94" s="1001">
        <f t="shared" si="294"/>
        <v>2770.8629592617499</v>
      </c>
      <c r="T94" s="1002">
        <f t="shared" si="248"/>
        <v>1373.2701084841974</v>
      </c>
      <c r="U94" s="1002">
        <f t="shared" si="249"/>
        <v>2901.8562473138472</v>
      </c>
      <c r="V94" s="1002">
        <f t="shared" si="250"/>
        <v>-130.99328805209689</v>
      </c>
      <c r="W94" s="1003">
        <f t="shared" si="251"/>
        <v>1242.2768204321003</v>
      </c>
      <c r="Z94" s="881">
        <v>7</v>
      </c>
      <c r="AA94" s="746">
        <f>'Energy NPV'!$D19</f>
        <v>30</v>
      </c>
      <c r="AB94" s="197">
        <f>'Energy Inputs'!$D$58*$AB$84</f>
        <v>82.5</v>
      </c>
      <c r="AC94" s="197">
        <f t="shared" si="295"/>
        <v>2475</v>
      </c>
      <c r="AD94" s="197">
        <f>'Margins summary'!$Q$14</f>
        <v>220</v>
      </c>
      <c r="AE94" s="197">
        <f t="shared" si="252"/>
        <v>2695</v>
      </c>
      <c r="AF94" s="197"/>
      <c r="AG94" s="897">
        <f>'Energy NPV'!U19</f>
        <v>592.40499999999997</v>
      </c>
      <c r="AH94" s="197"/>
      <c r="AI94" s="197">
        <f t="shared" si="230"/>
        <v>592.40499999999997</v>
      </c>
      <c r="AJ94" s="197">
        <f t="shared" si="231"/>
        <v>1882.595</v>
      </c>
      <c r="AK94" s="197">
        <f t="shared" si="232"/>
        <v>2102.5950000000003</v>
      </c>
      <c r="AL94" s="1008">
        <f t="shared" si="253"/>
        <v>1956.0284511821105</v>
      </c>
      <c r="AM94" s="1011">
        <f t="shared" si="254"/>
        <v>173.86919566063204</v>
      </c>
      <c r="AN94" s="1011">
        <f t="shared" si="255"/>
        <v>468.18627661516695</v>
      </c>
      <c r="AO94" s="1011">
        <f t="shared" si="256"/>
        <v>1487.8421745669436</v>
      </c>
      <c r="AP94" s="1013">
        <f t="shared" si="257"/>
        <v>1661.711370227576</v>
      </c>
      <c r="AQ94" s="196">
        <f t="shared" si="296"/>
        <v>4156.2944388926244</v>
      </c>
      <c r="AR94" s="197">
        <f t="shared" si="258"/>
        <v>1373.2701084841974</v>
      </c>
      <c r="AS94" s="197">
        <f t="shared" si="259"/>
        <v>2901.8562473138472</v>
      </c>
      <c r="AT94" s="197">
        <f t="shared" si="260"/>
        <v>1254.4381915787781</v>
      </c>
      <c r="AU94" s="199">
        <f t="shared" si="261"/>
        <v>2627.7083000629759</v>
      </c>
      <c r="AX94" s="881">
        <v>7</v>
      </c>
      <c r="AY94" s="746">
        <f>'Energy NPV'!$D19</f>
        <v>30</v>
      </c>
      <c r="AZ94" s="197">
        <f>'Energy Inputs'!$D$58*$AZ$84</f>
        <v>27.5</v>
      </c>
      <c r="BA94" s="197">
        <f t="shared" si="297"/>
        <v>825</v>
      </c>
      <c r="BB94" s="197">
        <f>'Margins summary'!$Q$14</f>
        <v>220</v>
      </c>
      <c r="BC94" s="197">
        <f t="shared" si="262"/>
        <v>1045</v>
      </c>
      <c r="BD94" s="197"/>
      <c r="BE94" s="897">
        <f>'Energy NPV'!U19</f>
        <v>592.40499999999997</v>
      </c>
      <c r="BF94" s="197"/>
      <c r="BG94" s="197">
        <f t="shared" si="233"/>
        <v>592.40499999999997</v>
      </c>
      <c r="BH94" s="197">
        <f t="shared" si="234"/>
        <v>232.59500000000003</v>
      </c>
      <c r="BI94" s="197">
        <f t="shared" si="235"/>
        <v>452.59500000000003</v>
      </c>
      <c r="BJ94" s="1008">
        <f t="shared" si="263"/>
        <v>652.00948372737025</v>
      </c>
      <c r="BK94" s="1011">
        <f t="shared" si="264"/>
        <v>173.86919566063204</v>
      </c>
      <c r="BL94" s="1011">
        <f t="shared" si="265"/>
        <v>468.18627661516695</v>
      </c>
      <c r="BM94" s="1011">
        <f t="shared" si="266"/>
        <v>183.82320711220325</v>
      </c>
      <c r="BN94" s="1013">
        <f t="shared" si="267"/>
        <v>357.69240277283529</v>
      </c>
      <c r="BO94" s="196">
        <f t="shared" si="268"/>
        <v>1385.4314796308749</v>
      </c>
      <c r="BP94" s="197">
        <f t="shared" si="269"/>
        <v>1373.2701084841974</v>
      </c>
      <c r="BQ94" s="197">
        <f t="shared" si="270"/>
        <v>2901.8562473138472</v>
      </c>
      <c r="BR94" s="197">
        <f t="shared" si="271"/>
        <v>-1516.4247676829718</v>
      </c>
      <c r="BS94" s="199">
        <f t="shared" si="272"/>
        <v>-143.15465919877454</v>
      </c>
      <c r="BV94" s="981">
        <v>7</v>
      </c>
      <c r="BW94" s="746">
        <f>'Energy NPV'!$D19</f>
        <v>30</v>
      </c>
      <c r="BX94" s="197">
        <f>'Energy Inputs'!$D$58*$BX$84</f>
        <v>110</v>
      </c>
      <c r="BY94" s="197">
        <f t="shared" si="298"/>
        <v>3300</v>
      </c>
      <c r="BZ94" s="197">
        <f>'Margins summary'!$Q$14</f>
        <v>220</v>
      </c>
      <c r="CA94" s="197">
        <f t="shared" si="273"/>
        <v>3520</v>
      </c>
      <c r="CB94" s="197"/>
      <c r="CC94" s="897">
        <f>'Energy NPV'!U19</f>
        <v>592.40499999999997</v>
      </c>
      <c r="CD94" s="197"/>
      <c r="CE94" s="197">
        <f t="shared" si="236"/>
        <v>592.40499999999997</v>
      </c>
      <c r="CF94" s="197">
        <f t="shared" si="237"/>
        <v>2707.5950000000003</v>
      </c>
      <c r="CG94" s="197">
        <f t="shared" si="238"/>
        <v>2927.5950000000003</v>
      </c>
      <c r="CH94" s="1008">
        <f t="shared" si="274"/>
        <v>2608.037934909481</v>
      </c>
      <c r="CI94" s="1011">
        <f t="shared" si="275"/>
        <v>173.86919566063204</v>
      </c>
      <c r="CJ94" s="1011">
        <f t="shared" si="276"/>
        <v>468.18627661516695</v>
      </c>
      <c r="CK94" s="1011">
        <f t="shared" si="277"/>
        <v>2139.8516582943139</v>
      </c>
      <c r="CL94" s="1013">
        <f t="shared" si="278"/>
        <v>2313.7208539549461</v>
      </c>
      <c r="CM94" s="196">
        <f t="shared" si="299"/>
        <v>5541.7259185234998</v>
      </c>
      <c r="CN94" s="197">
        <f t="shared" si="279"/>
        <v>1373.2701084841974</v>
      </c>
      <c r="CO94" s="197">
        <f t="shared" si="280"/>
        <v>2901.8562473138472</v>
      </c>
      <c r="CP94" s="197">
        <f t="shared" si="281"/>
        <v>2639.869671209653</v>
      </c>
      <c r="CQ94" s="199">
        <f t="shared" si="282"/>
        <v>4013.1397796938509</v>
      </c>
      <c r="CT94" s="204">
        <f t="shared" si="300"/>
        <v>7</v>
      </c>
      <c r="CU94" s="746">
        <f>'Energy NPV'!$D19</f>
        <v>30</v>
      </c>
      <c r="CV94" s="197">
        <f>'Energy Inputs'!$D$58*$CV$84</f>
        <v>0</v>
      </c>
      <c r="CW94" s="197">
        <f t="shared" si="301"/>
        <v>0</v>
      </c>
      <c r="CX94" s="197">
        <f>'Margins summary'!$Q$14</f>
        <v>220</v>
      </c>
      <c r="CY94" s="197">
        <f t="shared" si="283"/>
        <v>220</v>
      </c>
      <c r="CZ94" s="197"/>
      <c r="DA94" s="897">
        <f>'Energy NPV'!U19</f>
        <v>592.40499999999997</v>
      </c>
      <c r="DB94" s="197"/>
      <c r="DC94" s="197">
        <f t="shared" si="239"/>
        <v>592.40499999999997</v>
      </c>
      <c r="DD94" s="197">
        <f t="shared" si="240"/>
        <v>-592.40499999999997</v>
      </c>
      <c r="DE94" s="197">
        <f t="shared" si="241"/>
        <v>-372.40499999999997</v>
      </c>
      <c r="DF94" s="1008">
        <f t="shared" si="284"/>
        <v>0</v>
      </c>
      <c r="DG94" s="1011">
        <f t="shared" si="285"/>
        <v>173.86919566063204</v>
      </c>
      <c r="DH94" s="1011">
        <f t="shared" si="286"/>
        <v>468.18627661516695</v>
      </c>
      <c r="DI94" s="1011">
        <f t="shared" si="287"/>
        <v>-468.18627661516695</v>
      </c>
      <c r="DJ94" s="1013">
        <f t="shared" si="288"/>
        <v>-294.3170809545349</v>
      </c>
      <c r="DK94" s="196">
        <f t="shared" si="302"/>
        <v>0</v>
      </c>
      <c r="DL94" s="197">
        <f t="shared" si="289"/>
        <v>1373.2701084841974</v>
      </c>
      <c r="DM94" s="197">
        <f t="shared" si="290"/>
        <v>2901.8562473138472</v>
      </c>
      <c r="DN94" s="197">
        <f t="shared" si="291"/>
        <v>-2901.8562473138472</v>
      </c>
      <c r="DO94" s="199">
        <f t="shared" si="292"/>
        <v>-1528.5861388296494</v>
      </c>
    </row>
    <row r="95" spans="2:177" x14ac:dyDescent="0.3">
      <c r="B95" s="881">
        <v>8</v>
      </c>
      <c r="C95" s="747">
        <f>'Energy NPV'!$D20</f>
        <v>0</v>
      </c>
      <c r="D95" s="197">
        <f>'Energy Inputs'!$D$58*$E$84</f>
        <v>55</v>
      </c>
      <c r="E95" s="197">
        <f t="shared" si="293"/>
        <v>0</v>
      </c>
      <c r="F95" s="197">
        <f>'Margins summary'!$Q$14</f>
        <v>220</v>
      </c>
      <c r="G95" s="197">
        <f t="shared" si="242"/>
        <v>220</v>
      </c>
      <c r="H95" s="197"/>
      <c r="I95" s="897">
        <f>'Energy NPV'!U20</f>
        <v>0</v>
      </c>
      <c r="J95" s="197"/>
      <c r="K95" s="197">
        <f t="shared" si="227"/>
        <v>0</v>
      </c>
      <c r="L95" s="197">
        <f t="shared" si="228"/>
        <v>0</v>
      </c>
      <c r="M95" s="197">
        <f t="shared" si="229"/>
        <v>220</v>
      </c>
      <c r="N95" s="1008">
        <f t="shared" si="243"/>
        <v>0</v>
      </c>
      <c r="O95" s="1011">
        <f t="shared" si="244"/>
        <v>167.18191890445391</v>
      </c>
      <c r="P95" s="1011">
        <f t="shared" si="245"/>
        <v>0</v>
      </c>
      <c r="Q95" s="1011">
        <f t="shared" si="246"/>
        <v>0</v>
      </c>
      <c r="R95" s="1013">
        <f t="shared" si="247"/>
        <v>167.18191890445391</v>
      </c>
      <c r="S95" s="1001">
        <f t="shared" si="294"/>
        <v>2770.8629592617499</v>
      </c>
      <c r="T95" s="1002">
        <f t="shared" si="248"/>
        <v>1540.4520273886512</v>
      </c>
      <c r="U95" s="1002">
        <f t="shared" si="249"/>
        <v>2901.8562473138472</v>
      </c>
      <c r="V95" s="1002">
        <f t="shared" si="250"/>
        <v>-130.99328805209689</v>
      </c>
      <c r="W95" s="1003">
        <f t="shared" si="251"/>
        <v>1409.4587393365541</v>
      </c>
      <c r="Z95" s="881">
        <v>8</v>
      </c>
      <c r="AA95" s="746">
        <f>'Energy NPV'!$D20</f>
        <v>0</v>
      </c>
      <c r="AB95" s="197">
        <f>'Energy Inputs'!$D$58*$AB$84</f>
        <v>82.5</v>
      </c>
      <c r="AC95" s="197">
        <f t="shared" si="295"/>
        <v>0</v>
      </c>
      <c r="AD95" s="197">
        <f>'Margins summary'!$Q$14</f>
        <v>220</v>
      </c>
      <c r="AE95" s="197">
        <f t="shared" si="252"/>
        <v>220</v>
      </c>
      <c r="AF95" s="197"/>
      <c r="AG95" s="897">
        <f>'Energy NPV'!U20</f>
        <v>0</v>
      </c>
      <c r="AH95" s="197"/>
      <c r="AI95" s="197">
        <f t="shared" si="230"/>
        <v>0</v>
      </c>
      <c r="AJ95" s="197">
        <f t="shared" si="231"/>
        <v>0</v>
      </c>
      <c r="AK95" s="197">
        <f t="shared" si="232"/>
        <v>220</v>
      </c>
      <c r="AL95" s="1008">
        <f t="shared" si="253"/>
        <v>0</v>
      </c>
      <c r="AM95" s="1011">
        <f t="shared" si="254"/>
        <v>167.18191890445391</v>
      </c>
      <c r="AN95" s="1011">
        <f t="shared" si="255"/>
        <v>0</v>
      </c>
      <c r="AO95" s="1011">
        <f t="shared" si="256"/>
        <v>0</v>
      </c>
      <c r="AP95" s="1013">
        <f t="shared" si="257"/>
        <v>167.18191890445391</v>
      </c>
      <c r="AQ95" s="196">
        <f t="shared" si="296"/>
        <v>4156.2944388926244</v>
      </c>
      <c r="AR95" s="197">
        <f t="shared" si="258"/>
        <v>1540.4520273886512</v>
      </c>
      <c r="AS95" s="197">
        <f t="shared" si="259"/>
        <v>2901.8562473138472</v>
      </c>
      <c r="AT95" s="197">
        <f t="shared" si="260"/>
        <v>1254.4381915787781</v>
      </c>
      <c r="AU95" s="199">
        <f t="shared" si="261"/>
        <v>2794.89021896743</v>
      </c>
      <c r="AX95" s="881">
        <v>8</v>
      </c>
      <c r="AY95" s="746">
        <f>'Energy NPV'!$D20</f>
        <v>0</v>
      </c>
      <c r="AZ95" s="197">
        <f>'Energy Inputs'!$D$58*$AZ$84</f>
        <v>27.5</v>
      </c>
      <c r="BA95" s="197">
        <f t="shared" si="297"/>
        <v>0</v>
      </c>
      <c r="BB95" s="197">
        <f>'Margins summary'!$Q$14</f>
        <v>220</v>
      </c>
      <c r="BC95" s="197">
        <f t="shared" si="262"/>
        <v>220</v>
      </c>
      <c r="BD95" s="197"/>
      <c r="BE95" s="897">
        <f>'Energy NPV'!U20</f>
        <v>0</v>
      </c>
      <c r="BF95" s="197"/>
      <c r="BG95" s="197">
        <f t="shared" si="233"/>
        <v>0</v>
      </c>
      <c r="BH95" s="197">
        <f t="shared" si="234"/>
        <v>0</v>
      </c>
      <c r="BI95" s="197">
        <f t="shared" si="235"/>
        <v>220</v>
      </c>
      <c r="BJ95" s="1008">
        <f t="shared" si="263"/>
        <v>0</v>
      </c>
      <c r="BK95" s="1011">
        <f t="shared" si="264"/>
        <v>167.18191890445391</v>
      </c>
      <c r="BL95" s="1011">
        <f t="shared" si="265"/>
        <v>0</v>
      </c>
      <c r="BM95" s="1011">
        <f t="shared" si="266"/>
        <v>0</v>
      </c>
      <c r="BN95" s="1013">
        <f t="shared" si="267"/>
        <v>167.18191890445391</v>
      </c>
      <c r="BO95" s="196">
        <f t="shared" si="268"/>
        <v>1385.4314796308749</v>
      </c>
      <c r="BP95" s="197">
        <f t="shared" si="269"/>
        <v>1540.4520273886512</v>
      </c>
      <c r="BQ95" s="197">
        <f t="shared" si="270"/>
        <v>2901.8562473138472</v>
      </c>
      <c r="BR95" s="197">
        <f t="shared" si="271"/>
        <v>-1516.4247676829718</v>
      </c>
      <c r="BS95" s="199">
        <f t="shared" si="272"/>
        <v>24.02725970567937</v>
      </c>
      <c r="BV95" s="981">
        <v>8</v>
      </c>
      <c r="BW95" s="746">
        <f>'Energy NPV'!$D20</f>
        <v>0</v>
      </c>
      <c r="BX95" s="197">
        <f>'Energy Inputs'!$D$58*$BX$84</f>
        <v>110</v>
      </c>
      <c r="BY95" s="197">
        <f t="shared" si="298"/>
        <v>0</v>
      </c>
      <c r="BZ95" s="197">
        <f>'Margins summary'!$Q$14</f>
        <v>220</v>
      </c>
      <c r="CA95" s="197">
        <f t="shared" si="273"/>
        <v>220</v>
      </c>
      <c r="CB95" s="197"/>
      <c r="CC95" s="897">
        <f>'Energy NPV'!U20</f>
        <v>0</v>
      </c>
      <c r="CD95" s="197"/>
      <c r="CE95" s="197">
        <f t="shared" si="236"/>
        <v>0</v>
      </c>
      <c r="CF95" s="197">
        <f t="shared" si="237"/>
        <v>0</v>
      </c>
      <c r="CG95" s="197">
        <f t="shared" si="238"/>
        <v>220</v>
      </c>
      <c r="CH95" s="1008">
        <f t="shared" si="274"/>
        <v>0</v>
      </c>
      <c r="CI95" s="1011">
        <f t="shared" si="275"/>
        <v>167.18191890445391</v>
      </c>
      <c r="CJ95" s="1011">
        <f t="shared" si="276"/>
        <v>0</v>
      </c>
      <c r="CK95" s="1011">
        <f t="shared" si="277"/>
        <v>0</v>
      </c>
      <c r="CL95" s="1013">
        <f t="shared" si="278"/>
        <v>167.18191890445391</v>
      </c>
      <c r="CM95" s="196">
        <f t="shared" si="299"/>
        <v>5541.7259185234998</v>
      </c>
      <c r="CN95" s="197">
        <f t="shared" si="279"/>
        <v>1540.4520273886512</v>
      </c>
      <c r="CO95" s="197">
        <f t="shared" si="280"/>
        <v>2901.8562473138472</v>
      </c>
      <c r="CP95" s="197">
        <f t="shared" si="281"/>
        <v>2639.869671209653</v>
      </c>
      <c r="CQ95" s="199">
        <f t="shared" si="282"/>
        <v>4180.3216985983045</v>
      </c>
      <c r="CT95" s="204">
        <f t="shared" si="300"/>
        <v>8</v>
      </c>
      <c r="CU95" s="746">
        <f>'Energy NPV'!$D20</f>
        <v>0</v>
      </c>
      <c r="CV95" s="197">
        <f>'Energy Inputs'!$D$58*$CV$84</f>
        <v>0</v>
      </c>
      <c r="CW95" s="197">
        <f t="shared" si="301"/>
        <v>0</v>
      </c>
      <c r="CX95" s="197">
        <f>'Margins summary'!$Q$14</f>
        <v>220</v>
      </c>
      <c r="CY95" s="197">
        <f t="shared" si="283"/>
        <v>220</v>
      </c>
      <c r="CZ95" s="197"/>
      <c r="DA95" s="897">
        <f>'Energy NPV'!U20</f>
        <v>0</v>
      </c>
      <c r="DB95" s="197"/>
      <c r="DC95" s="197">
        <f t="shared" si="239"/>
        <v>0</v>
      </c>
      <c r="DD95" s="197">
        <f t="shared" si="240"/>
        <v>0</v>
      </c>
      <c r="DE95" s="197">
        <f t="shared" si="241"/>
        <v>220</v>
      </c>
      <c r="DF95" s="1008">
        <f t="shared" si="284"/>
        <v>0</v>
      </c>
      <c r="DG95" s="1011">
        <f t="shared" si="285"/>
        <v>167.18191890445391</v>
      </c>
      <c r="DH95" s="1011">
        <f t="shared" si="286"/>
        <v>0</v>
      </c>
      <c r="DI95" s="1011">
        <f t="shared" si="287"/>
        <v>0</v>
      </c>
      <c r="DJ95" s="1013">
        <f t="shared" si="288"/>
        <v>167.18191890445391</v>
      </c>
      <c r="DK95" s="196">
        <f t="shared" si="302"/>
        <v>0</v>
      </c>
      <c r="DL95" s="197">
        <f t="shared" si="289"/>
        <v>1540.4520273886512</v>
      </c>
      <c r="DM95" s="197">
        <f t="shared" si="290"/>
        <v>2901.8562473138472</v>
      </c>
      <c r="DN95" s="197">
        <f t="shared" si="291"/>
        <v>-2901.8562473138472</v>
      </c>
      <c r="DO95" s="199">
        <f t="shared" si="292"/>
        <v>-1361.4042199251955</v>
      </c>
    </row>
    <row r="96" spans="2:177" x14ac:dyDescent="0.3">
      <c r="B96" s="881">
        <v>9</v>
      </c>
      <c r="C96" s="747">
        <f>'Energy NPV'!$D21</f>
        <v>0</v>
      </c>
      <c r="D96" s="197">
        <f>'Energy Inputs'!$D$58*$E$84</f>
        <v>55</v>
      </c>
      <c r="E96" s="197">
        <f t="shared" si="293"/>
        <v>0</v>
      </c>
      <c r="F96" s="197">
        <f>'Margins summary'!$Q$14</f>
        <v>220</v>
      </c>
      <c r="G96" s="197">
        <f t="shared" si="242"/>
        <v>220</v>
      </c>
      <c r="H96" s="197"/>
      <c r="I96" s="897">
        <f>'Energy NPV'!U21</f>
        <v>0</v>
      </c>
      <c r="J96" s="197"/>
      <c r="K96" s="197">
        <f t="shared" si="227"/>
        <v>0</v>
      </c>
      <c r="L96" s="197">
        <f t="shared" si="228"/>
        <v>0</v>
      </c>
      <c r="M96" s="197">
        <f t="shared" si="229"/>
        <v>220</v>
      </c>
      <c r="N96" s="1008">
        <f t="shared" si="243"/>
        <v>0</v>
      </c>
      <c r="O96" s="1011">
        <f t="shared" si="244"/>
        <v>160.75184510043644</v>
      </c>
      <c r="P96" s="1011">
        <f t="shared" si="245"/>
        <v>0</v>
      </c>
      <c r="Q96" s="1011">
        <f t="shared" si="246"/>
        <v>0</v>
      </c>
      <c r="R96" s="1013">
        <f t="shared" si="247"/>
        <v>160.75184510043644</v>
      </c>
      <c r="S96" s="1001">
        <f t="shared" si="294"/>
        <v>2770.8629592617499</v>
      </c>
      <c r="T96" s="1002">
        <f t="shared" si="248"/>
        <v>1701.2038724890876</v>
      </c>
      <c r="U96" s="1002">
        <f t="shared" si="249"/>
        <v>2901.8562473138472</v>
      </c>
      <c r="V96" s="1002">
        <f t="shared" si="250"/>
        <v>-130.99328805209689</v>
      </c>
      <c r="W96" s="1003">
        <f t="shared" si="251"/>
        <v>1570.2105844369905</v>
      </c>
      <c r="Z96" s="881">
        <v>9</v>
      </c>
      <c r="AA96" s="746">
        <f>'Energy NPV'!$D21</f>
        <v>0</v>
      </c>
      <c r="AB96" s="197">
        <f>'Energy Inputs'!$D$58*$AB$84</f>
        <v>82.5</v>
      </c>
      <c r="AC96" s="197">
        <f t="shared" si="295"/>
        <v>0</v>
      </c>
      <c r="AD96" s="197">
        <f>'Margins summary'!$Q$14</f>
        <v>220</v>
      </c>
      <c r="AE96" s="197">
        <f t="shared" si="252"/>
        <v>220</v>
      </c>
      <c r="AF96" s="197"/>
      <c r="AG96" s="897">
        <f>'Energy NPV'!U21</f>
        <v>0</v>
      </c>
      <c r="AH96" s="197"/>
      <c r="AI96" s="197">
        <f t="shared" si="230"/>
        <v>0</v>
      </c>
      <c r="AJ96" s="197">
        <f t="shared" si="231"/>
        <v>0</v>
      </c>
      <c r="AK96" s="197">
        <f t="shared" si="232"/>
        <v>220</v>
      </c>
      <c r="AL96" s="1008">
        <f t="shared" si="253"/>
        <v>0</v>
      </c>
      <c r="AM96" s="1011">
        <f t="shared" si="254"/>
        <v>160.75184510043644</v>
      </c>
      <c r="AN96" s="1011">
        <f t="shared" si="255"/>
        <v>0</v>
      </c>
      <c r="AO96" s="1011">
        <f t="shared" si="256"/>
        <v>0</v>
      </c>
      <c r="AP96" s="1013">
        <f t="shared" si="257"/>
        <v>160.75184510043644</v>
      </c>
      <c r="AQ96" s="196">
        <f t="shared" si="296"/>
        <v>4156.2944388926244</v>
      </c>
      <c r="AR96" s="197">
        <f t="shared" si="258"/>
        <v>1701.2038724890876</v>
      </c>
      <c r="AS96" s="197">
        <f t="shared" si="259"/>
        <v>2901.8562473138472</v>
      </c>
      <c r="AT96" s="197">
        <f t="shared" si="260"/>
        <v>1254.4381915787781</v>
      </c>
      <c r="AU96" s="199">
        <f t="shared" si="261"/>
        <v>2955.6420640678666</v>
      </c>
      <c r="AX96" s="881">
        <v>9</v>
      </c>
      <c r="AY96" s="746">
        <f>'Energy NPV'!$D21</f>
        <v>0</v>
      </c>
      <c r="AZ96" s="197">
        <f>'Energy Inputs'!$D$58*$AZ$84</f>
        <v>27.5</v>
      </c>
      <c r="BA96" s="197">
        <f t="shared" si="297"/>
        <v>0</v>
      </c>
      <c r="BB96" s="197">
        <f>'Margins summary'!$Q$14</f>
        <v>220</v>
      </c>
      <c r="BC96" s="197">
        <f t="shared" si="262"/>
        <v>220</v>
      </c>
      <c r="BD96" s="197"/>
      <c r="BE96" s="897">
        <f>'Energy NPV'!U21</f>
        <v>0</v>
      </c>
      <c r="BF96" s="197"/>
      <c r="BG96" s="197">
        <f t="shared" si="233"/>
        <v>0</v>
      </c>
      <c r="BH96" s="197">
        <f t="shared" si="234"/>
        <v>0</v>
      </c>
      <c r="BI96" s="197">
        <f t="shared" si="235"/>
        <v>220</v>
      </c>
      <c r="BJ96" s="1008">
        <f t="shared" si="263"/>
        <v>0</v>
      </c>
      <c r="BK96" s="1011">
        <f t="shared" si="264"/>
        <v>160.75184510043644</v>
      </c>
      <c r="BL96" s="1011">
        <f t="shared" si="265"/>
        <v>0</v>
      </c>
      <c r="BM96" s="1011">
        <f t="shared" si="266"/>
        <v>0</v>
      </c>
      <c r="BN96" s="1013">
        <f t="shared" si="267"/>
        <v>160.75184510043644</v>
      </c>
      <c r="BO96" s="196">
        <f t="shared" si="268"/>
        <v>1385.4314796308749</v>
      </c>
      <c r="BP96" s="197">
        <f t="shared" si="269"/>
        <v>1701.2038724890876</v>
      </c>
      <c r="BQ96" s="197">
        <f t="shared" si="270"/>
        <v>2901.8562473138472</v>
      </c>
      <c r="BR96" s="197">
        <f t="shared" si="271"/>
        <v>-1516.4247676829718</v>
      </c>
      <c r="BS96" s="199">
        <f t="shared" si="272"/>
        <v>184.77910480611581</v>
      </c>
      <c r="BV96" s="981">
        <v>9</v>
      </c>
      <c r="BW96" s="746">
        <f>'Energy NPV'!$D21</f>
        <v>0</v>
      </c>
      <c r="BX96" s="197">
        <f>'Energy Inputs'!$D$58*$BX$84</f>
        <v>110</v>
      </c>
      <c r="BY96" s="197">
        <f t="shared" si="298"/>
        <v>0</v>
      </c>
      <c r="BZ96" s="197">
        <f>'Margins summary'!$Q$14</f>
        <v>220</v>
      </c>
      <c r="CA96" s="197">
        <f t="shared" si="273"/>
        <v>220</v>
      </c>
      <c r="CB96" s="197"/>
      <c r="CC96" s="897">
        <f>'Energy NPV'!U21</f>
        <v>0</v>
      </c>
      <c r="CD96" s="197"/>
      <c r="CE96" s="197">
        <f t="shared" si="236"/>
        <v>0</v>
      </c>
      <c r="CF96" s="197">
        <f t="shared" si="237"/>
        <v>0</v>
      </c>
      <c r="CG96" s="197">
        <f t="shared" si="238"/>
        <v>220</v>
      </c>
      <c r="CH96" s="1008">
        <f t="shared" si="274"/>
        <v>0</v>
      </c>
      <c r="CI96" s="1011">
        <f t="shared" si="275"/>
        <v>160.75184510043644</v>
      </c>
      <c r="CJ96" s="1011">
        <f t="shared" si="276"/>
        <v>0</v>
      </c>
      <c r="CK96" s="1011">
        <f t="shared" si="277"/>
        <v>0</v>
      </c>
      <c r="CL96" s="1013">
        <f t="shared" si="278"/>
        <v>160.75184510043644</v>
      </c>
      <c r="CM96" s="196">
        <f t="shared" si="299"/>
        <v>5541.7259185234998</v>
      </c>
      <c r="CN96" s="197">
        <f t="shared" si="279"/>
        <v>1701.2038724890876</v>
      </c>
      <c r="CO96" s="197">
        <f t="shared" si="280"/>
        <v>2901.8562473138472</v>
      </c>
      <c r="CP96" s="197">
        <f t="shared" si="281"/>
        <v>2639.869671209653</v>
      </c>
      <c r="CQ96" s="199">
        <f t="shared" si="282"/>
        <v>4341.0735436987407</v>
      </c>
      <c r="CT96" s="204">
        <f t="shared" si="300"/>
        <v>9</v>
      </c>
      <c r="CU96" s="746">
        <f>'Energy NPV'!$D21</f>
        <v>0</v>
      </c>
      <c r="CV96" s="197">
        <f>'Energy Inputs'!$D$58*$CV$84</f>
        <v>0</v>
      </c>
      <c r="CW96" s="197">
        <f t="shared" si="301"/>
        <v>0</v>
      </c>
      <c r="CX96" s="197">
        <f>'Margins summary'!$Q$14</f>
        <v>220</v>
      </c>
      <c r="CY96" s="197">
        <f t="shared" si="283"/>
        <v>220</v>
      </c>
      <c r="CZ96" s="197"/>
      <c r="DA96" s="897">
        <f>'Energy NPV'!U21</f>
        <v>0</v>
      </c>
      <c r="DB96" s="197"/>
      <c r="DC96" s="197">
        <f t="shared" si="239"/>
        <v>0</v>
      </c>
      <c r="DD96" s="197">
        <f t="shared" si="240"/>
        <v>0</v>
      </c>
      <c r="DE96" s="197">
        <f t="shared" si="241"/>
        <v>220</v>
      </c>
      <c r="DF96" s="1008">
        <f t="shared" si="284"/>
        <v>0</v>
      </c>
      <c r="DG96" s="1011">
        <f t="shared" si="285"/>
        <v>160.75184510043644</v>
      </c>
      <c r="DH96" s="1011">
        <f t="shared" si="286"/>
        <v>0</v>
      </c>
      <c r="DI96" s="1011">
        <f t="shared" si="287"/>
        <v>0</v>
      </c>
      <c r="DJ96" s="1013">
        <f t="shared" si="288"/>
        <v>160.75184510043644</v>
      </c>
      <c r="DK96" s="196">
        <f t="shared" si="302"/>
        <v>0</v>
      </c>
      <c r="DL96" s="197">
        <f t="shared" si="289"/>
        <v>1701.2038724890876</v>
      </c>
      <c r="DM96" s="197">
        <f t="shared" si="290"/>
        <v>2901.8562473138472</v>
      </c>
      <c r="DN96" s="197">
        <f t="shared" si="291"/>
        <v>-2901.8562473138472</v>
      </c>
      <c r="DO96" s="199">
        <f t="shared" si="292"/>
        <v>-1200.6523748247591</v>
      </c>
    </row>
    <row r="97" spans="2:177" x14ac:dyDescent="0.3">
      <c r="B97" s="881">
        <v>10</v>
      </c>
      <c r="C97" s="747">
        <f>'Energy NPV'!$D22</f>
        <v>30</v>
      </c>
      <c r="D97" s="197">
        <f>'Energy Inputs'!$D$58*$E$84</f>
        <v>55</v>
      </c>
      <c r="E97" s="197">
        <f t="shared" si="293"/>
        <v>1650</v>
      </c>
      <c r="F97" s="197">
        <f>'Margins summary'!$Q$14</f>
        <v>220</v>
      </c>
      <c r="G97" s="197">
        <f t="shared" si="242"/>
        <v>1870</v>
      </c>
      <c r="H97" s="197"/>
      <c r="I97" s="897">
        <f>'Energy NPV'!U22</f>
        <v>592.40499999999997</v>
      </c>
      <c r="J97" s="197"/>
      <c r="K97" s="197">
        <f t="shared" si="227"/>
        <v>592.40499999999997</v>
      </c>
      <c r="L97" s="197">
        <f t="shared" si="228"/>
        <v>1057.595</v>
      </c>
      <c r="M97" s="197">
        <f t="shared" si="229"/>
        <v>1277.595</v>
      </c>
      <c r="N97" s="1008">
        <f t="shared" si="243"/>
        <v>1159.2681137050704</v>
      </c>
      <c r="O97" s="1011">
        <f t="shared" si="244"/>
        <v>154.5690818273427</v>
      </c>
      <c r="P97" s="1011">
        <f t="shared" si="245"/>
        <v>416.21589509057708</v>
      </c>
      <c r="Q97" s="1011">
        <f t="shared" si="246"/>
        <v>743.0522186144932</v>
      </c>
      <c r="R97" s="1013">
        <f t="shared" si="247"/>
        <v>897.62130044183596</v>
      </c>
      <c r="S97" s="1001">
        <f t="shared" si="294"/>
        <v>3930.1310729668203</v>
      </c>
      <c r="T97" s="1002">
        <f t="shared" si="248"/>
        <v>1855.7729543164303</v>
      </c>
      <c r="U97" s="1002">
        <f t="shared" si="249"/>
        <v>3318.0721424044241</v>
      </c>
      <c r="V97" s="1002">
        <f t="shared" si="250"/>
        <v>612.05893056239631</v>
      </c>
      <c r="W97" s="1003">
        <f t="shared" si="251"/>
        <v>2467.8318848788267</v>
      </c>
      <c r="Z97" s="881">
        <v>10</v>
      </c>
      <c r="AA97" s="746">
        <f>'Energy NPV'!$D22</f>
        <v>30</v>
      </c>
      <c r="AB97" s="197">
        <f>'Energy Inputs'!$D$58*$AB$84</f>
        <v>82.5</v>
      </c>
      <c r="AC97" s="197">
        <f t="shared" si="295"/>
        <v>2475</v>
      </c>
      <c r="AD97" s="197">
        <f>'Margins summary'!$Q$14</f>
        <v>220</v>
      </c>
      <c r="AE97" s="197">
        <f t="shared" si="252"/>
        <v>2695</v>
      </c>
      <c r="AF97" s="197"/>
      <c r="AG97" s="897">
        <f>'Energy NPV'!U22</f>
        <v>592.40499999999997</v>
      </c>
      <c r="AH97" s="197"/>
      <c r="AI97" s="197">
        <f t="shared" si="230"/>
        <v>592.40499999999997</v>
      </c>
      <c r="AJ97" s="197">
        <f t="shared" si="231"/>
        <v>1882.595</v>
      </c>
      <c r="AK97" s="197">
        <f t="shared" si="232"/>
        <v>2102.5950000000003</v>
      </c>
      <c r="AL97" s="1008">
        <f t="shared" si="253"/>
        <v>1738.9021705576054</v>
      </c>
      <c r="AM97" s="1011">
        <f t="shared" si="254"/>
        <v>154.5690818273427</v>
      </c>
      <c r="AN97" s="1011">
        <f t="shared" si="255"/>
        <v>416.21589509057708</v>
      </c>
      <c r="AO97" s="1011">
        <f t="shared" si="256"/>
        <v>1322.6862754670285</v>
      </c>
      <c r="AP97" s="1013">
        <f t="shared" si="257"/>
        <v>1477.2553572943714</v>
      </c>
      <c r="AQ97" s="196">
        <f t="shared" si="296"/>
        <v>5895.1966094502295</v>
      </c>
      <c r="AR97" s="197">
        <f t="shared" si="258"/>
        <v>1855.7729543164303</v>
      </c>
      <c r="AS97" s="197">
        <f t="shared" si="259"/>
        <v>3318.0721424044241</v>
      </c>
      <c r="AT97" s="197">
        <f t="shared" si="260"/>
        <v>2577.1244670458063</v>
      </c>
      <c r="AU97" s="199">
        <f t="shared" si="261"/>
        <v>4432.8974213622378</v>
      </c>
      <c r="AX97" s="881">
        <v>10</v>
      </c>
      <c r="AY97" s="746">
        <f>'Energy NPV'!$D22</f>
        <v>30</v>
      </c>
      <c r="AZ97" s="197">
        <f>'Energy Inputs'!$D$58*$AZ$84</f>
        <v>27.5</v>
      </c>
      <c r="BA97" s="197">
        <f t="shared" si="297"/>
        <v>825</v>
      </c>
      <c r="BB97" s="197">
        <f>'Margins summary'!$Q$14</f>
        <v>220</v>
      </c>
      <c r="BC97" s="197">
        <f t="shared" si="262"/>
        <v>1045</v>
      </c>
      <c r="BD97" s="197"/>
      <c r="BE97" s="897">
        <f>'Energy NPV'!U22</f>
        <v>592.40499999999997</v>
      </c>
      <c r="BF97" s="197"/>
      <c r="BG97" s="197">
        <f t="shared" si="233"/>
        <v>592.40499999999997</v>
      </c>
      <c r="BH97" s="197">
        <f t="shared" si="234"/>
        <v>232.59500000000003</v>
      </c>
      <c r="BI97" s="197">
        <f t="shared" si="235"/>
        <v>452.59500000000003</v>
      </c>
      <c r="BJ97" s="1008">
        <f t="shared" si="263"/>
        <v>579.6340568525352</v>
      </c>
      <c r="BK97" s="1011">
        <f t="shared" si="264"/>
        <v>154.5690818273427</v>
      </c>
      <c r="BL97" s="1011">
        <f t="shared" si="265"/>
        <v>416.21589509057708</v>
      </c>
      <c r="BM97" s="1011">
        <f t="shared" si="266"/>
        <v>163.41816176195809</v>
      </c>
      <c r="BN97" s="1013">
        <f t="shared" si="267"/>
        <v>317.98724358930082</v>
      </c>
      <c r="BO97" s="196">
        <f t="shared" si="268"/>
        <v>1965.0655364834101</v>
      </c>
      <c r="BP97" s="197">
        <f t="shared" si="269"/>
        <v>1855.7729543164303</v>
      </c>
      <c r="BQ97" s="197">
        <f t="shared" si="270"/>
        <v>3318.0721424044241</v>
      </c>
      <c r="BR97" s="197">
        <f t="shared" si="271"/>
        <v>-1353.0066059210137</v>
      </c>
      <c r="BS97" s="199">
        <f t="shared" si="272"/>
        <v>502.76634839541663</v>
      </c>
      <c r="BV97" s="981">
        <v>10</v>
      </c>
      <c r="BW97" s="746">
        <f>'Energy NPV'!$D22</f>
        <v>30</v>
      </c>
      <c r="BX97" s="197">
        <f>'Energy Inputs'!$D$58*$BX$84</f>
        <v>110</v>
      </c>
      <c r="BY97" s="197">
        <f t="shared" si="298"/>
        <v>3300</v>
      </c>
      <c r="BZ97" s="197">
        <f>'Margins summary'!$Q$14</f>
        <v>220</v>
      </c>
      <c r="CA97" s="197">
        <f t="shared" si="273"/>
        <v>3520</v>
      </c>
      <c r="CB97" s="197"/>
      <c r="CC97" s="897">
        <f>'Energy NPV'!U22</f>
        <v>592.40499999999997</v>
      </c>
      <c r="CD97" s="197"/>
      <c r="CE97" s="197">
        <f t="shared" si="236"/>
        <v>592.40499999999997</v>
      </c>
      <c r="CF97" s="197">
        <f t="shared" si="237"/>
        <v>2707.5950000000003</v>
      </c>
      <c r="CG97" s="197">
        <f t="shared" si="238"/>
        <v>2927.5950000000003</v>
      </c>
      <c r="CH97" s="1008">
        <f t="shared" si="274"/>
        <v>2318.5362274101408</v>
      </c>
      <c r="CI97" s="1011">
        <f t="shared" si="275"/>
        <v>154.5690818273427</v>
      </c>
      <c r="CJ97" s="1011">
        <f t="shared" si="276"/>
        <v>416.21589509057708</v>
      </c>
      <c r="CK97" s="1011">
        <f t="shared" si="277"/>
        <v>1902.3203323195637</v>
      </c>
      <c r="CL97" s="1013">
        <f t="shared" si="278"/>
        <v>2056.8894141469063</v>
      </c>
      <c r="CM97" s="196">
        <f t="shared" si="299"/>
        <v>7860.2621459336406</v>
      </c>
      <c r="CN97" s="197">
        <f t="shared" si="279"/>
        <v>1855.7729543164303</v>
      </c>
      <c r="CO97" s="197">
        <f t="shared" si="280"/>
        <v>3318.0721424044241</v>
      </c>
      <c r="CP97" s="197">
        <f t="shared" si="281"/>
        <v>4542.1900035292165</v>
      </c>
      <c r="CQ97" s="199">
        <f t="shared" si="282"/>
        <v>6397.962957845647</v>
      </c>
      <c r="CT97" s="204">
        <f t="shared" si="300"/>
        <v>10</v>
      </c>
      <c r="CU97" s="746">
        <f>'Energy NPV'!$D22</f>
        <v>30</v>
      </c>
      <c r="CV97" s="197">
        <f>'Energy Inputs'!$D$58*$CV$84</f>
        <v>0</v>
      </c>
      <c r="CW97" s="197">
        <f t="shared" si="301"/>
        <v>0</v>
      </c>
      <c r="CX97" s="197">
        <f>'Margins summary'!$Q$14</f>
        <v>220</v>
      </c>
      <c r="CY97" s="197">
        <f t="shared" si="283"/>
        <v>220</v>
      </c>
      <c r="CZ97" s="197"/>
      <c r="DA97" s="897">
        <f>'Energy NPV'!U22</f>
        <v>592.40499999999997</v>
      </c>
      <c r="DB97" s="197"/>
      <c r="DC97" s="197">
        <f t="shared" si="239"/>
        <v>592.40499999999997</v>
      </c>
      <c r="DD97" s="197">
        <f t="shared" si="240"/>
        <v>-592.40499999999997</v>
      </c>
      <c r="DE97" s="197">
        <f t="shared" si="241"/>
        <v>-372.40499999999997</v>
      </c>
      <c r="DF97" s="1008">
        <f t="shared" si="284"/>
        <v>0</v>
      </c>
      <c r="DG97" s="1011">
        <f t="shared" si="285"/>
        <v>154.5690818273427</v>
      </c>
      <c r="DH97" s="1011">
        <f t="shared" si="286"/>
        <v>416.21589509057708</v>
      </c>
      <c r="DI97" s="1011">
        <f t="shared" si="287"/>
        <v>-416.21589509057708</v>
      </c>
      <c r="DJ97" s="1013">
        <f t="shared" si="288"/>
        <v>-261.64681326323438</v>
      </c>
      <c r="DK97" s="196">
        <f t="shared" si="302"/>
        <v>0</v>
      </c>
      <c r="DL97" s="197">
        <f t="shared" si="289"/>
        <v>1855.7729543164303</v>
      </c>
      <c r="DM97" s="197">
        <f t="shared" si="290"/>
        <v>3318.0721424044241</v>
      </c>
      <c r="DN97" s="197">
        <f t="shared" si="291"/>
        <v>-3318.0721424044241</v>
      </c>
      <c r="DO97" s="199">
        <f t="shared" si="292"/>
        <v>-1462.2991880879936</v>
      </c>
    </row>
    <row r="98" spans="2:177" x14ac:dyDescent="0.3">
      <c r="B98" s="881">
        <v>11</v>
      </c>
      <c r="C98" s="747">
        <f>'Energy NPV'!$D23</f>
        <v>0</v>
      </c>
      <c r="D98" s="197">
        <f>'Energy Inputs'!$D$58*$E$84</f>
        <v>55</v>
      </c>
      <c r="E98" s="197">
        <f t="shared" si="293"/>
        <v>0</v>
      </c>
      <c r="F98" s="197">
        <f>'Margins summary'!$Q$14</f>
        <v>220</v>
      </c>
      <c r="G98" s="197">
        <f t="shared" si="242"/>
        <v>220</v>
      </c>
      <c r="H98" s="197"/>
      <c r="I98" s="897">
        <f>'Energy NPV'!U23</f>
        <v>0</v>
      </c>
      <c r="J98" s="197"/>
      <c r="K98" s="197">
        <f t="shared" si="227"/>
        <v>0</v>
      </c>
      <c r="L98" s="197">
        <f t="shared" si="228"/>
        <v>0</v>
      </c>
      <c r="M98" s="197">
        <f t="shared" si="229"/>
        <v>220</v>
      </c>
      <c r="N98" s="1008">
        <f t="shared" si="243"/>
        <v>0</v>
      </c>
      <c r="O98" s="1011">
        <f t="shared" si="244"/>
        <v>148.62411714167567</v>
      </c>
      <c r="P98" s="1011">
        <f t="shared" si="245"/>
        <v>0</v>
      </c>
      <c r="Q98" s="1011">
        <f t="shared" si="246"/>
        <v>0</v>
      </c>
      <c r="R98" s="1013">
        <f t="shared" si="247"/>
        <v>148.62411714167567</v>
      </c>
      <c r="S98" s="1001">
        <f t="shared" si="294"/>
        <v>3930.1310729668203</v>
      </c>
      <c r="T98" s="1002">
        <f t="shared" si="248"/>
        <v>2004.397071458106</v>
      </c>
      <c r="U98" s="1002">
        <f t="shared" si="249"/>
        <v>3318.0721424044241</v>
      </c>
      <c r="V98" s="1002">
        <f t="shared" si="250"/>
        <v>612.05893056239631</v>
      </c>
      <c r="W98" s="1003">
        <f t="shared" si="251"/>
        <v>2616.4560020205022</v>
      </c>
      <c r="Z98" s="881">
        <v>11</v>
      </c>
      <c r="AA98" s="746">
        <f>'Energy NPV'!$D23</f>
        <v>0</v>
      </c>
      <c r="AB98" s="197">
        <f>'Energy Inputs'!$D$58*$AB$84</f>
        <v>82.5</v>
      </c>
      <c r="AC98" s="197">
        <f t="shared" si="295"/>
        <v>0</v>
      </c>
      <c r="AD98" s="197">
        <f>'Margins summary'!$Q$14</f>
        <v>220</v>
      </c>
      <c r="AE98" s="197">
        <f t="shared" si="252"/>
        <v>220</v>
      </c>
      <c r="AF98" s="197"/>
      <c r="AG98" s="897">
        <f>'Energy NPV'!U23</f>
        <v>0</v>
      </c>
      <c r="AH98" s="197"/>
      <c r="AI98" s="197">
        <f t="shared" si="230"/>
        <v>0</v>
      </c>
      <c r="AJ98" s="197">
        <f t="shared" si="231"/>
        <v>0</v>
      </c>
      <c r="AK98" s="197">
        <f t="shared" si="232"/>
        <v>220</v>
      </c>
      <c r="AL98" s="1008">
        <f t="shared" si="253"/>
        <v>0</v>
      </c>
      <c r="AM98" s="1011">
        <f t="shared" si="254"/>
        <v>148.62411714167567</v>
      </c>
      <c r="AN98" s="1011">
        <f t="shared" si="255"/>
        <v>0</v>
      </c>
      <c r="AO98" s="1011">
        <f t="shared" si="256"/>
        <v>0</v>
      </c>
      <c r="AP98" s="1013">
        <f t="shared" si="257"/>
        <v>148.62411714167567</v>
      </c>
      <c r="AQ98" s="196">
        <f t="shared" si="296"/>
        <v>5895.1966094502295</v>
      </c>
      <c r="AR98" s="197">
        <f t="shared" si="258"/>
        <v>2004.397071458106</v>
      </c>
      <c r="AS98" s="197">
        <f t="shared" si="259"/>
        <v>3318.0721424044241</v>
      </c>
      <c r="AT98" s="197">
        <f t="shared" si="260"/>
        <v>2577.1244670458063</v>
      </c>
      <c r="AU98" s="199">
        <f t="shared" si="261"/>
        <v>4581.5215385039137</v>
      </c>
      <c r="AX98" s="881">
        <v>11</v>
      </c>
      <c r="AY98" s="746">
        <f>'Energy NPV'!$D23</f>
        <v>0</v>
      </c>
      <c r="AZ98" s="197">
        <f>'Energy Inputs'!$D$58*$AZ$84</f>
        <v>27.5</v>
      </c>
      <c r="BA98" s="197">
        <f t="shared" si="297"/>
        <v>0</v>
      </c>
      <c r="BB98" s="197">
        <f>'Margins summary'!$Q$14</f>
        <v>220</v>
      </c>
      <c r="BC98" s="197">
        <f t="shared" si="262"/>
        <v>220</v>
      </c>
      <c r="BD98" s="197"/>
      <c r="BE98" s="897">
        <f>'Energy NPV'!U23</f>
        <v>0</v>
      </c>
      <c r="BF98" s="197"/>
      <c r="BG98" s="197">
        <f t="shared" si="233"/>
        <v>0</v>
      </c>
      <c r="BH98" s="197">
        <f t="shared" si="234"/>
        <v>0</v>
      </c>
      <c r="BI98" s="197">
        <f t="shared" si="235"/>
        <v>220</v>
      </c>
      <c r="BJ98" s="1008">
        <f t="shared" si="263"/>
        <v>0</v>
      </c>
      <c r="BK98" s="1011">
        <f t="shared" si="264"/>
        <v>148.62411714167567</v>
      </c>
      <c r="BL98" s="1011">
        <f t="shared" si="265"/>
        <v>0</v>
      </c>
      <c r="BM98" s="1011">
        <f t="shared" si="266"/>
        <v>0</v>
      </c>
      <c r="BN98" s="1013">
        <f t="shared" si="267"/>
        <v>148.62411714167567</v>
      </c>
      <c r="BO98" s="196">
        <f t="shared" si="268"/>
        <v>1965.0655364834101</v>
      </c>
      <c r="BP98" s="197">
        <f t="shared" si="269"/>
        <v>2004.397071458106</v>
      </c>
      <c r="BQ98" s="197">
        <f t="shared" si="270"/>
        <v>3318.0721424044241</v>
      </c>
      <c r="BR98" s="197">
        <f t="shared" si="271"/>
        <v>-1353.0066059210137</v>
      </c>
      <c r="BS98" s="199">
        <f t="shared" si="272"/>
        <v>651.39046553709227</v>
      </c>
      <c r="BV98" s="981">
        <v>11</v>
      </c>
      <c r="BW98" s="746">
        <f>'Energy NPV'!$D23</f>
        <v>0</v>
      </c>
      <c r="BX98" s="197">
        <f>'Energy Inputs'!$D$58*$BX$84</f>
        <v>110</v>
      </c>
      <c r="BY98" s="197">
        <f t="shared" si="298"/>
        <v>0</v>
      </c>
      <c r="BZ98" s="197">
        <f>'Margins summary'!$Q$14</f>
        <v>220</v>
      </c>
      <c r="CA98" s="197">
        <f t="shared" si="273"/>
        <v>220</v>
      </c>
      <c r="CB98" s="197"/>
      <c r="CC98" s="897">
        <f>'Energy NPV'!U23</f>
        <v>0</v>
      </c>
      <c r="CD98" s="197"/>
      <c r="CE98" s="197">
        <f t="shared" si="236"/>
        <v>0</v>
      </c>
      <c r="CF98" s="197">
        <f t="shared" si="237"/>
        <v>0</v>
      </c>
      <c r="CG98" s="197">
        <f t="shared" si="238"/>
        <v>220</v>
      </c>
      <c r="CH98" s="1008">
        <f t="shared" si="274"/>
        <v>0</v>
      </c>
      <c r="CI98" s="1011">
        <f t="shared" si="275"/>
        <v>148.62411714167567</v>
      </c>
      <c r="CJ98" s="1011">
        <f t="shared" si="276"/>
        <v>0</v>
      </c>
      <c r="CK98" s="1011">
        <f t="shared" si="277"/>
        <v>0</v>
      </c>
      <c r="CL98" s="1013">
        <f t="shared" si="278"/>
        <v>148.62411714167567</v>
      </c>
      <c r="CM98" s="196">
        <f t="shared" si="299"/>
        <v>7860.2621459336406</v>
      </c>
      <c r="CN98" s="197">
        <f t="shared" si="279"/>
        <v>2004.397071458106</v>
      </c>
      <c r="CO98" s="197">
        <f t="shared" si="280"/>
        <v>3318.0721424044241</v>
      </c>
      <c r="CP98" s="197">
        <f t="shared" si="281"/>
        <v>4542.1900035292165</v>
      </c>
      <c r="CQ98" s="199">
        <f t="shared" si="282"/>
        <v>6546.5870749873229</v>
      </c>
      <c r="CT98" s="204">
        <f t="shared" si="300"/>
        <v>11</v>
      </c>
      <c r="CU98" s="746">
        <f>'Energy NPV'!$D23</f>
        <v>0</v>
      </c>
      <c r="CV98" s="197">
        <f>'Energy Inputs'!$D$58*$CV$84</f>
        <v>0</v>
      </c>
      <c r="CW98" s="197">
        <f t="shared" si="301"/>
        <v>0</v>
      </c>
      <c r="CX98" s="197">
        <f>'Margins summary'!$Q$14</f>
        <v>220</v>
      </c>
      <c r="CY98" s="197">
        <f t="shared" si="283"/>
        <v>220</v>
      </c>
      <c r="CZ98" s="197"/>
      <c r="DA98" s="897">
        <f>'Energy NPV'!U23</f>
        <v>0</v>
      </c>
      <c r="DB98" s="197"/>
      <c r="DC98" s="197">
        <f t="shared" si="239"/>
        <v>0</v>
      </c>
      <c r="DD98" s="197">
        <f t="shared" si="240"/>
        <v>0</v>
      </c>
      <c r="DE98" s="197">
        <f t="shared" si="241"/>
        <v>220</v>
      </c>
      <c r="DF98" s="1008">
        <f t="shared" si="284"/>
        <v>0</v>
      </c>
      <c r="DG98" s="1011">
        <f t="shared" si="285"/>
        <v>148.62411714167567</v>
      </c>
      <c r="DH98" s="1011">
        <f t="shared" si="286"/>
        <v>0</v>
      </c>
      <c r="DI98" s="1011">
        <f t="shared" si="287"/>
        <v>0</v>
      </c>
      <c r="DJ98" s="1013">
        <f t="shared" si="288"/>
        <v>148.62411714167567</v>
      </c>
      <c r="DK98" s="196">
        <f t="shared" si="302"/>
        <v>0</v>
      </c>
      <c r="DL98" s="197">
        <f t="shared" si="289"/>
        <v>2004.397071458106</v>
      </c>
      <c r="DM98" s="197">
        <f t="shared" si="290"/>
        <v>3318.0721424044241</v>
      </c>
      <c r="DN98" s="197">
        <f t="shared" si="291"/>
        <v>-3318.0721424044241</v>
      </c>
      <c r="DO98" s="199">
        <f t="shared" si="292"/>
        <v>-1313.6750709463179</v>
      </c>
    </row>
    <row r="99" spans="2:177" x14ac:dyDescent="0.3">
      <c r="B99" s="881">
        <v>12</v>
      </c>
      <c r="C99" s="747">
        <f>'Energy NPV'!$D24</f>
        <v>0</v>
      </c>
      <c r="D99" s="197">
        <f>'Energy Inputs'!$D$58*$E$84</f>
        <v>55</v>
      </c>
      <c r="E99" s="197">
        <f t="shared" si="293"/>
        <v>0</v>
      </c>
      <c r="F99" s="197">
        <f>'Margins summary'!$Q$14</f>
        <v>220</v>
      </c>
      <c r="G99" s="197">
        <f t="shared" si="242"/>
        <v>220</v>
      </c>
      <c r="H99" s="197"/>
      <c r="I99" s="897">
        <f>'Energy NPV'!U24</f>
        <v>0</v>
      </c>
      <c r="J99" s="197"/>
      <c r="K99" s="197">
        <f t="shared" si="227"/>
        <v>0</v>
      </c>
      <c r="L99" s="197">
        <f t="shared" si="228"/>
        <v>0</v>
      </c>
      <c r="M99" s="197">
        <f t="shared" si="229"/>
        <v>220</v>
      </c>
      <c r="N99" s="1008">
        <f t="shared" si="243"/>
        <v>0</v>
      </c>
      <c r="O99" s="1011">
        <f t="shared" si="244"/>
        <v>142.90780494391893</v>
      </c>
      <c r="P99" s="1011">
        <f t="shared" si="245"/>
        <v>0</v>
      </c>
      <c r="Q99" s="1011">
        <f t="shared" si="246"/>
        <v>0</v>
      </c>
      <c r="R99" s="1013">
        <f t="shared" si="247"/>
        <v>142.90780494391893</v>
      </c>
      <c r="S99" s="1001">
        <f t="shared" si="294"/>
        <v>3930.1310729668203</v>
      </c>
      <c r="T99" s="1002">
        <f t="shared" si="248"/>
        <v>2147.304876402025</v>
      </c>
      <c r="U99" s="1002">
        <f t="shared" si="249"/>
        <v>3318.0721424044241</v>
      </c>
      <c r="V99" s="1002">
        <f t="shared" si="250"/>
        <v>612.05893056239631</v>
      </c>
      <c r="W99" s="1003">
        <f t="shared" si="251"/>
        <v>2759.3638069644212</v>
      </c>
      <c r="Z99" s="881">
        <v>12</v>
      </c>
      <c r="AA99" s="746">
        <f>'Energy NPV'!$D24</f>
        <v>0</v>
      </c>
      <c r="AB99" s="197">
        <f>'Energy Inputs'!$D$58*$AB$84</f>
        <v>82.5</v>
      </c>
      <c r="AC99" s="197">
        <f t="shared" si="295"/>
        <v>0</v>
      </c>
      <c r="AD99" s="197">
        <f>'Margins summary'!$Q$14</f>
        <v>220</v>
      </c>
      <c r="AE99" s="197">
        <f t="shared" si="252"/>
        <v>220</v>
      </c>
      <c r="AF99" s="197"/>
      <c r="AG99" s="897">
        <f>'Energy NPV'!U24</f>
        <v>0</v>
      </c>
      <c r="AH99" s="197"/>
      <c r="AI99" s="197">
        <f t="shared" si="230"/>
        <v>0</v>
      </c>
      <c r="AJ99" s="197">
        <f t="shared" si="231"/>
        <v>0</v>
      </c>
      <c r="AK99" s="197">
        <f t="shared" si="232"/>
        <v>220</v>
      </c>
      <c r="AL99" s="1008">
        <f t="shared" si="253"/>
        <v>0</v>
      </c>
      <c r="AM99" s="1011">
        <f t="shared" si="254"/>
        <v>142.90780494391893</v>
      </c>
      <c r="AN99" s="1011">
        <f t="shared" si="255"/>
        <v>0</v>
      </c>
      <c r="AO99" s="1011">
        <f t="shared" si="256"/>
        <v>0</v>
      </c>
      <c r="AP99" s="1013">
        <f t="shared" si="257"/>
        <v>142.90780494391893</v>
      </c>
      <c r="AQ99" s="196">
        <f t="shared" si="296"/>
        <v>5895.1966094502295</v>
      </c>
      <c r="AR99" s="197">
        <f t="shared" si="258"/>
        <v>2147.304876402025</v>
      </c>
      <c r="AS99" s="197">
        <f t="shared" si="259"/>
        <v>3318.0721424044241</v>
      </c>
      <c r="AT99" s="197">
        <f t="shared" si="260"/>
        <v>2577.1244670458063</v>
      </c>
      <c r="AU99" s="199">
        <f t="shared" si="261"/>
        <v>4724.4293434478323</v>
      </c>
      <c r="AX99" s="881">
        <v>12</v>
      </c>
      <c r="AY99" s="746">
        <f>'Energy NPV'!$D24</f>
        <v>0</v>
      </c>
      <c r="AZ99" s="197">
        <f>'Energy Inputs'!$D$58*$AZ$84</f>
        <v>27.5</v>
      </c>
      <c r="BA99" s="197">
        <f t="shared" si="297"/>
        <v>0</v>
      </c>
      <c r="BB99" s="197">
        <f>'Margins summary'!$Q$14</f>
        <v>220</v>
      </c>
      <c r="BC99" s="197">
        <f t="shared" si="262"/>
        <v>220</v>
      </c>
      <c r="BD99" s="197"/>
      <c r="BE99" s="897">
        <f>'Energy NPV'!U24</f>
        <v>0</v>
      </c>
      <c r="BF99" s="197"/>
      <c r="BG99" s="197">
        <f t="shared" si="233"/>
        <v>0</v>
      </c>
      <c r="BH99" s="197">
        <f t="shared" si="234"/>
        <v>0</v>
      </c>
      <c r="BI99" s="197">
        <f t="shared" si="235"/>
        <v>220</v>
      </c>
      <c r="BJ99" s="1008">
        <f t="shared" si="263"/>
        <v>0</v>
      </c>
      <c r="BK99" s="1011">
        <f t="shared" si="264"/>
        <v>142.90780494391893</v>
      </c>
      <c r="BL99" s="1011">
        <f t="shared" si="265"/>
        <v>0</v>
      </c>
      <c r="BM99" s="1011">
        <f t="shared" si="266"/>
        <v>0</v>
      </c>
      <c r="BN99" s="1013">
        <f t="shared" si="267"/>
        <v>142.90780494391893</v>
      </c>
      <c r="BO99" s="196">
        <f t="shared" si="268"/>
        <v>1965.0655364834101</v>
      </c>
      <c r="BP99" s="197">
        <f t="shared" si="269"/>
        <v>2147.304876402025</v>
      </c>
      <c r="BQ99" s="197">
        <f t="shared" si="270"/>
        <v>3318.0721424044241</v>
      </c>
      <c r="BR99" s="197">
        <f t="shared" si="271"/>
        <v>-1353.0066059210137</v>
      </c>
      <c r="BS99" s="199">
        <f t="shared" si="272"/>
        <v>794.29827048101117</v>
      </c>
      <c r="BV99" s="981">
        <v>12</v>
      </c>
      <c r="BW99" s="746">
        <f>'Energy NPV'!$D24</f>
        <v>0</v>
      </c>
      <c r="BX99" s="197">
        <f>'Energy Inputs'!$D$58*$BX$84</f>
        <v>110</v>
      </c>
      <c r="BY99" s="197">
        <f t="shared" si="298"/>
        <v>0</v>
      </c>
      <c r="BZ99" s="197">
        <f>'Margins summary'!$Q$14</f>
        <v>220</v>
      </c>
      <c r="CA99" s="197">
        <f t="shared" si="273"/>
        <v>220</v>
      </c>
      <c r="CB99" s="197"/>
      <c r="CC99" s="897">
        <f>'Energy NPV'!U24</f>
        <v>0</v>
      </c>
      <c r="CD99" s="197"/>
      <c r="CE99" s="197">
        <f t="shared" si="236"/>
        <v>0</v>
      </c>
      <c r="CF99" s="197">
        <f t="shared" si="237"/>
        <v>0</v>
      </c>
      <c r="CG99" s="197">
        <f t="shared" si="238"/>
        <v>220</v>
      </c>
      <c r="CH99" s="1008">
        <f t="shared" si="274"/>
        <v>0</v>
      </c>
      <c r="CI99" s="1011">
        <f t="shared" si="275"/>
        <v>142.90780494391893</v>
      </c>
      <c r="CJ99" s="1011">
        <f t="shared" si="276"/>
        <v>0</v>
      </c>
      <c r="CK99" s="1011">
        <f t="shared" si="277"/>
        <v>0</v>
      </c>
      <c r="CL99" s="1013">
        <f t="shared" si="278"/>
        <v>142.90780494391893</v>
      </c>
      <c r="CM99" s="196">
        <f t="shared" si="299"/>
        <v>7860.2621459336406</v>
      </c>
      <c r="CN99" s="197">
        <f t="shared" si="279"/>
        <v>2147.304876402025</v>
      </c>
      <c r="CO99" s="197">
        <f t="shared" si="280"/>
        <v>3318.0721424044241</v>
      </c>
      <c r="CP99" s="197">
        <f t="shared" si="281"/>
        <v>4542.1900035292165</v>
      </c>
      <c r="CQ99" s="199">
        <f t="shared" si="282"/>
        <v>6689.4948799312415</v>
      </c>
      <c r="CT99" s="204">
        <f t="shared" si="300"/>
        <v>12</v>
      </c>
      <c r="CU99" s="746">
        <f>'Energy NPV'!$D24</f>
        <v>0</v>
      </c>
      <c r="CV99" s="197">
        <f>'Energy Inputs'!$D$58*$CV$84</f>
        <v>0</v>
      </c>
      <c r="CW99" s="197">
        <f t="shared" si="301"/>
        <v>0</v>
      </c>
      <c r="CX99" s="197">
        <f>'Margins summary'!$Q$14</f>
        <v>220</v>
      </c>
      <c r="CY99" s="197">
        <f t="shared" si="283"/>
        <v>220</v>
      </c>
      <c r="CZ99" s="197"/>
      <c r="DA99" s="897">
        <f>'Energy NPV'!U24</f>
        <v>0</v>
      </c>
      <c r="DB99" s="197"/>
      <c r="DC99" s="197">
        <f t="shared" si="239"/>
        <v>0</v>
      </c>
      <c r="DD99" s="197">
        <f t="shared" si="240"/>
        <v>0</v>
      </c>
      <c r="DE99" s="197">
        <f t="shared" si="241"/>
        <v>220</v>
      </c>
      <c r="DF99" s="1008">
        <f t="shared" si="284"/>
        <v>0</v>
      </c>
      <c r="DG99" s="1011">
        <f t="shared" si="285"/>
        <v>142.90780494391893</v>
      </c>
      <c r="DH99" s="1011">
        <f t="shared" si="286"/>
        <v>0</v>
      </c>
      <c r="DI99" s="1011">
        <f t="shared" si="287"/>
        <v>0</v>
      </c>
      <c r="DJ99" s="1013">
        <f t="shared" si="288"/>
        <v>142.90780494391893</v>
      </c>
      <c r="DK99" s="196">
        <f t="shared" si="302"/>
        <v>0</v>
      </c>
      <c r="DL99" s="197">
        <f t="shared" si="289"/>
        <v>2147.304876402025</v>
      </c>
      <c r="DM99" s="197">
        <f t="shared" si="290"/>
        <v>3318.0721424044241</v>
      </c>
      <c r="DN99" s="197">
        <f t="shared" si="291"/>
        <v>-3318.0721424044241</v>
      </c>
      <c r="DO99" s="199">
        <f t="shared" si="292"/>
        <v>-1170.7672660023989</v>
      </c>
    </row>
    <row r="100" spans="2:177" x14ac:dyDescent="0.3">
      <c r="B100" s="881">
        <v>13</v>
      </c>
      <c r="C100" s="747">
        <f>'Energy NPV'!$D25</f>
        <v>30</v>
      </c>
      <c r="D100" s="197">
        <f>'Energy Inputs'!$D$58*$E$84</f>
        <v>55</v>
      </c>
      <c r="E100" s="197">
        <f t="shared" si="293"/>
        <v>1650</v>
      </c>
      <c r="F100" s="197">
        <f>'Margins summary'!$Q$14</f>
        <v>220</v>
      </c>
      <c r="G100" s="197">
        <f t="shared" si="242"/>
        <v>1870</v>
      </c>
      <c r="H100" s="197"/>
      <c r="I100" s="897">
        <f>'Energy NPV'!U25</f>
        <v>592.40499999999997</v>
      </c>
      <c r="J100" s="197"/>
      <c r="K100" s="197">
        <f t="shared" si="227"/>
        <v>592.40499999999997</v>
      </c>
      <c r="L100" s="197">
        <f t="shared" si="228"/>
        <v>1057.595</v>
      </c>
      <c r="M100" s="197">
        <f t="shared" si="229"/>
        <v>1277.595</v>
      </c>
      <c r="N100" s="1008">
        <f t="shared" si="243"/>
        <v>1030.5851318071075</v>
      </c>
      <c r="O100" s="1011">
        <f t="shared" si="244"/>
        <v>137.41135090761432</v>
      </c>
      <c r="P100" s="1011">
        <f t="shared" si="245"/>
        <v>370.01441515647849</v>
      </c>
      <c r="Q100" s="1011">
        <f t="shared" si="246"/>
        <v>660.57071665062904</v>
      </c>
      <c r="R100" s="1013">
        <f t="shared" si="247"/>
        <v>797.98206755824333</v>
      </c>
      <c r="S100" s="1001">
        <f t="shared" si="294"/>
        <v>4960.7162047739275</v>
      </c>
      <c r="T100" s="1002">
        <f t="shared" si="248"/>
        <v>2284.7162273096392</v>
      </c>
      <c r="U100" s="1002">
        <f t="shared" si="249"/>
        <v>3688.0865575609027</v>
      </c>
      <c r="V100" s="1002">
        <f t="shared" si="250"/>
        <v>1272.6296472130252</v>
      </c>
      <c r="W100" s="1003">
        <f t="shared" si="251"/>
        <v>3557.3458745226644</v>
      </c>
      <c r="Z100" s="881">
        <v>13</v>
      </c>
      <c r="AA100" s="746">
        <f>'Energy NPV'!$D25</f>
        <v>30</v>
      </c>
      <c r="AB100" s="197">
        <f>'Energy Inputs'!$D$58*$AB$84</f>
        <v>82.5</v>
      </c>
      <c r="AC100" s="197">
        <f t="shared" si="295"/>
        <v>2475</v>
      </c>
      <c r="AD100" s="197">
        <f>'Margins summary'!$Q$14</f>
        <v>220</v>
      </c>
      <c r="AE100" s="197">
        <f t="shared" si="252"/>
        <v>2695</v>
      </c>
      <c r="AF100" s="197"/>
      <c r="AG100" s="897">
        <f>'Energy NPV'!U25</f>
        <v>592.40499999999997</v>
      </c>
      <c r="AH100" s="197"/>
      <c r="AI100" s="197">
        <f t="shared" si="230"/>
        <v>592.40499999999997</v>
      </c>
      <c r="AJ100" s="197">
        <f t="shared" si="231"/>
        <v>1882.595</v>
      </c>
      <c r="AK100" s="197">
        <f t="shared" si="232"/>
        <v>2102.5950000000003</v>
      </c>
      <c r="AL100" s="1008">
        <f t="shared" si="253"/>
        <v>1545.8776977106613</v>
      </c>
      <c r="AM100" s="1011">
        <f t="shared" si="254"/>
        <v>137.41135090761432</v>
      </c>
      <c r="AN100" s="1011">
        <f t="shared" si="255"/>
        <v>370.01441515647849</v>
      </c>
      <c r="AO100" s="1011">
        <f t="shared" si="256"/>
        <v>1175.8632825541827</v>
      </c>
      <c r="AP100" s="1013">
        <f t="shared" si="257"/>
        <v>1313.2746334617973</v>
      </c>
      <c r="AQ100" s="196">
        <f t="shared" si="296"/>
        <v>7441.0743071608904</v>
      </c>
      <c r="AR100" s="197">
        <f t="shared" si="258"/>
        <v>2284.7162273096392</v>
      </c>
      <c r="AS100" s="197">
        <f t="shared" si="259"/>
        <v>3688.0865575609027</v>
      </c>
      <c r="AT100" s="197">
        <f t="shared" si="260"/>
        <v>3752.987749599989</v>
      </c>
      <c r="AU100" s="199">
        <f t="shared" si="261"/>
        <v>6037.70397690963</v>
      </c>
      <c r="AX100" s="881">
        <v>13</v>
      </c>
      <c r="AY100" s="746">
        <f>'Energy NPV'!$D25</f>
        <v>30</v>
      </c>
      <c r="AZ100" s="197">
        <f>'Energy Inputs'!$D$58*$AZ$84</f>
        <v>27.5</v>
      </c>
      <c r="BA100" s="197">
        <f t="shared" si="297"/>
        <v>825</v>
      </c>
      <c r="BB100" s="197">
        <f>'Margins summary'!$Q$14</f>
        <v>220</v>
      </c>
      <c r="BC100" s="197">
        <f t="shared" si="262"/>
        <v>1045</v>
      </c>
      <c r="BD100" s="197"/>
      <c r="BE100" s="897">
        <f>'Energy NPV'!U25</f>
        <v>592.40499999999997</v>
      </c>
      <c r="BF100" s="197"/>
      <c r="BG100" s="197">
        <f t="shared" si="233"/>
        <v>592.40499999999997</v>
      </c>
      <c r="BH100" s="197">
        <f t="shared" si="234"/>
        <v>232.59500000000003</v>
      </c>
      <c r="BI100" s="197">
        <f t="shared" si="235"/>
        <v>452.59500000000003</v>
      </c>
      <c r="BJ100" s="1008">
        <f t="shared" si="263"/>
        <v>515.29256590355374</v>
      </c>
      <c r="BK100" s="1011">
        <f t="shared" si="264"/>
        <v>137.41135090761432</v>
      </c>
      <c r="BL100" s="1011">
        <f t="shared" si="265"/>
        <v>370.01441515647849</v>
      </c>
      <c r="BM100" s="1011">
        <f t="shared" si="266"/>
        <v>145.27815074707527</v>
      </c>
      <c r="BN100" s="1013">
        <f t="shared" si="267"/>
        <v>282.68950165468959</v>
      </c>
      <c r="BO100" s="196">
        <f t="shared" si="268"/>
        <v>2480.3581023869638</v>
      </c>
      <c r="BP100" s="197">
        <f t="shared" si="269"/>
        <v>2284.7162273096392</v>
      </c>
      <c r="BQ100" s="197">
        <f t="shared" si="270"/>
        <v>3688.0865575609027</v>
      </c>
      <c r="BR100" s="197">
        <f t="shared" si="271"/>
        <v>-1207.7284551739385</v>
      </c>
      <c r="BS100" s="199">
        <f t="shared" si="272"/>
        <v>1076.9877721357007</v>
      </c>
      <c r="BV100" s="981">
        <v>13</v>
      </c>
      <c r="BW100" s="746">
        <f>'Energy NPV'!$D25</f>
        <v>30</v>
      </c>
      <c r="BX100" s="197">
        <f>'Energy Inputs'!$D$58*$BX$84</f>
        <v>110</v>
      </c>
      <c r="BY100" s="197">
        <f t="shared" si="298"/>
        <v>3300</v>
      </c>
      <c r="BZ100" s="197">
        <f>'Margins summary'!$Q$14</f>
        <v>220</v>
      </c>
      <c r="CA100" s="197">
        <f t="shared" si="273"/>
        <v>3520</v>
      </c>
      <c r="CB100" s="197"/>
      <c r="CC100" s="897">
        <f>'Energy NPV'!U25</f>
        <v>592.40499999999997</v>
      </c>
      <c r="CD100" s="197"/>
      <c r="CE100" s="197">
        <f t="shared" si="236"/>
        <v>592.40499999999997</v>
      </c>
      <c r="CF100" s="197">
        <f t="shared" si="237"/>
        <v>2707.5950000000003</v>
      </c>
      <c r="CG100" s="197">
        <f t="shared" si="238"/>
        <v>2927.5950000000003</v>
      </c>
      <c r="CH100" s="1008">
        <f t="shared" si="274"/>
        <v>2061.1702636142149</v>
      </c>
      <c r="CI100" s="1011">
        <f t="shared" si="275"/>
        <v>137.41135090761432</v>
      </c>
      <c r="CJ100" s="1011">
        <f t="shared" si="276"/>
        <v>370.01441515647849</v>
      </c>
      <c r="CK100" s="1011">
        <f t="shared" si="277"/>
        <v>1691.1558484577367</v>
      </c>
      <c r="CL100" s="1013">
        <f t="shared" si="278"/>
        <v>1828.5671993653509</v>
      </c>
      <c r="CM100" s="196">
        <f t="shared" si="299"/>
        <v>9921.4324095478551</v>
      </c>
      <c r="CN100" s="197">
        <f t="shared" si="279"/>
        <v>2284.7162273096392</v>
      </c>
      <c r="CO100" s="197">
        <f t="shared" si="280"/>
        <v>3688.0865575609027</v>
      </c>
      <c r="CP100" s="197">
        <f t="shared" si="281"/>
        <v>6233.3458519869528</v>
      </c>
      <c r="CQ100" s="199">
        <f t="shared" si="282"/>
        <v>8518.0620792965929</v>
      </c>
      <c r="CT100" s="204">
        <f t="shared" si="300"/>
        <v>13</v>
      </c>
      <c r="CU100" s="746">
        <f>'Energy NPV'!$D25</f>
        <v>30</v>
      </c>
      <c r="CV100" s="197">
        <f>'Energy Inputs'!$D$58*$CV$84</f>
        <v>0</v>
      </c>
      <c r="CW100" s="197">
        <f t="shared" si="301"/>
        <v>0</v>
      </c>
      <c r="CX100" s="197">
        <f>'Margins summary'!$Q$14</f>
        <v>220</v>
      </c>
      <c r="CY100" s="197">
        <f t="shared" si="283"/>
        <v>220</v>
      </c>
      <c r="CZ100" s="197"/>
      <c r="DA100" s="897">
        <f>'Energy NPV'!U25</f>
        <v>592.40499999999997</v>
      </c>
      <c r="DB100" s="197"/>
      <c r="DC100" s="197">
        <f t="shared" si="239"/>
        <v>592.40499999999997</v>
      </c>
      <c r="DD100" s="197">
        <f t="shared" si="240"/>
        <v>-592.40499999999997</v>
      </c>
      <c r="DE100" s="197">
        <f t="shared" si="241"/>
        <v>-372.40499999999997</v>
      </c>
      <c r="DF100" s="1008">
        <f t="shared" si="284"/>
        <v>0</v>
      </c>
      <c r="DG100" s="1011">
        <f t="shared" si="285"/>
        <v>137.41135090761432</v>
      </c>
      <c r="DH100" s="1011">
        <f t="shared" si="286"/>
        <v>370.01441515647849</v>
      </c>
      <c r="DI100" s="1011">
        <f t="shared" si="287"/>
        <v>-370.01441515647849</v>
      </c>
      <c r="DJ100" s="1013">
        <f t="shared" si="288"/>
        <v>-232.60306424886414</v>
      </c>
      <c r="DK100" s="196">
        <f t="shared" si="302"/>
        <v>0</v>
      </c>
      <c r="DL100" s="197">
        <f t="shared" si="289"/>
        <v>2284.7162273096392</v>
      </c>
      <c r="DM100" s="197">
        <f t="shared" si="290"/>
        <v>3688.0865575609027</v>
      </c>
      <c r="DN100" s="197">
        <f t="shared" si="291"/>
        <v>-3688.0865575609027</v>
      </c>
      <c r="DO100" s="199">
        <f t="shared" si="292"/>
        <v>-1403.3703302512631</v>
      </c>
    </row>
    <row r="101" spans="2:177" x14ac:dyDescent="0.3">
      <c r="B101" s="881">
        <v>14</v>
      </c>
      <c r="C101" s="747">
        <f>'Energy NPV'!$D26</f>
        <v>0</v>
      </c>
      <c r="D101" s="197">
        <f>'Energy Inputs'!$D$58*$E$84</f>
        <v>55</v>
      </c>
      <c r="E101" s="197">
        <f t="shared" si="293"/>
        <v>0</v>
      </c>
      <c r="F101" s="197">
        <f>'Margins summary'!$Q$14</f>
        <v>220</v>
      </c>
      <c r="G101" s="197">
        <f t="shared" si="242"/>
        <v>220</v>
      </c>
      <c r="H101" s="197"/>
      <c r="I101" s="897">
        <f>'Energy NPV'!U26</f>
        <v>0</v>
      </c>
      <c r="J101" s="197"/>
      <c r="K101" s="197">
        <f t="shared" si="227"/>
        <v>0</v>
      </c>
      <c r="L101" s="197">
        <f t="shared" si="228"/>
        <v>0</v>
      </c>
      <c r="M101" s="197">
        <f t="shared" si="229"/>
        <v>220</v>
      </c>
      <c r="N101" s="1008">
        <f t="shared" si="243"/>
        <v>0</v>
      </c>
      <c r="O101" s="1011">
        <f t="shared" si="244"/>
        <v>132.12629894962916</v>
      </c>
      <c r="P101" s="1011">
        <f t="shared" si="245"/>
        <v>0</v>
      </c>
      <c r="Q101" s="1011">
        <f t="shared" si="246"/>
        <v>0</v>
      </c>
      <c r="R101" s="1013">
        <f t="shared" si="247"/>
        <v>132.12629894962916</v>
      </c>
      <c r="S101" s="1001">
        <f t="shared" si="294"/>
        <v>4960.7162047739275</v>
      </c>
      <c r="T101" s="1002">
        <f t="shared" si="248"/>
        <v>2416.8425262592682</v>
      </c>
      <c r="U101" s="1002">
        <f t="shared" si="249"/>
        <v>3688.0865575609027</v>
      </c>
      <c r="V101" s="1002">
        <f t="shared" si="250"/>
        <v>1272.6296472130252</v>
      </c>
      <c r="W101" s="1003">
        <f t="shared" si="251"/>
        <v>3689.4721734722934</v>
      </c>
      <c r="Z101" s="881">
        <v>14</v>
      </c>
      <c r="AA101" s="746">
        <f>'Energy NPV'!$D26</f>
        <v>0</v>
      </c>
      <c r="AB101" s="197">
        <f>'Energy Inputs'!$D$58*$AB$84</f>
        <v>82.5</v>
      </c>
      <c r="AC101" s="197">
        <f t="shared" si="295"/>
        <v>0</v>
      </c>
      <c r="AD101" s="197">
        <f>'Margins summary'!$Q$14</f>
        <v>220</v>
      </c>
      <c r="AE101" s="197">
        <f t="shared" si="252"/>
        <v>220</v>
      </c>
      <c r="AF101" s="197"/>
      <c r="AG101" s="897">
        <f>'Energy NPV'!U26</f>
        <v>0</v>
      </c>
      <c r="AH101" s="197"/>
      <c r="AI101" s="197">
        <f t="shared" si="230"/>
        <v>0</v>
      </c>
      <c r="AJ101" s="197">
        <f t="shared" si="231"/>
        <v>0</v>
      </c>
      <c r="AK101" s="197">
        <f t="shared" si="232"/>
        <v>220</v>
      </c>
      <c r="AL101" s="1008">
        <f t="shared" si="253"/>
        <v>0</v>
      </c>
      <c r="AM101" s="1011">
        <f t="shared" si="254"/>
        <v>132.12629894962916</v>
      </c>
      <c r="AN101" s="1011">
        <f t="shared" si="255"/>
        <v>0</v>
      </c>
      <c r="AO101" s="1011">
        <f t="shared" si="256"/>
        <v>0</v>
      </c>
      <c r="AP101" s="1013">
        <f t="shared" si="257"/>
        <v>132.12629894962916</v>
      </c>
      <c r="AQ101" s="196">
        <f t="shared" si="296"/>
        <v>7441.0743071608904</v>
      </c>
      <c r="AR101" s="197">
        <f t="shared" si="258"/>
        <v>2416.8425262592682</v>
      </c>
      <c r="AS101" s="197">
        <f t="shared" si="259"/>
        <v>3688.0865575609027</v>
      </c>
      <c r="AT101" s="197">
        <f t="shared" si="260"/>
        <v>3752.987749599989</v>
      </c>
      <c r="AU101" s="199">
        <f t="shared" si="261"/>
        <v>6169.830275859259</v>
      </c>
      <c r="AX101" s="881">
        <v>14</v>
      </c>
      <c r="AY101" s="746">
        <f>'Energy NPV'!$D26</f>
        <v>0</v>
      </c>
      <c r="AZ101" s="197">
        <f>'Energy Inputs'!$D$58*$AZ$84</f>
        <v>27.5</v>
      </c>
      <c r="BA101" s="197">
        <f t="shared" si="297"/>
        <v>0</v>
      </c>
      <c r="BB101" s="197">
        <f>'Margins summary'!$Q$14</f>
        <v>220</v>
      </c>
      <c r="BC101" s="197">
        <f t="shared" si="262"/>
        <v>220</v>
      </c>
      <c r="BD101" s="197"/>
      <c r="BE101" s="897">
        <f>'Energy NPV'!U26</f>
        <v>0</v>
      </c>
      <c r="BF101" s="197"/>
      <c r="BG101" s="197">
        <f t="shared" si="233"/>
        <v>0</v>
      </c>
      <c r="BH101" s="197">
        <f t="shared" si="234"/>
        <v>0</v>
      </c>
      <c r="BI101" s="197">
        <f t="shared" si="235"/>
        <v>220</v>
      </c>
      <c r="BJ101" s="1008">
        <f t="shared" si="263"/>
        <v>0</v>
      </c>
      <c r="BK101" s="1011">
        <f t="shared" si="264"/>
        <v>132.12629894962916</v>
      </c>
      <c r="BL101" s="1011">
        <f t="shared" si="265"/>
        <v>0</v>
      </c>
      <c r="BM101" s="1011">
        <f t="shared" si="266"/>
        <v>0</v>
      </c>
      <c r="BN101" s="1013">
        <f t="shared" si="267"/>
        <v>132.12629894962916</v>
      </c>
      <c r="BO101" s="196">
        <f t="shared" si="268"/>
        <v>2480.3581023869638</v>
      </c>
      <c r="BP101" s="197">
        <f t="shared" si="269"/>
        <v>2416.8425262592682</v>
      </c>
      <c r="BQ101" s="197">
        <f t="shared" si="270"/>
        <v>3688.0865575609027</v>
      </c>
      <c r="BR101" s="197">
        <f t="shared" si="271"/>
        <v>-1207.7284551739385</v>
      </c>
      <c r="BS101" s="199">
        <f t="shared" si="272"/>
        <v>1209.1140710853299</v>
      </c>
      <c r="BV101" s="981">
        <v>14</v>
      </c>
      <c r="BW101" s="746">
        <f>'Energy NPV'!$D26</f>
        <v>0</v>
      </c>
      <c r="BX101" s="197">
        <f>'Energy Inputs'!$D$58*$BX$84</f>
        <v>110</v>
      </c>
      <c r="BY101" s="197">
        <f t="shared" si="298"/>
        <v>0</v>
      </c>
      <c r="BZ101" s="197">
        <f>'Margins summary'!$Q$14</f>
        <v>220</v>
      </c>
      <c r="CA101" s="197">
        <f t="shared" si="273"/>
        <v>220</v>
      </c>
      <c r="CB101" s="197"/>
      <c r="CC101" s="897">
        <f>'Energy NPV'!U26</f>
        <v>0</v>
      </c>
      <c r="CD101" s="197"/>
      <c r="CE101" s="197">
        <f t="shared" si="236"/>
        <v>0</v>
      </c>
      <c r="CF101" s="197">
        <f t="shared" si="237"/>
        <v>0</v>
      </c>
      <c r="CG101" s="197">
        <f t="shared" si="238"/>
        <v>220</v>
      </c>
      <c r="CH101" s="1008">
        <f t="shared" si="274"/>
        <v>0</v>
      </c>
      <c r="CI101" s="1011">
        <f t="shared" si="275"/>
        <v>132.12629894962916</v>
      </c>
      <c r="CJ101" s="1011">
        <f t="shared" si="276"/>
        <v>0</v>
      </c>
      <c r="CK101" s="1011">
        <f t="shared" si="277"/>
        <v>0</v>
      </c>
      <c r="CL101" s="1013">
        <f t="shared" si="278"/>
        <v>132.12629894962916</v>
      </c>
      <c r="CM101" s="196">
        <f t="shared" si="299"/>
        <v>9921.4324095478551</v>
      </c>
      <c r="CN101" s="197">
        <f t="shared" si="279"/>
        <v>2416.8425262592682</v>
      </c>
      <c r="CO101" s="197">
        <f t="shared" si="280"/>
        <v>3688.0865575609027</v>
      </c>
      <c r="CP101" s="197">
        <f t="shared" si="281"/>
        <v>6233.3458519869528</v>
      </c>
      <c r="CQ101" s="199">
        <f t="shared" si="282"/>
        <v>8650.1883782462228</v>
      </c>
      <c r="CT101" s="204">
        <f t="shared" si="300"/>
        <v>14</v>
      </c>
      <c r="CU101" s="746">
        <f>'Energy NPV'!$D26</f>
        <v>0</v>
      </c>
      <c r="CV101" s="197">
        <f>'Energy Inputs'!$D$58*$CV$84</f>
        <v>0</v>
      </c>
      <c r="CW101" s="197">
        <f t="shared" si="301"/>
        <v>0</v>
      </c>
      <c r="CX101" s="197">
        <f>'Margins summary'!$Q$14</f>
        <v>220</v>
      </c>
      <c r="CY101" s="197">
        <f t="shared" si="283"/>
        <v>220</v>
      </c>
      <c r="CZ101" s="197"/>
      <c r="DA101" s="897">
        <f>'Energy NPV'!U26</f>
        <v>0</v>
      </c>
      <c r="DB101" s="197"/>
      <c r="DC101" s="197">
        <f t="shared" si="239"/>
        <v>0</v>
      </c>
      <c r="DD101" s="197">
        <f t="shared" si="240"/>
        <v>0</v>
      </c>
      <c r="DE101" s="197">
        <f t="shared" si="241"/>
        <v>220</v>
      </c>
      <c r="DF101" s="1008">
        <f t="shared" si="284"/>
        <v>0</v>
      </c>
      <c r="DG101" s="1011">
        <f t="shared" si="285"/>
        <v>132.12629894962916</v>
      </c>
      <c r="DH101" s="1011">
        <f t="shared" si="286"/>
        <v>0</v>
      </c>
      <c r="DI101" s="1011">
        <f t="shared" si="287"/>
        <v>0</v>
      </c>
      <c r="DJ101" s="1013">
        <f t="shared" si="288"/>
        <v>132.12629894962916</v>
      </c>
      <c r="DK101" s="196">
        <f t="shared" si="302"/>
        <v>0</v>
      </c>
      <c r="DL101" s="197">
        <f t="shared" si="289"/>
        <v>2416.8425262592682</v>
      </c>
      <c r="DM101" s="197">
        <f t="shared" si="290"/>
        <v>3688.0865575609027</v>
      </c>
      <c r="DN101" s="197">
        <f t="shared" si="291"/>
        <v>-3688.0865575609027</v>
      </c>
      <c r="DO101" s="199">
        <f t="shared" si="292"/>
        <v>-1271.2440313016339</v>
      </c>
    </row>
    <row r="102" spans="2:177" x14ac:dyDescent="0.3">
      <c r="B102" s="881">
        <v>15</v>
      </c>
      <c r="C102" s="747">
        <f>'Energy NPV'!$D27</f>
        <v>0</v>
      </c>
      <c r="D102" s="197">
        <f>'Energy Inputs'!$D$58*$E$84</f>
        <v>55</v>
      </c>
      <c r="E102" s="197">
        <f t="shared" si="293"/>
        <v>0</v>
      </c>
      <c r="F102" s="197">
        <f>'Margins summary'!$Q$14</f>
        <v>220</v>
      </c>
      <c r="G102" s="197">
        <f t="shared" si="242"/>
        <v>220</v>
      </c>
      <c r="H102" s="197"/>
      <c r="I102" s="897">
        <f>'Energy NPV'!U27</f>
        <v>0</v>
      </c>
      <c r="J102" s="197"/>
      <c r="K102" s="197">
        <f t="shared" si="227"/>
        <v>0</v>
      </c>
      <c r="L102" s="197">
        <f t="shared" si="228"/>
        <v>0</v>
      </c>
      <c r="M102" s="197">
        <f t="shared" si="229"/>
        <v>220</v>
      </c>
      <c r="N102" s="1008">
        <f t="shared" si="243"/>
        <v>0</v>
      </c>
      <c r="O102" s="1011">
        <f t="shared" si="244"/>
        <v>127.04451822079727</v>
      </c>
      <c r="P102" s="1011">
        <f t="shared" si="245"/>
        <v>0</v>
      </c>
      <c r="Q102" s="1011">
        <f t="shared" si="246"/>
        <v>0</v>
      </c>
      <c r="R102" s="1013">
        <f t="shared" si="247"/>
        <v>127.04451822079727</v>
      </c>
      <c r="S102" s="1001">
        <f t="shared" si="294"/>
        <v>4960.7162047739275</v>
      </c>
      <c r="T102" s="1002">
        <f t="shared" si="248"/>
        <v>2543.8870444800655</v>
      </c>
      <c r="U102" s="1002">
        <f t="shared" si="249"/>
        <v>3688.0865575609027</v>
      </c>
      <c r="V102" s="1002">
        <f t="shared" si="250"/>
        <v>1272.6296472130252</v>
      </c>
      <c r="W102" s="1003">
        <f t="shared" si="251"/>
        <v>3816.5166916930907</v>
      </c>
      <c r="Z102" s="881">
        <v>15</v>
      </c>
      <c r="AA102" s="746">
        <f>'Energy NPV'!$D27</f>
        <v>0</v>
      </c>
      <c r="AB102" s="197">
        <f>'Energy Inputs'!$D$58*$AB$84</f>
        <v>82.5</v>
      </c>
      <c r="AC102" s="197">
        <f t="shared" si="295"/>
        <v>0</v>
      </c>
      <c r="AD102" s="197">
        <f>'Margins summary'!$Q$14</f>
        <v>220</v>
      </c>
      <c r="AE102" s="197">
        <f t="shared" si="252"/>
        <v>220</v>
      </c>
      <c r="AF102" s="197"/>
      <c r="AG102" s="897">
        <f>'Energy NPV'!U27</f>
        <v>0</v>
      </c>
      <c r="AH102" s="197"/>
      <c r="AI102" s="197">
        <f t="shared" si="230"/>
        <v>0</v>
      </c>
      <c r="AJ102" s="197">
        <f t="shared" si="231"/>
        <v>0</v>
      </c>
      <c r="AK102" s="197">
        <f t="shared" si="232"/>
        <v>220</v>
      </c>
      <c r="AL102" s="1008">
        <f t="shared" si="253"/>
        <v>0</v>
      </c>
      <c r="AM102" s="1011">
        <f t="shared" si="254"/>
        <v>127.04451822079727</v>
      </c>
      <c r="AN102" s="1011">
        <f t="shared" si="255"/>
        <v>0</v>
      </c>
      <c r="AO102" s="1011">
        <f t="shared" si="256"/>
        <v>0</v>
      </c>
      <c r="AP102" s="1013">
        <f t="shared" si="257"/>
        <v>127.04451822079727</v>
      </c>
      <c r="AQ102" s="196">
        <f t="shared" si="296"/>
        <v>7441.0743071608904</v>
      </c>
      <c r="AR102" s="197">
        <f t="shared" si="258"/>
        <v>2543.8870444800655</v>
      </c>
      <c r="AS102" s="197">
        <f t="shared" si="259"/>
        <v>3688.0865575609027</v>
      </c>
      <c r="AT102" s="197">
        <f t="shared" si="260"/>
        <v>3752.987749599989</v>
      </c>
      <c r="AU102" s="199">
        <f t="shared" si="261"/>
        <v>6296.8747940800567</v>
      </c>
      <c r="AX102" s="881">
        <v>15</v>
      </c>
      <c r="AY102" s="746">
        <f>'Energy NPV'!$D27</f>
        <v>0</v>
      </c>
      <c r="AZ102" s="197">
        <f>'Energy Inputs'!$D$58*$AZ$84</f>
        <v>27.5</v>
      </c>
      <c r="BA102" s="197">
        <f t="shared" si="297"/>
        <v>0</v>
      </c>
      <c r="BB102" s="197">
        <f>'Margins summary'!$Q$14</f>
        <v>220</v>
      </c>
      <c r="BC102" s="197">
        <f t="shared" si="262"/>
        <v>220</v>
      </c>
      <c r="BD102" s="197"/>
      <c r="BE102" s="897">
        <f>'Energy NPV'!U27</f>
        <v>0</v>
      </c>
      <c r="BF102" s="197"/>
      <c r="BG102" s="197">
        <f t="shared" si="233"/>
        <v>0</v>
      </c>
      <c r="BH102" s="197">
        <f t="shared" si="234"/>
        <v>0</v>
      </c>
      <c r="BI102" s="197">
        <f t="shared" si="235"/>
        <v>220</v>
      </c>
      <c r="BJ102" s="1008">
        <f t="shared" si="263"/>
        <v>0</v>
      </c>
      <c r="BK102" s="1011">
        <f t="shared" si="264"/>
        <v>127.04451822079727</v>
      </c>
      <c r="BL102" s="1011">
        <f t="shared" si="265"/>
        <v>0</v>
      </c>
      <c r="BM102" s="1011">
        <f t="shared" si="266"/>
        <v>0</v>
      </c>
      <c r="BN102" s="1013">
        <f t="shared" si="267"/>
        <v>127.04451822079727</v>
      </c>
      <c r="BO102" s="196">
        <f t="shared" si="268"/>
        <v>2480.3581023869638</v>
      </c>
      <c r="BP102" s="197">
        <f t="shared" si="269"/>
        <v>2543.8870444800655</v>
      </c>
      <c r="BQ102" s="197">
        <f t="shared" si="270"/>
        <v>3688.0865575609027</v>
      </c>
      <c r="BR102" s="197">
        <f t="shared" si="271"/>
        <v>-1207.7284551739385</v>
      </c>
      <c r="BS102" s="199">
        <f t="shared" si="272"/>
        <v>1336.1585893061272</v>
      </c>
      <c r="BV102" s="981">
        <v>15</v>
      </c>
      <c r="BW102" s="746">
        <f>'Energy NPV'!$D27</f>
        <v>0</v>
      </c>
      <c r="BX102" s="197">
        <f>'Energy Inputs'!$D$58*$BX$84</f>
        <v>110</v>
      </c>
      <c r="BY102" s="197">
        <f t="shared" si="298"/>
        <v>0</v>
      </c>
      <c r="BZ102" s="197">
        <f>'Margins summary'!$Q$14</f>
        <v>220</v>
      </c>
      <c r="CA102" s="197">
        <f t="shared" si="273"/>
        <v>220</v>
      </c>
      <c r="CB102" s="197"/>
      <c r="CC102" s="897">
        <f>'Energy NPV'!U27</f>
        <v>0</v>
      </c>
      <c r="CD102" s="197"/>
      <c r="CE102" s="197">
        <f t="shared" si="236"/>
        <v>0</v>
      </c>
      <c r="CF102" s="197">
        <f t="shared" si="237"/>
        <v>0</v>
      </c>
      <c r="CG102" s="197">
        <f t="shared" si="238"/>
        <v>220</v>
      </c>
      <c r="CH102" s="1008">
        <f t="shared" si="274"/>
        <v>0</v>
      </c>
      <c r="CI102" s="1011">
        <f t="shared" si="275"/>
        <v>127.04451822079727</v>
      </c>
      <c r="CJ102" s="1011">
        <f t="shared" si="276"/>
        <v>0</v>
      </c>
      <c r="CK102" s="1011">
        <f t="shared" si="277"/>
        <v>0</v>
      </c>
      <c r="CL102" s="1013">
        <f t="shared" si="278"/>
        <v>127.04451822079727</v>
      </c>
      <c r="CM102" s="196">
        <f t="shared" si="299"/>
        <v>9921.4324095478551</v>
      </c>
      <c r="CN102" s="197">
        <f t="shared" si="279"/>
        <v>2543.8870444800655</v>
      </c>
      <c r="CO102" s="197">
        <f t="shared" si="280"/>
        <v>3688.0865575609027</v>
      </c>
      <c r="CP102" s="197">
        <f t="shared" si="281"/>
        <v>6233.3458519869528</v>
      </c>
      <c r="CQ102" s="199">
        <f t="shared" si="282"/>
        <v>8777.2328964670196</v>
      </c>
      <c r="CT102" s="204">
        <f t="shared" si="300"/>
        <v>15</v>
      </c>
      <c r="CU102" s="746">
        <f>'Energy NPV'!$D27</f>
        <v>0</v>
      </c>
      <c r="CV102" s="197">
        <f>'Energy Inputs'!$D$58*$CV$84</f>
        <v>0</v>
      </c>
      <c r="CW102" s="197">
        <f t="shared" si="301"/>
        <v>0</v>
      </c>
      <c r="CX102" s="197">
        <f>'Margins summary'!$Q$14</f>
        <v>220</v>
      </c>
      <c r="CY102" s="197">
        <f t="shared" si="283"/>
        <v>220</v>
      </c>
      <c r="CZ102" s="197"/>
      <c r="DA102" s="897">
        <f>'Energy NPV'!U27</f>
        <v>0</v>
      </c>
      <c r="DB102" s="197"/>
      <c r="DC102" s="197">
        <f t="shared" si="239"/>
        <v>0</v>
      </c>
      <c r="DD102" s="197">
        <f t="shared" si="240"/>
        <v>0</v>
      </c>
      <c r="DE102" s="197">
        <f t="shared" si="241"/>
        <v>220</v>
      </c>
      <c r="DF102" s="1008">
        <f t="shared" si="284"/>
        <v>0</v>
      </c>
      <c r="DG102" s="1011">
        <f t="shared" si="285"/>
        <v>127.04451822079727</v>
      </c>
      <c r="DH102" s="1011">
        <f t="shared" si="286"/>
        <v>0</v>
      </c>
      <c r="DI102" s="1011">
        <f t="shared" si="287"/>
        <v>0</v>
      </c>
      <c r="DJ102" s="1013">
        <f t="shared" si="288"/>
        <v>127.04451822079727</v>
      </c>
      <c r="DK102" s="196">
        <f t="shared" si="302"/>
        <v>0</v>
      </c>
      <c r="DL102" s="197">
        <f t="shared" si="289"/>
        <v>2543.8870444800655</v>
      </c>
      <c r="DM102" s="197">
        <f t="shared" si="290"/>
        <v>3688.0865575609027</v>
      </c>
      <c r="DN102" s="197">
        <f t="shared" si="291"/>
        <v>-3688.0865575609027</v>
      </c>
      <c r="DO102" s="199">
        <f t="shared" si="292"/>
        <v>-1144.1995130808366</v>
      </c>
    </row>
    <row r="103" spans="2:177" x14ac:dyDescent="0.3">
      <c r="B103" s="882">
        <v>16</v>
      </c>
      <c r="C103" s="748">
        <f>'Energy NPV'!$D28</f>
        <v>30</v>
      </c>
      <c r="D103" s="207">
        <f>'Energy Inputs'!$D$58*$E$84</f>
        <v>55</v>
      </c>
      <c r="E103" s="207">
        <f t="shared" si="293"/>
        <v>1650</v>
      </c>
      <c r="F103" s="207">
        <f>'Margins summary'!$Q$14</f>
        <v>220</v>
      </c>
      <c r="G103" s="207">
        <f t="shared" si="242"/>
        <v>1870</v>
      </c>
      <c r="H103" s="207"/>
      <c r="I103" s="898">
        <f>'Energy NPV'!U28</f>
        <v>592.40499999999997</v>
      </c>
      <c r="J103" s="207">
        <f>'Energy margins'!$J$67</f>
        <v>170</v>
      </c>
      <c r="K103" s="207">
        <f t="shared" si="227"/>
        <v>762.40499999999997</v>
      </c>
      <c r="L103" s="207">
        <f t="shared" si="228"/>
        <v>887.59500000000003</v>
      </c>
      <c r="M103" s="207">
        <f t="shared" si="229"/>
        <v>1107.595</v>
      </c>
      <c r="N103" s="1009">
        <f t="shared" si="243"/>
        <v>916.18642947690341</v>
      </c>
      <c r="O103" s="748">
        <f t="shared" si="244"/>
        <v>122.15819059692046</v>
      </c>
      <c r="P103" s="748">
        <f t="shared" si="245"/>
        <v>423.33643319111428</v>
      </c>
      <c r="Q103" s="748">
        <f t="shared" si="246"/>
        <v>492.84999628578919</v>
      </c>
      <c r="R103" s="1014">
        <f>M103/((1+$B$4)^($B103-1))</f>
        <v>615.00818688270965</v>
      </c>
      <c r="S103" s="1004">
        <f>S102+N103</f>
        <v>5876.9026342508314</v>
      </c>
      <c r="T103" s="1005">
        <f t="shared" si="248"/>
        <v>2666.045235076986</v>
      </c>
      <c r="U103" s="1005">
        <f t="shared" si="249"/>
        <v>4111.4229907520166</v>
      </c>
      <c r="V103" s="1005">
        <f t="shared" si="250"/>
        <v>1765.4796434988143</v>
      </c>
      <c r="W103" s="1006">
        <f t="shared" si="251"/>
        <v>4431.5248785758004</v>
      </c>
      <c r="Z103" s="882">
        <v>16</v>
      </c>
      <c r="AA103" s="215">
        <f>'Energy NPV'!$D28</f>
        <v>30</v>
      </c>
      <c r="AB103" s="207">
        <f>'Energy Inputs'!$D$58*$AB$84</f>
        <v>82.5</v>
      </c>
      <c r="AC103" s="207">
        <f t="shared" si="295"/>
        <v>2475</v>
      </c>
      <c r="AD103" s="207">
        <f>'Margins summary'!$Q$14</f>
        <v>220</v>
      </c>
      <c r="AE103" s="207">
        <f t="shared" si="252"/>
        <v>2695</v>
      </c>
      <c r="AF103" s="207"/>
      <c r="AG103" s="898">
        <f>'Energy NPV'!U28</f>
        <v>592.40499999999997</v>
      </c>
      <c r="AH103" s="207">
        <f>J103</f>
        <v>170</v>
      </c>
      <c r="AI103" s="207">
        <f>AF103+AG103+AH103</f>
        <v>762.40499999999997</v>
      </c>
      <c r="AJ103" s="207">
        <f t="shared" si="231"/>
        <v>1712.595</v>
      </c>
      <c r="AK103" s="207">
        <f t="shared" si="232"/>
        <v>1932.595</v>
      </c>
      <c r="AL103" s="1009">
        <f t="shared" si="253"/>
        <v>1374.2796442153551</v>
      </c>
      <c r="AM103" s="748">
        <f t="shared" si="254"/>
        <v>122.15819059692046</v>
      </c>
      <c r="AN103" s="748">
        <f t="shared" si="255"/>
        <v>423.33643319111428</v>
      </c>
      <c r="AO103" s="748">
        <f t="shared" si="256"/>
        <v>950.9432110242409</v>
      </c>
      <c r="AP103" s="1014">
        <f t="shared" si="257"/>
        <v>1073.1014016211614</v>
      </c>
      <c r="AQ103" s="208">
        <f>AQ102+AL103</f>
        <v>8815.3539513762462</v>
      </c>
      <c r="AR103" s="207">
        <f t="shared" si="258"/>
        <v>2666.045235076986</v>
      </c>
      <c r="AS103" s="207">
        <f t="shared" si="259"/>
        <v>4111.4229907520166</v>
      </c>
      <c r="AT103" s="207">
        <f t="shared" si="260"/>
        <v>4703.9309606242296</v>
      </c>
      <c r="AU103" s="209">
        <f t="shared" si="261"/>
        <v>7369.9761957012179</v>
      </c>
      <c r="AX103" s="882">
        <v>16</v>
      </c>
      <c r="AY103" s="215">
        <f>'Energy NPV'!$D28</f>
        <v>30</v>
      </c>
      <c r="AZ103" s="207">
        <f>'Energy Inputs'!$D$58*$AZ$84</f>
        <v>27.5</v>
      </c>
      <c r="BA103" s="207">
        <f t="shared" si="297"/>
        <v>825</v>
      </c>
      <c r="BB103" s="207">
        <f>'Margins summary'!$Q$14</f>
        <v>220</v>
      </c>
      <c r="BC103" s="207">
        <f t="shared" si="262"/>
        <v>1045</v>
      </c>
      <c r="BD103" s="207"/>
      <c r="BE103" s="898">
        <f>'Energy NPV'!U28</f>
        <v>592.40499999999997</v>
      </c>
      <c r="BF103" s="207">
        <f>'Energy margins'!$J$67</f>
        <v>170</v>
      </c>
      <c r="BG103" s="207">
        <f t="shared" si="233"/>
        <v>762.40499999999997</v>
      </c>
      <c r="BH103" s="207">
        <f t="shared" si="234"/>
        <v>62.595000000000027</v>
      </c>
      <c r="BI103" s="207">
        <f t="shared" si="235"/>
        <v>282.59500000000003</v>
      </c>
      <c r="BJ103" s="1009">
        <f t="shared" si="263"/>
        <v>458.09321473845171</v>
      </c>
      <c r="BK103" s="748">
        <f t="shared" si="264"/>
        <v>122.15819059692046</v>
      </c>
      <c r="BL103" s="748">
        <f t="shared" si="265"/>
        <v>423.33643319111428</v>
      </c>
      <c r="BM103" s="748">
        <f t="shared" si="266"/>
        <v>34.756781547337454</v>
      </c>
      <c r="BN103" s="1014">
        <f t="shared" si="267"/>
        <v>156.91497214425792</v>
      </c>
      <c r="BO103" s="208">
        <f t="shared" si="268"/>
        <v>2938.4513171254157</v>
      </c>
      <c r="BP103" s="207">
        <f t="shared" si="269"/>
        <v>2666.045235076986</v>
      </c>
      <c r="BQ103" s="207">
        <f t="shared" si="270"/>
        <v>4111.4229907520166</v>
      </c>
      <c r="BR103" s="207">
        <f t="shared" si="271"/>
        <v>-1172.9716736266012</v>
      </c>
      <c r="BS103" s="209">
        <f t="shared" si="272"/>
        <v>1493.0735614503851</v>
      </c>
      <c r="BV103" s="982">
        <v>16</v>
      </c>
      <c r="BW103" s="215">
        <f>'Energy NPV'!$D28</f>
        <v>30</v>
      </c>
      <c r="BX103" s="207">
        <f>'Energy Inputs'!$D$58*$BX$84</f>
        <v>110</v>
      </c>
      <c r="BY103" s="207">
        <f t="shared" si="298"/>
        <v>3300</v>
      </c>
      <c r="BZ103" s="207">
        <f>'Margins summary'!$Q$14</f>
        <v>220</v>
      </c>
      <c r="CA103" s="207">
        <f t="shared" si="273"/>
        <v>3520</v>
      </c>
      <c r="CB103" s="207"/>
      <c r="CC103" s="898">
        <f>'Energy NPV'!U28</f>
        <v>592.40499999999997</v>
      </c>
      <c r="CD103" s="207">
        <f>'Energy margins'!$J$67</f>
        <v>170</v>
      </c>
      <c r="CE103" s="207">
        <f t="shared" si="236"/>
        <v>762.40499999999997</v>
      </c>
      <c r="CF103" s="207">
        <f t="shared" si="237"/>
        <v>2537.5950000000003</v>
      </c>
      <c r="CG103" s="207">
        <f t="shared" si="238"/>
        <v>2757.5950000000003</v>
      </c>
      <c r="CH103" s="1009">
        <f t="shared" si="274"/>
        <v>1832.3728589538068</v>
      </c>
      <c r="CI103" s="748">
        <f t="shared" si="275"/>
        <v>122.15819059692046</v>
      </c>
      <c r="CJ103" s="748">
        <f t="shared" si="276"/>
        <v>423.33643319111428</v>
      </c>
      <c r="CK103" s="748">
        <f t="shared" si="277"/>
        <v>1409.0364257626927</v>
      </c>
      <c r="CL103" s="1014">
        <f t="shared" si="278"/>
        <v>1531.1946163596131</v>
      </c>
      <c r="CM103" s="208">
        <f t="shared" si="299"/>
        <v>11753.805268501663</v>
      </c>
      <c r="CN103" s="207">
        <f t="shared" si="279"/>
        <v>2666.045235076986</v>
      </c>
      <c r="CO103" s="207">
        <f t="shared" si="280"/>
        <v>4111.4229907520166</v>
      </c>
      <c r="CP103" s="207">
        <f t="shared" si="281"/>
        <v>7642.3822777496453</v>
      </c>
      <c r="CQ103" s="209">
        <f t="shared" si="282"/>
        <v>10308.427512826633</v>
      </c>
      <c r="CT103" s="206">
        <f t="shared" si="300"/>
        <v>16</v>
      </c>
      <c r="CU103" s="215">
        <f>'Energy NPV'!$D28</f>
        <v>30</v>
      </c>
      <c r="CV103" s="207">
        <f>'Energy Inputs'!$D$58*$CV$84</f>
        <v>0</v>
      </c>
      <c r="CW103" s="207">
        <f t="shared" si="301"/>
        <v>0</v>
      </c>
      <c r="CX103" s="207">
        <f>'Margins summary'!$Q$14</f>
        <v>220</v>
      </c>
      <c r="CY103" s="207">
        <f t="shared" si="283"/>
        <v>220</v>
      </c>
      <c r="CZ103" s="207"/>
      <c r="DA103" s="898">
        <f>'Energy NPV'!U28</f>
        <v>592.40499999999997</v>
      </c>
      <c r="DB103" s="207">
        <f>'Energy margins'!$J$67</f>
        <v>170</v>
      </c>
      <c r="DC103" s="207">
        <f t="shared" si="239"/>
        <v>762.40499999999997</v>
      </c>
      <c r="DD103" s="207">
        <f t="shared" si="240"/>
        <v>-762.40499999999997</v>
      </c>
      <c r="DE103" s="207">
        <f t="shared" si="241"/>
        <v>-542.40499999999997</v>
      </c>
      <c r="DF103" s="1009">
        <f t="shared" si="284"/>
        <v>0</v>
      </c>
      <c r="DG103" s="748">
        <f t="shared" si="285"/>
        <v>122.15819059692046</v>
      </c>
      <c r="DH103" s="748">
        <f t="shared" si="286"/>
        <v>423.33643319111428</v>
      </c>
      <c r="DI103" s="748">
        <f t="shared" si="287"/>
        <v>-423.33643319111428</v>
      </c>
      <c r="DJ103" s="1014">
        <f t="shared" si="288"/>
        <v>-301.17824259419382</v>
      </c>
      <c r="DK103" s="208">
        <f t="shared" si="302"/>
        <v>0</v>
      </c>
      <c r="DL103" s="207">
        <f t="shared" si="289"/>
        <v>2666.045235076986</v>
      </c>
      <c r="DM103" s="207">
        <f t="shared" si="290"/>
        <v>4111.4229907520166</v>
      </c>
      <c r="DN103" s="207">
        <f t="shared" si="291"/>
        <v>-4111.4229907520166</v>
      </c>
      <c r="DO103" s="209">
        <f t="shared" si="292"/>
        <v>-1445.3777556750304</v>
      </c>
    </row>
    <row r="109" spans="2:177" x14ac:dyDescent="0.3">
      <c r="B109" s="211" t="s">
        <v>95</v>
      </c>
      <c r="C109" s="750" t="s">
        <v>407</v>
      </c>
      <c r="D109" s="269" t="s">
        <v>418</v>
      </c>
      <c r="E109" s="887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Y109" s="102"/>
      <c r="Z109" s="211" t="s">
        <v>95</v>
      </c>
      <c r="AA109" s="211" t="s">
        <v>327</v>
      </c>
      <c r="AB109" s="890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95</v>
      </c>
      <c r="AY109" s="211" t="s">
        <v>333</v>
      </c>
      <c r="AZ109" s="889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95</v>
      </c>
      <c r="BW109" s="211" t="s">
        <v>334</v>
      </c>
      <c r="BX109" s="889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95</v>
      </c>
      <c r="CU109" s="211" t="s">
        <v>335</v>
      </c>
      <c r="CV109" s="889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  <c r="EB109" s="102"/>
      <c r="EC109" s="102"/>
      <c r="ED109" s="102"/>
      <c r="EE109" s="102"/>
      <c r="EF109" s="102"/>
      <c r="EG109" s="102"/>
      <c r="EH109" s="102"/>
      <c r="EI109" s="102"/>
      <c r="EJ109" s="102"/>
      <c r="EK109" s="102"/>
      <c r="EL109" s="102"/>
      <c r="FK109" s="102"/>
      <c r="FL109" s="102"/>
      <c r="FM109" s="102"/>
      <c r="FN109" s="102"/>
      <c r="FO109" s="102"/>
      <c r="FP109" s="102"/>
      <c r="FQ109" s="102"/>
      <c r="FR109" s="102"/>
      <c r="FS109" s="102"/>
      <c r="FT109" s="102"/>
      <c r="FU109" s="102"/>
    </row>
    <row r="110" spans="2:177" x14ac:dyDescent="0.3">
      <c r="B110" s="203"/>
      <c r="C110" s="148"/>
      <c r="D110" s="148"/>
      <c r="E110" s="970"/>
      <c r="F110" s="970"/>
      <c r="G110" s="970"/>
      <c r="H110" s="148"/>
      <c r="I110" s="910"/>
      <c r="J110" s="970"/>
      <c r="K110" s="970"/>
      <c r="L110" s="148"/>
      <c r="M110" s="148"/>
      <c r="N110" s="971" t="s">
        <v>279</v>
      </c>
      <c r="O110" s="972"/>
      <c r="P110" s="972"/>
      <c r="Q110" s="972"/>
      <c r="R110" s="973"/>
      <c r="S110" s="971" t="s">
        <v>280</v>
      </c>
      <c r="T110" s="972"/>
      <c r="U110" s="972"/>
      <c r="V110" s="972"/>
      <c r="W110" s="973"/>
      <c r="Z110" s="203"/>
      <c r="AA110" s="148"/>
      <c r="AB110" s="148"/>
      <c r="AC110" s="966"/>
      <c r="AD110" s="966"/>
      <c r="AE110" s="966"/>
      <c r="AF110" s="148"/>
      <c r="AG110" s="977"/>
      <c r="AH110" s="745"/>
      <c r="AI110" s="745"/>
      <c r="AJ110" s="148"/>
      <c r="AK110" s="148"/>
      <c r="AL110" s="971" t="s">
        <v>279</v>
      </c>
      <c r="AM110" s="972"/>
      <c r="AN110" s="972"/>
      <c r="AO110" s="972"/>
      <c r="AP110" s="973"/>
      <c r="AQ110" s="971" t="s">
        <v>280</v>
      </c>
      <c r="AR110" s="972"/>
      <c r="AS110" s="972"/>
      <c r="AT110" s="972"/>
      <c r="AU110" s="973"/>
      <c r="AX110" s="203"/>
      <c r="AY110" s="148"/>
      <c r="AZ110" s="148"/>
      <c r="BA110" s="970"/>
      <c r="BB110" s="970"/>
      <c r="BC110" s="970"/>
      <c r="BD110" s="148"/>
      <c r="BE110" s="910"/>
      <c r="BF110" s="970"/>
      <c r="BG110" s="970"/>
      <c r="BH110" s="148"/>
      <c r="BI110" s="148"/>
      <c r="BJ110" s="222" t="s">
        <v>279</v>
      </c>
      <c r="BK110" s="221"/>
      <c r="BL110" s="221"/>
      <c r="BM110" s="221"/>
      <c r="BN110" s="978"/>
      <c r="BO110" s="222" t="s">
        <v>280</v>
      </c>
      <c r="BP110" s="221"/>
      <c r="BQ110" s="221"/>
      <c r="BR110" s="221"/>
      <c r="BS110" s="978"/>
      <c r="BV110" s="203"/>
      <c r="BW110" s="148"/>
      <c r="BX110" s="148"/>
      <c r="BY110" s="970"/>
      <c r="BZ110" s="970"/>
      <c r="CA110" s="970"/>
      <c r="CB110" s="148"/>
      <c r="CC110" s="910"/>
      <c r="CD110" s="970"/>
      <c r="CE110" s="970"/>
      <c r="CF110" s="148"/>
      <c r="CG110" s="148"/>
      <c r="CH110" s="971" t="s">
        <v>279</v>
      </c>
      <c r="CI110" s="972"/>
      <c r="CJ110" s="972"/>
      <c r="CK110" s="972"/>
      <c r="CL110" s="973"/>
      <c r="CM110" s="971" t="s">
        <v>280</v>
      </c>
      <c r="CN110" s="972"/>
      <c r="CO110" s="972"/>
      <c r="CP110" s="972"/>
      <c r="CQ110" s="973"/>
      <c r="CT110" s="203"/>
      <c r="CU110" s="148"/>
      <c r="CV110" s="148"/>
      <c r="CW110" s="970"/>
      <c r="CX110" s="970"/>
      <c r="CY110" s="970"/>
      <c r="CZ110" s="148"/>
      <c r="DA110" s="910"/>
      <c r="DB110" s="970"/>
      <c r="DC110" s="970"/>
      <c r="DD110" s="148"/>
      <c r="DE110" s="148"/>
      <c r="DF110" s="971" t="s">
        <v>279</v>
      </c>
      <c r="DG110" s="972"/>
      <c r="DH110" s="972"/>
      <c r="DI110" s="972"/>
      <c r="DJ110" s="973"/>
      <c r="DK110" s="971" t="s">
        <v>280</v>
      </c>
      <c r="DL110" s="972"/>
      <c r="DM110" s="972"/>
      <c r="DN110" s="972"/>
      <c r="DO110" s="973"/>
    </row>
    <row r="111" spans="2:177" ht="51" x14ac:dyDescent="0.3">
      <c r="B111" s="204" t="s">
        <v>281</v>
      </c>
      <c r="C111" s="205" t="s">
        <v>307</v>
      </c>
      <c r="D111" s="205" t="s">
        <v>308</v>
      </c>
      <c r="E111" s="171" t="s">
        <v>283</v>
      </c>
      <c r="F111" s="171" t="s">
        <v>10</v>
      </c>
      <c r="G111" s="171" t="s">
        <v>284</v>
      </c>
      <c r="H111" s="205" t="s">
        <v>305</v>
      </c>
      <c r="I111" s="914" t="str">
        <f>'Energy NPV'!U37</f>
        <v>Total Recurring Costs</v>
      </c>
      <c r="J111" s="205" t="s">
        <v>309</v>
      </c>
      <c r="K111" s="171" t="s">
        <v>287</v>
      </c>
      <c r="L111" s="171" t="s">
        <v>288</v>
      </c>
      <c r="M111" s="171" t="s">
        <v>289</v>
      </c>
      <c r="N111" s="195" t="s">
        <v>290</v>
      </c>
      <c r="O111" s="171" t="s">
        <v>291</v>
      </c>
      <c r="P111" s="171" t="s">
        <v>292</v>
      </c>
      <c r="Q111" s="171" t="s">
        <v>293</v>
      </c>
      <c r="R111" s="198" t="s">
        <v>294</v>
      </c>
      <c r="S111" s="195" t="s">
        <v>295</v>
      </c>
      <c r="T111" s="171" t="s">
        <v>296</v>
      </c>
      <c r="U111" s="171" t="s">
        <v>297</v>
      </c>
      <c r="V111" s="171" t="s">
        <v>298</v>
      </c>
      <c r="W111" s="198" t="s">
        <v>299</v>
      </c>
      <c r="Z111" s="204" t="s">
        <v>281</v>
      </c>
      <c r="AA111" s="205" t="s">
        <v>307</v>
      </c>
      <c r="AB111" s="205" t="s">
        <v>308</v>
      </c>
      <c r="AC111" s="171" t="s">
        <v>283</v>
      </c>
      <c r="AD111" s="171" t="s">
        <v>10</v>
      </c>
      <c r="AE111" s="171" t="s">
        <v>284</v>
      </c>
      <c r="AF111" s="205" t="s">
        <v>305</v>
      </c>
      <c r="AG111" s="914" t="str">
        <f>'Energy NPV'!U37</f>
        <v>Total Recurring Costs</v>
      </c>
      <c r="AH111" s="205" t="str">
        <f>J111</f>
        <v>Total Decomm. Costs</v>
      </c>
      <c r="AI111" s="171" t="s">
        <v>287</v>
      </c>
      <c r="AJ111" s="171" t="s">
        <v>288</v>
      </c>
      <c r="AK111" s="171" t="s">
        <v>289</v>
      </c>
      <c r="AL111" s="195" t="s">
        <v>290</v>
      </c>
      <c r="AM111" s="171" t="s">
        <v>291</v>
      </c>
      <c r="AN111" s="171" t="s">
        <v>292</v>
      </c>
      <c r="AO111" s="171" t="s">
        <v>293</v>
      </c>
      <c r="AP111" s="198" t="s">
        <v>294</v>
      </c>
      <c r="AQ111" s="195" t="s">
        <v>295</v>
      </c>
      <c r="AR111" s="171" t="s">
        <v>296</v>
      </c>
      <c r="AS111" s="171" t="s">
        <v>297</v>
      </c>
      <c r="AT111" s="171" t="s">
        <v>298</v>
      </c>
      <c r="AU111" s="198" t="s">
        <v>299</v>
      </c>
      <c r="AX111" s="204" t="s">
        <v>281</v>
      </c>
      <c r="AY111" s="205" t="s">
        <v>307</v>
      </c>
      <c r="AZ111" s="205" t="s">
        <v>308</v>
      </c>
      <c r="BA111" s="171" t="s">
        <v>283</v>
      </c>
      <c r="BB111" s="171" t="s">
        <v>10</v>
      </c>
      <c r="BC111" s="171" t="s">
        <v>284</v>
      </c>
      <c r="BD111" s="205" t="s">
        <v>305</v>
      </c>
      <c r="BE111" s="914" t="str">
        <f>'Energy NPV'!U37</f>
        <v>Total Recurring Costs</v>
      </c>
      <c r="BF111" s="205" t="s">
        <v>309</v>
      </c>
      <c r="BG111" s="171" t="s">
        <v>287</v>
      </c>
      <c r="BH111" s="171" t="s">
        <v>288</v>
      </c>
      <c r="BI111" s="171" t="s">
        <v>289</v>
      </c>
      <c r="BJ111" s="195" t="s">
        <v>290</v>
      </c>
      <c r="BK111" s="171" t="s">
        <v>291</v>
      </c>
      <c r="BL111" s="171" t="s">
        <v>292</v>
      </c>
      <c r="BM111" s="171" t="s">
        <v>293</v>
      </c>
      <c r="BN111" s="198" t="s">
        <v>294</v>
      </c>
      <c r="BO111" s="195" t="s">
        <v>295</v>
      </c>
      <c r="BP111" s="171" t="s">
        <v>296</v>
      </c>
      <c r="BQ111" s="171" t="s">
        <v>297</v>
      </c>
      <c r="BR111" s="171" t="s">
        <v>298</v>
      </c>
      <c r="BS111" s="198" t="s">
        <v>299</v>
      </c>
      <c r="BV111" s="204" t="s">
        <v>281</v>
      </c>
      <c r="BW111" s="205" t="s">
        <v>307</v>
      </c>
      <c r="BX111" s="205" t="s">
        <v>308</v>
      </c>
      <c r="BY111" s="171" t="s">
        <v>283</v>
      </c>
      <c r="BZ111" s="171" t="s">
        <v>10</v>
      </c>
      <c r="CA111" s="171" t="s">
        <v>284</v>
      </c>
      <c r="CB111" s="205" t="s">
        <v>305</v>
      </c>
      <c r="CC111" s="914" t="str">
        <f>'Energy NPV'!U37</f>
        <v>Total Recurring Costs</v>
      </c>
      <c r="CD111" s="205" t="s">
        <v>309</v>
      </c>
      <c r="CE111" s="171" t="s">
        <v>287</v>
      </c>
      <c r="CF111" s="171" t="s">
        <v>288</v>
      </c>
      <c r="CG111" s="171" t="s">
        <v>289</v>
      </c>
      <c r="CH111" s="195" t="s">
        <v>290</v>
      </c>
      <c r="CI111" s="171" t="s">
        <v>291</v>
      </c>
      <c r="CJ111" s="171" t="s">
        <v>292</v>
      </c>
      <c r="CK111" s="171" t="s">
        <v>293</v>
      </c>
      <c r="CL111" s="198" t="s">
        <v>294</v>
      </c>
      <c r="CM111" s="195" t="s">
        <v>295</v>
      </c>
      <c r="CN111" s="171" t="s">
        <v>296</v>
      </c>
      <c r="CO111" s="171" t="s">
        <v>297</v>
      </c>
      <c r="CP111" s="171" t="s">
        <v>298</v>
      </c>
      <c r="CQ111" s="198" t="s">
        <v>299</v>
      </c>
      <c r="CT111" s="204" t="s">
        <v>281</v>
      </c>
      <c r="CU111" s="205" t="s">
        <v>307</v>
      </c>
      <c r="CV111" s="205" t="s">
        <v>308</v>
      </c>
      <c r="CW111" s="171" t="s">
        <v>283</v>
      </c>
      <c r="CX111" s="171" t="s">
        <v>10</v>
      </c>
      <c r="CY111" s="171" t="s">
        <v>284</v>
      </c>
      <c r="CZ111" s="205" t="s">
        <v>305</v>
      </c>
      <c r="DA111" s="914" t="str">
        <f>'Energy NPV'!U37</f>
        <v>Total Recurring Costs</v>
      </c>
      <c r="DB111" s="205" t="s">
        <v>309</v>
      </c>
      <c r="DC111" s="171" t="s">
        <v>287</v>
      </c>
      <c r="DD111" s="171" t="s">
        <v>288</v>
      </c>
      <c r="DE111" s="171" t="s">
        <v>289</v>
      </c>
      <c r="DF111" s="195" t="s">
        <v>290</v>
      </c>
      <c r="DG111" s="171" t="s">
        <v>291</v>
      </c>
      <c r="DH111" s="171" t="s">
        <v>292</v>
      </c>
      <c r="DI111" s="171" t="s">
        <v>293</v>
      </c>
      <c r="DJ111" s="198" t="s">
        <v>294</v>
      </c>
      <c r="DK111" s="195" t="s">
        <v>295</v>
      </c>
      <c r="DL111" s="171" t="s">
        <v>296</v>
      </c>
      <c r="DM111" s="171" t="s">
        <v>297</v>
      </c>
      <c r="DN111" s="171" t="s">
        <v>298</v>
      </c>
      <c r="DO111" s="198" t="s">
        <v>299</v>
      </c>
    </row>
    <row r="112" spans="2:177" x14ac:dyDescent="0.3">
      <c r="B112" s="173"/>
      <c r="C112" s="226" t="s">
        <v>356</v>
      </c>
      <c r="D112" s="226" t="s">
        <v>476</v>
      </c>
      <c r="E112" s="201" t="s">
        <v>474</v>
      </c>
      <c r="F112" s="201" t="s">
        <v>474</v>
      </c>
      <c r="G112" s="201" t="s">
        <v>474</v>
      </c>
      <c r="H112" s="201" t="s">
        <v>474</v>
      </c>
      <c r="I112" s="948" t="str">
        <f>'Energy NPV'!U38</f>
        <v>(£ ha-1)</v>
      </c>
      <c r="J112" s="201" t="s">
        <v>474</v>
      </c>
      <c r="K112" s="201" t="s">
        <v>474</v>
      </c>
      <c r="L112" s="201" t="s">
        <v>474</v>
      </c>
      <c r="M112" s="202" t="s">
        <v>474</v>
      </c>
      <c r="N112" s="201" t="s">
        <v>474</v>
      </c>
      <c r="O112" s="201" t="s">
        <v>474</v>
      </c>
      <c r="P112" s="201" t="s">
        <v>474</v>
      </c>
      <c r="Q112" s="201" t="s">
        <v>474</v>
      </c>
      <c r="R112" s="202" t="s">
        <v>474</v>
      </c>
      <c r="S112" s="201" t="s">
        <v>474</v>
      </c>
      <c r="T112" s="201" t="s">
        <v>474</v>
      </c>
      <c r="U112" s="201" t="s">
        <v>474</v>
      </c>
      <c r="V112" s="201" t="s">
        <v>474</v>
      </c>
      <c r="W112" s="202" t="s">
        <v>474</v>
      </c>
      <c r="Z112" s="173"/>
      <c r="AA112" s="226" t="s">
        <v>356</v>
      </c>
      <c r="AB112" s="226" t="s">
        <v>476</v>
      </c>
      <c r="AC112" s="201" t="s">
        <v>474</v>
      </c>
      <c r="AD112" s="201" t="s">
        <v>474</v>
      </c>
      <c r="AE112" s="201" t="s">
        <v>474</v>
      </c>
      <c r="AF112" s="201" t="s">
        <v>474</v>
      </c>
      <c r="AG112" s="948" t="str">
        <f>'Energy NPV'!U38</f>
        <v>(£ ha-1)</v>
      </c>
      <c r="AH112" s="201" t="str">
        <f>J112</f>
        <v>(£ ha-1)</v>
      </c>
      <c r="AI112" s="201" t="s">
        <v>474</v>
      </c>
      <c r="AJ112" s="201" t="s">
        <v>474</v>
      </c>
      <c r="AK112" s="202" t="s">
        <v>474</v>
      </c>
      <c r="AL112" s="201" t="s">
        <v>474</v>
      </c>
      <c r="AM112" s="201" t="s">
        <v>474</v>
      </c>
      <c r="AN112" s="201" t="s">
        <v>474</v>
      </c>
      <c r="AO112" s="201" t="s">
        <v>474</v>
      </c>
      <c r="AP112" s="202" t="s">
        <v>474</v>
      </c>
      <c r="AQ112" s="201" t="s">
        <v>474</v>
      </c>
      <c r="AR112" s="201" t="s">
        <v>474</v>
      </c>
      <c r="AS112" s="201" t="s">
        <v>474</v>
      </c>
      <c r="AT112" s="201" t="s">
        <v>474</v>
      </c>
      <c r="AU112" s="202" t="s">
        <v>474</v>
      </c>
      <c r="AX112" s="173"/>
      <c r="AY112" s="226" t="s">
        <v>356</v>
      </c>
      <c r="AZ112" s="226" t="s">
        <v>476</v>
      </c>
      <c r="BA112" s="201" t="s">
        <v>474</v>
      </c>
      <c r="BB112" s="201" t="s">
        <v>474</v>
      </c>
      <c r="BC112" s="201" t="s">
        <v>474</v>
      </c>
      <c r="BD112" s="201" t="s">
        <v>474</v>
      </c>
      <c r="BE112" s="948" t="str">
        <f>'Energy NPV'!U38</f>
        <v>(£ ha-1)</v>
      </c>
      <c r="BF112" s="201" t="s">
        <v>474</v>
      </c>
      <c r="BG112" s="201" t="s">
        <v>474</v>
      </c>
      <c r="BH112" s="201" t="s">
        <v>474</v>
      </c>
      <c r="BI112" s="202" t="s">
        <v>474</v>
      </c>
      <c r="BJ112" s="201" t="s">
        <v>474</v>
      </c>
      <c r="BK112" s="201" t="s">
        <v>474</v>
      </c>
      <c r="BL112" s="201" t="s">
        <v>474</v>
      </c>
      <c r="BM112" s="201" t="s">
        <v>474</v>
      </c>
      <c r="BN112" s="202" t="s">
        <v>474</v>
      </c>
      <c r="BO112" s="201" t="s">
        <v>474</v>
      </c>
      <c r="BP112" s="201" t="s">
        <v>474</v>
      </c>
      <c r="BQ112" s="201" t="s">
        <v>474</v>
      </c>
      <c r="BR112" s="201" t="s">
        <v>474</v>
      </c>
      <c r="BS112" s="202" t="s">
        <v>474</v>
      </c>
      <c r="BV112" s="173"/>
      <c r="BW112" s="226" t="s">
        <v>356</v>
      </c>
      <c r="BX112" s="226" t="s">
        <v>476</v>
      </c>
      <c r="BY112" s="201" t="s">
        <v>474</v>
      </c>
      <c r="BZ112" s="201" t="s">
        <v>474</v>
      </c>
      <c r="CA112" s="201" t="s">
        <v>474</v>
      </c>
      <c r="CB112" s="201" t="s">
        <v>474</v>
      </c>
      <c r="CC112" s="948" t="str">
        <f>'Energy NPV'!U38</f>
        <v>(£ ha-1)</v>
      </c>
      <c r="CD112" s="201" t="s">
        <v>474</v>
      </c>
      <c r="CE112" s="201" t="s">
        <v>474</v>
      </c>
      <c r="CF112" s="201" t="s">
        <v>474</v>
      </c>
      <c r="CG112" s="202" t="s">
        <v>474</v>
      </c>
      <c r="CH112" s="201" t="s">
        <v>474</v>
      </c>
      <c r="CI112" s="201" t="s">
        <v>474</v>
      </c>
      <c r="CJ112" s="201" t="s">
        <v>474</v>
      </c>
      <c r="CK112" s="201" t="s">
        <v>474</v>
      </c>
      <c r="CL112" s="202" t="s">
        <v>474</v>
      </c>
      <c r="CM112" s="201" t="s">
        <v>474</v>
      </c>
      <c r="CN112" s="201" t="s">
        <v>474</v>
      </c>
      <c r="CO112" s="201" t="s">
        <v>474</v>
      </c>
      <c r="CP112" s="201" t="s">
        <v>474</v>
      </c>
      <c r="CQ112" s="202" t="s">
        <v>474</v>
      </c>
      <c r="CT112" s="173"/>
      <c r="CU112" s="226" t="s">
        <v>356</v>
      </c>
      <c r="CV112" s="226" t="s">
        <v>476</v>
      </c>
      <c r="CW112" s="201" t="s">
        <v>474</v>
      </c>
      <c r="CX112" s="201" t="s">
        <v>474</v>
      </c>
      <c r="CY112" s="201" t="s">
        <v>474</v>
      </c>
      <c r="CZ112" s="201" t="s">
        <v>474</v>
      </c>
      <c r="DA112" s="948" t="str">
        <f>'Energy NPV'!U38</f>
        <v>(£ ha-1)</v>
      </c>
      <c r="DB112" s="201" t="s">
        <v>474</v>
      </c>
      <c r="DC112" s="201" t="s">
        <v>474</v>
      </c>
      <c r="DD112" s="201" t="s">
        <v>474</v>
      </c>
      <c r="DE112" s="202" t="s">
        <v>474</v>
      </c>
      <c r="DF112" s="201" t="s">
        <v>474</v>
      </c>
      <c r="DG112" s="201" t="s">
        <v>474</v>
      </c>
      <c r="DH112" s="201" t="s">
        <v>474</v>
      </c>
      <c r="DI112" s="201" t="s">
        <v>474</v>
      </c>
      <c r="DJ112" s="202" t="s">
        <v>474</v>
      </c>
      <c r="DK112" s="201" t="s">
        <v>474</v>
      </c>
      <c r="DL112" s="201" t="s">
        <v>474</v>
      </c>
      <c r="DM112" s="201" t="s">
        <v>474</v>
      </c>
      <c r="DN112" s="201" t="s">
        <v>474</v>
      </c>
      <c r="DO112" s="202" t="s">
        <v>474</v>
      </c>
    </row>
    <row r="113" spans="2:119" x14ac:dyDescent="0.3">
      <c r="B113" s="880">
        <v>1</v>
      </c>
      <c r="C113" s="747">
        <f>'Energy NPV'!$D39</f>
        <v>0.6</v>
      </c>
      <c r="D113" s="197">
        <f>'Energy Inputs'!$E$58*$E$109</f>
        <v>55</v>
      </c>
      <c r="E113" s="197">
        <f>C113*D113</f>
        <v>33</v>
      </c>
      <c r="F113" s="197">
        <f>'Margins summary'!$S$14</f>
        <v>220</v>
      </c>
      <c r="G113" s="197">
        <f>E113+F113</f>
        <v>253</v>
      </c>
      <c r="H113" s="197">
        <f>'Margins summary'!$R$20</f>
        <v>1993.8119999999999</v>
      </c>
      <c r="I113" s="897">
        <f>'Energy NPV'!U39</f>
        <v>0</v>
      </c>
      <c r="J113" s="197"/>
      <c r="K113" s="197">
        <f t="shared" ref="K113:K128" si="303">H113+I113+J113</f>
        <v>1993.8119999999999</v>
      </c>
      <c r="L113" s="197">
        <f t="shared" ref="L113:L128" si="304">E113-K113</f>
        <v>-1960.8119999999999</v>
      </c>
      <c r="M113" s="197">
        <f t="shared" ref="M113:M128" si="305">G113-K113</f>
        <v>-1740.8119999999999</v>
      </c>
      <c r="N113" s="1016">
        <f>E113/((1+$B$4)^($B113-1))</f>
        <v>33</v>
      </c>
      <c r="O113" s="213">
        <f>F113/((1+$B$4)^($B113-1))</f>
        <v>220</v>
      </c>
      <c r="P113" s="213">
        <f>K113/((1+$B$4)^($B113-1))</f>
        <v>1993.8119999999999</v>
      </c>
      <c r="Q113" s="213">
        <f>L113/((1+$B$4)^($B113-1))</f>
        <v>-1960.8119999999999</v>
      </c>
      <c r="R113" s="908">
        <f>M113/((1+$B$4)^($B113-1))</f>
        <v>-1740.8119999999999</v>
      </c>
      <c r="S113" s="196">
        <f>N113</f>
        <v>33</v>
      </c>
      <c r="T113" s="197">
        <f>O113</f>
        <v>220</v>
      </c>
      <c r="U113" s="197">
        <f>P113</f>
        <v>1993.8119999999999</v>
      </c>
      <c r="V113" s="197">
        <f>Q113</f>
        <v>-1960.8119999999999</v>
      </c>
      <c r="W113" s="199">
        <f>R113</f>
        <v>-1740.8119999999999</v>
      </c>
      <c r="Z113" s="880">
        <v>1</v>
      </c>
      <c r="AA113" s="747">
        <f t="shared" ref="AA113:AA128" si="306">$C113</f>
        <v>0.6</v>
      </c>
      <c r="AB113" s="197">
        <f>'Energy Inputs'!$E$58*$AB$109</f>
        <v>82.5</v>
      </c>
      <c r="AC113" s="197">
        <f>AA113*AB113</f>
        <v>49.5</v>
      </c>
      <c r="AD113" s="197">
        <f>'Margins summary'!$S$14</f>
        <v>220</v>
      </c>
      <c r="AE113" s="197">
        <f>AC113+AD113</f>
        <v>269.5</v>
      </c>
      <c r="AF113" s="197">
        <f>'Margins summary'!$R$20</f>
        <v>1993.8119999999999</v>
      </c>
      <c r="AG113" s="897">
        <f>'Energy NPV'!U39</f>
        <v>0</v>
      </c>
      <c r="AH113" s="197"/>
      <c r="AI113" s="197">
        <f t="shared" ref="AI113:AI127" si="307">AF113+AG113</f>
        <v>1993.8119999999999</v>
      </c>
      <c r="AJ113" s="197">
        <f t="shared" ref="AJ113:AJ128" si="308">AC113-AI113</f>
        <v>-1944.3119999999999</v>
      </c>
      <c r="AK113" s="197">
        <f t="shared" ref="AK113:AK128" si="309">AE113-AI113</f>
        <v>-1724.3119999999999</v>
      </c>
      <c r="AL113" s="1016">
        <f>AC113/((1+$B$4)^($Z113-1))</f>
        <v>49.5</v>
      </c>
      <c r="AM113" s="213">
        <f>AD113/((1+$B$4)^($Z113-1))</f>
        <v>220</v>
      </c>
      <c r="AN113" s="213">
        <f>AI113/((1+$B$4)^($Z113-1))</f>
        <v>1993.8119999999999</v>
      </c>
      <c r="AO113" s="213">
        <f>AJ113/((1+$B$4)^($Z113-1))</f>
        <v>-1944.3119999999999</v>
      </c>
      <c r="AP113" s="908">
        <f>AK113/((1+$B$4)^($Z113-1))</f>
        <v>-1724.3119999999999</v>
      </c>
      <c r="AQ113" s="196">
        <f>AL113</f>
        <v>49.5</v>
      </c>
      <c r="AR113" s="197">
        <f>AM113</f>
        <v>220</v>
      </c>
      <c r="AS113" s="197">
        <f>AN113</f>
        <v>1993.8119999999999</v>
      </c>
      <c r="AT113" s="197">
        <f>AO113</f>
        <v>-1944.3119999999999</v>
      </c>
      <c r="AU113" s="199">
        <f>AP113</f>
        <v>-1724.3119999999999</v>
      </c>
      <c r="AX113" s="880">
        <v>1</v>
      </c>
      <c r="AY113" s="747">
        <f t="shared" ref="AY113:AY128" si="310">$C113</f>
        <v>0.6</v>
      </c>
      <c r="AZ113" s="197">
        <f>'Energy Inputs'!$E$58*$AZ$109</f>
        <v>27.5</v>
      </c>
      <c r="BA113" s="197">
        <f>AY113*AZ113</f>
        <v>16.5</v>
      </c>
      <c r="BB113" s="197">
        <f>'Margins summary'!$S$14</f>
        <v>220</v>
      </c>
      <c r="BC113" s="197">
        <f>BA113+BB113</f>
        <v>236.5</v>
      </c>
      <c r="BD113" s="197">
        <f>'Margins summary'!$R$20</f>
        <v>1993.8119999999999</v>
      </c>
      <c r="BE113" s="897">
        <f>'Energy NPV'!U39</f>
        <v>0</v>
      </c>
      <c r="BF113" s="197"/>
      <c r="BG113" s="197">
        <f t="shared" ref="BG113:BG128" si="311">BD113+BE113+BF113</f>
        <v>1993.8119999999999</v>
      </c>
      <c r="BH113" s="197">
        <f t="shared" ref="BH113:BH128" si="312">BA113-BG113</f>
        <v>-1977.3119999999999</v>
      </c>
      <c r="BI113" s="197">
        <f t="shared" ref="BI113:BI128" si="313">BC113-BG113</f>
        <v>-1757.3119999999999</v>
      </c>
      <c r="BJ113" s="1016">
        <f>BA113/((1+$B$4)^($AX113-1))</f>
        <v>16.5</v>
      </c>
      <c r="BK113" s="213">
        <f>BB113/((1+$B$4)^($AX113-1))</f>
        <v>220</v>
      </c>
      <c r="BL113" s="213">
        <f>BG113/((1+$B$4)^($AX113-1))</f>
        <v>1993.8119999999999</v>
      </c>
      <c r="BM113" s="213">
        <f>BH113/((1+$B$4)^($AX113-1))</f>
        <v>-1977.3119999999999</v>
      </c>
      <c r="BN113" s="908">
        <f>BI113/((1+$B$4)^($AX113-1))</f>
        <v>-1757.3119999999999</v>
      </c>
      <c r="BO113" s="196">
        <f>BJ113</f>
        <v>16.5</v>
      </c>
      <c r="BP113" s="197">
        <f>BK113</f>
        <v>220</v>
      </c>
      <c r="BQ113" s="197">
        <f>BL113</f>
        <v>1993.8119999999999</v>
      </c>
      <c r="BR113" s="197">
        <f>BM113</f>
        <v>-1977.3119999999999</v>
      </c>
      <c r="BS113" s="199">
        <f>BN113</f>
        <v>-1757.3119999999999</v>
      </c>
      <c r="BV113" s="880">
        <v>1</v>
      </c>
      <c r="BW113" s="747">
        <f t="shared" ref="BW113:BW128" si="314">$C113</f>
        <v>0.6</v>
      </c>
      <c r="BX113" s="197">
        <f>'Energy Inputs'!$E$58*$BX$109</f>
        <v>110</v>
      </c>
      <c r="BY113" s="197">
        <f>BW113*BX113</f>
        <v>66</v>
      </c>
      <c r="BZ113" s="197">
        <f>'Margins summary'!$S$14</f>
        <v>220</v>
      </c>
      <c r="CA113" s="197">
        <f>BY113+BZ113</f>
        <v>286</v>
      </c>
      <c r="CB113" s="197">
        <f>'Margins summary'!$R$20</f>
        <v>1993.8119999999999</v>
      </c>
      <c r="CC113" s="897">
        <f>'Energy NPV'!U39</f>
        <v>0</v>
      </c>
      <c r="CD113" s="197"/>
      <c r="CE113" s="197">
        <f t="shared" ref="CE113:CE128" si="315">CB113+CC113+CD113</f>
        <v>1993.8119999999999</v>
      </c>
      <c r="CF113" s="197">
        <f t="shared" ref="CF113:CF128" si="316">BY113-CE113</f>
        <v>-1927.8119999999999</v>
      </c>
      <c r="CG113" s="197">
        <f t="shared" ref="CG113:CG128" si="317">CA113-CE113</f>
        <v>-1707.8119999999999</v>
      </c>
      <c r="CH113" s="1016">
        <f>BY113/((1+$B$4)^($BV113-1))</f>
        <v>66</v>
      </c>
      <c r="CI113" s="213">
        <f>BZ113/((1+$B$4)^($BV113-1))</f>
        <v>220</v>
      </c>
      <c r="CJ113" s="213">
        <f>CE113/((1+$B$4)^($BV113-1))</f>
        <v>1993.8119999999999</v>
      </c>
      <c r="CK113" s="213">
        <f>CF113/((1+$B$4)^($BV113-1))</f>
        <v>-1927.8119999999999</v>
      </c>
      <c r="CL113" s="908">
        <f>CG113/((1+$B$4)^($BV113-1))</f>
        <v>-1707.8119999999999</v>
      </c>
      <c r="CM113" s="196">
        <f>CH113</f>
        <v>66</v>
      </c>
      <c r="CN113" s="197">
        <f>CI113</f>
        <v>220</v>
      </c>
      <c r="CO113" s="197">
        <f>CJ113</f>
        <v>1993.8119999999999</v>
      </c>
      <c r="CP113" s="197">
        <f>CK113</f>
        <v>-1927.8119999999999</v>
      </c>
      <c r="CQ113" s="199">
        <f>CL113</f>
        <v>-1707.8119999999999</v>
      </c>
      <c r="CT113" s="204">
        <v>1</v>
      </c>
      <c r="CU113" s="747">
        <f t="shared" ref="CU113:CU128" si="318">$C113</f>
        <v>0.6</v>
      </c>
      <c r="CV113" s="213">
        <f>'Energy Inputs'!$E$58*$CV$109</f>
        <v>0</v>
      </c>
      <c r="CW113" s="197">
        <f>CU113*CV113</f>
        <v>0</v>
      </c>
      <c r="CX113" s="197">
        <f>'Margins summary'!$S$14</f>
        <v>220</v>
      </c>
      <c r="CY113" s="197">
        <f>CW113+CX113</f>
        <v>220</v>
      </c>
      <c r="CZ113" s="197">
        <f>'Margins summary'!$R$20</f>
        <v>1993.8119999999999</v>
      </c>
      <c r="DA113" s="897">
        <f>'Energy NPV'!U39</f>
        <v>0</v>
      </c>
      <c r="DB113" s="197"/>
      <c r="DC113" s="197">
        <f t="shared" ref="DC113:DC128" si="319">CZ113+DA113+DB113</f>
        <v>1993.8119999999999</v>
      </c>
      <c r="DD113" s="197">
        <f t="shared" ref="DD113:DD128" si="320">CW113-DC113</f>
        <v>-1993.8119999999999</v>
      </c>
      <c r="DE113" s="197">
        <f t="shared" ref="DE113:DE128" si="321">CY113-DC113</f>
        <v>-1773.8119999999999</v>
      </c>
      <c r="DF113" s="1016">
        <f>CW113/((1+$B$4)^($CT113-1))</f>
        <v>0</v>
      </c>
      <c r="DG113" s="213">
        <f>CX113/((1+$B$4)^($CT113-1))</f>
        <v>220</v>
      </c>
      <c r="DH113" s="213">
        <f>DC113/((1+$B$4)^($CT113-1))</f>
        <v>1993.8119999999999</v>
      </c>
      <c r="DI113" s="213">
        <f>DD113/((1+$B$4)^($CT113-1))</f>
        <v>-1993.8119999999999</v>
      </c>
      <c r="DJ113" s="908">
        <f>DE113/((1+$B$4)^($CT113-1))</f>
        <v>-1773.8119999999999</v>
      </c>
      <c r="DK113" s="196">
        <f>DF113</f>
        <v>0</v>
      </c>
      <c r="DL113" s="197">
        <f>DG113</f>
        <v>220</v>
      </c>
      <c r="DM113" s="197">
        <f>DH113</f>
        <v>1993.8119999999999</v>
      </c>
      <c r="DN113" s="197">
        <f>DI113</f>
        <v>-1993.8119999999999</v>
      </c>
      <c r="DO113" s="199">
        <f>DJ113</f>
        <v>-1773.8119999999999</v>
      </c>
    </row>
    <row r="114" spans="2:119" x14ac:dyDescent="0.3">
      <c r="B114" s="881">
        <v>2</v>
      </c>
      <c r="C114" s="747">
        <f>'Energy NPV'!$D40</f>
        <v>3.9250000000000007</v>
      </c>
      <c r="D114" s="197">
        <f>'Energy Inputs'!$E$58*$E$109</f>
        <v>55</v>
      </c>
      <c r="E114" s="197">
        <f>C114*D114</f>
        <v>215.87500000000003</v>
      </c>
      <c r="F114" s="197">
        <f>'Margins summary'!$S$14</f>
        <v>220</v>
      </c>
      <c r="G114" s="197">
        <f t="shared" ref="G114:G128" si="322">E114+F114</f>
        <v>435.875</v>
      </c>
      <c r="H114" s="197"/>
      <c r="I114" s="897">
        <f>'Energy NPV'!U40</f>
        <v>334.11199999999997</v>
      </c>
      <c r="J114" s="197"/>
      <c r="K114" s="197">
        <f t="shared" si="303"/>
        <v>334.11199999999997</v>
      </c>
      <c r="L114" s="197">
        <f t="shared" si="304"/>
        <v>-118.23699999999994</v>
      </c>
      <c r="M114" s="197">
        <f t="shared" si="305"/>
        <v>101.76300000000003</v>
      </c>
      <c r="N114" s="196">
        <f t="shared" ref="N114:N128" si="323">E114/((1+$B$4)^($B114-1))</f>
        <v>207.57211538461542</v>
      </c>
      <c r="O114" s="197">
        <f t="shared" ref="O114:O128" si="324">F114/((1+$B$4)^($B114-1))</f>
        <v>211.53846153846152</v>
      </c>
      <c r="P114" s="197">
        <f t="shared" ref="P114:P128" si="325">K114/((1+$B$4)^($B114-1))</f>
        <v>321.26153846153841</v>
      </c>
      <c r="Q114" s="197">
        <f t="shared" ref="Q114:Q127" si="326">L114/((1+$B$4)^($B114-1))</f>
        <v>-113.68942307692301</v>
      </c>
      <c r="R114" s="199">
        <f t="shared" ref="R114:R127" si="327">M114/((1+$B$4)^($B114-1))</f>
        <v>97.849038461538484</v>
      </c>
      <c r="S114" s="196">
        <f>S113+N114</f>
        <v>240.57211538461542</v>
      </c>
      <c r="T114" s="197">
        <f t="shared" ref="T114:W128" si="328">T113+O114</f>
        <v>431.53846153846155</v>
      </c>
      <c r="U114" s="197">
        <f t="shared" si="328"/>
        <v>2315.0735384615382</v>
      </c>
      <c r="V114" s="197">
        <f t="shared" si="328"/>
        <v>-2074.5014230769229</v>
      </c>
      <c r="W114" s="199">
        <f t="shared" si="328"/>
        <v>-1642.9629615384615</v>
      </c>
      <c r="Z114" s="881">
        <v>2</v>
      </c>
      <c r="AA114" s="747">
        <f t="shared" si="306"/>
        <v>3.9250000000000007</v>
      </c>
      <c r="AB114" s="197">
        <f>'Energy Inputs'!$E$58*$AB$109</f>
        <v>82.5</v>
      </c>
      <c r="AC114" s="197">
        <f>AA114*AB114</f>
        <v>323.81250000000006</v>
      </c>
      <c r="AD114" s="197">
        <f>'Margins summary'!$S$14</f>
        <v>220</v>
      </c>
      <c r="AE114" s="197">
        <f t="shared" ref="AE114:AE128" si="329">AC114+AD114</f>
        <v>543.8125</v>
      </c>
      <c r="AF114" s="197"/>
      <c r="AG114" s="897">
        <f>'Energy NPV'!U40</f>
        <v>334.11199999999997</v>
      </c>
      <c r="AH114" s="197"/>
      <c r="AI114" s="197">
        <f t="shared" si="307"/>
        <v>334.11199999999997</v>
      </c>
      <c r="AJ114" s="197">
        <f t="shared" si="308"/>
        <v>-10.29949999999991</v>
      </c>
      <c r="AK114" s="197">
        <f t="shared" si="309"/>
        <v>209.70050000000003</v>
      </c>
      <c r="AL114" s="196">
        <f t="shared" ref="AL114:AL128" si="330">AC114/((1+$B$4)^($Z114-1))</f>
        <v>311.35817307692309</v>
      </c>
      <c r="AM114" s="197">
        <f t="shared" ref="AM114:AM128" si="331">AD114/((1+$B$4)^($Z114-1))</f>
        <v>211.53846153846152</v>
      </c>
      <c r="AN114" s="197">
        <f t="shared" ref="AN114:AN128" si="332">AI114/((1+$B$4)^($Z114-1))</f>
        <v>321.26153846153841</v>
      </c>
      <c r="AO114" s="197">
        <f t="shared" ref="AO114:AO128" si="333">AJ114/((1+$B$4)^($Z114-1))</f>
        <v>-9.9033653846152969</v>
      </c>
      <c r="AP114" s="199">
        <f t="shared" ref="AP114:AP128" si="334">AK114/((1+$B$4)^($Z114-1))</f>
        <v>201.63509615384618</v>
      </c>
      <c r="AQ114" s="196">
        <f>AQ113+AL114</f>
        <v>360.85817307692309</v>
      </c>
      <c r="AR114" s="197">
        <f t="shared" ref="AR114:AU128" si="335">AR113+AM114</f>
        <v>431.53846153846155</v>
      </c>
      <c r="AS114" s="197">
        <f t="shared" si="335"/>
        <v>2315.0735384615382</v>
      </c>
      <c r="AT114" s="197">
        <f t="shared" si="335"/>
        <v>-1954.2153653846151</v>
      </c>
      <c r="AU114" s="199">
        <f t="shared" si="335"/>
        <v>-1522.6769038461537</v>
      </c>
      <c r="AX114" s="881">
        <v>2</v>
      </c>
      <c r="AY114" s="747">
        <f t="shared" si="310"/>
        <v>3.9250000000000007</v>
      </c>
      <c r="AZ114" s="197">
        <f>'Energy Inputs'!$E$58*$AZ$109</f>
        <v>27.5</v>
      </c>
      <c r="BA114" s="197">
        <f>AY114*AZ114</f>
        <v>107.93750000000001</v>
      </c>
      <c r="BB114" s="197">
        <f>'Margins summary'!$S$14</f>
        <v>220</v>
      </c>
      <c r="BC114" s="197">
        <f t="shared" ref="BC114:BC128" si="336">BA114+BB114</f>
        <v>327.9375</v>
      </c>
      <c r="BD114" s="197"/>
      <c r="BE114" s="897">
        <f>'Energy NPV'!U40</f>
        <v>334.11199999999997</v>
      </c>
      <c r="BF114" s="197"/>
      <c r="BG114" s="197">
        <f t="shared" si="311"/>
        <v>334.11199999999997</v>
      </c>
      <c r="BH114" s="197">
        <f t="shared" si="312"/>
        <v>-226.17449999999997</v>
      </c>
      <c r="BI114" s="197">
        <f t="shared" si="313"/>
        <v>-6.1744999999999663</v>
      </c>
      <c r="BJ114" s="196">
        <f t="shared" ref="BJ114:BJ128" si="337">BA114/((1+$B$4)^($AX114-1))</f>
        <v>103.78605769230771</v>
      </c>
      <c r="BK114" s="197">
        <f t="shared" ref="BK114:BK128" si="338">BB114/((1+$B$4)^($AX114-1))</f>
        <v>211.53846153846152</v>
      </c>
      <c r="BL114" s="197">
        <f t="shared" ref="BL114:BL128" si="339">BG114/((1+$B$4)^($AX114-1))</f>
        <v>321.26153846153841</v>
      </c>
      <c r="BM114" s="197">
        <f t="shared" ref="BM114:BM128" si="340">BH114/((1+$B$4)^($AX114-1))</f>
        <v>-217.47548076923073</v>
      </c>
      <c r="BN114" s="199">
        <f t="shared" ref="BN114:BN128" si="341">BI114/((1+$B$4)^($AX114-1))</f>
        <v>-5.9370192307691978</v>
      </c>
      <c r="BO114" s="196">
        <f>BO113+BJ114</f>
        <v>120.28605769230771</v>
      </c>
      <c r="BP114" s="197">
        <f t="shared" ref="BP114:BS128" si="342">BP113+BK114</f>
        <v>431.53846153846155</v>
      </c>
      <c r="BQ114" s="197">
        <f t="shared" si="342"/>
        <v>2315.0735384615382</v>
      </c>
      <c r="BR114" s="197">
        <f t="shared" si="342"/>
        <v>-2194.7874807692306</v>
      </c>
      <c r="BS114" s="199">
        <f t="shared" si="342"/>
        <v>-1763.2490192307691</v>
      </c>
      <c r="BV114" s="881">
        <v>2</v>
      </c>
      <c r="BW114" s="747">
        <f t="shared" si="314"/>
        <v>3.9250000000000007</v>
      </c>
      <c r="BX114" s="197">
        <f>'Energy Inputs'!$E$58*$BX$109</f>
        <v>110</v>
      </c>
      <c r="BY114" s="197">
        <f>BW114*BX114</f>
        <v>431.75000000000006</v>
      </c>
      <c r="BZ114" s="197">
        <f>'Margins summary'!$S$14</f>
        <v>220</v>
      </c>
      <c r="CA114" s="197">
        <f t="shared" ref="CA114:CA128" si="343">BY114+BZ114</f>
        <v>651.75</v>
      </c>
      <c r="CB114" s="197"/>
      <c r="CC114" s="897">
        <f>'Energy NPV'!U40</f>
        <v>334.11199999999997</v>
      </c>
      <c r="CD114" s="197"/>
      <c r="CE114" s="197">
        <f t="shared" si="315"/>
        <v>334.11199999999997</v>
      </c>
      <c r="CF114" s="197">
        <f t="shared" si="316"/>
        <v>97.63800000000009</v>
      </c>
      <c r="CG114" s="197">
        <f t="shared" si="317"/>
        <v>317.63800000000003</v>
      </c>
      <c r="CH114" s="196">
        <f t="shared" ref="CH114:CH128" si="344">BY114/((1+$B$4)^($BV114-1))</f>
        <v>415.14423076923083</v>
      </c>
      <c r="CI114" s="197">
        <f t="shared" ref="CI114:CI128" si="345">BZ114/((1+$B$4)^($BV114-1))</f>
        <v>211.53846153846152</v>
      </c>
      <c r="CJ114" s="197">
        <f t="shared" ref="CJ114:CJ128" si="346">CE114/((1+$B$4)^($BV114-1))</f>
        <v>321.26153846153841</v>
      </c>
      <c r="CK114" s="197">
        <f t="shared" ref="CK114:CK128" si="347">CF114/((1+$B$4)^($BV114-1))</f>
        <v>93.882692307692395</v>
      </c>
      <c r="CL114" s="199">
        <f t="shared" ref="CL114:CL128" si="348">CG114/((1+$B$4)^($BV114-1))</f>
        <v>305.42115384615386</v>
      </c>
      <c r="CM114" s="196">
        <f>CM113+CH114</f>
        <v>481.14423076923083</v>
      </c>
      <c r="CN114" s="197">
        <f t="shared" ref="CN114:CQ128" si="349">CN113+CI114</f>
        <v>431.53846153846155</v>
      </c>
      <c r="CO114" s="197">
        <f t="shared" si="349"/>
        <v>2315.0735384615382</v>
      </c>
      <c r="CP114" s="197">
        <f t="shared" si="349"/>
        <v>-1833.9293076923075</v>
      </c>
      <c r="CQ114" s="199">
        <f t="shared" si="349"/>
        <v>-1402.390846153846</v>
      </c>
      <c r="CT114" s="204">
        <v>2</v>
      </c>
      <c r="CU114" s="747">
        <f t="shared" si="318"/>
        <v>3.9250000000000007</v>
      </c>
      <c r="CV114" s="197">
        <f>'Energy Inputs'!$E$58*$CV$109</f>
        <v>0</v>
      </c>
      <c r="CW114" s="197">
        <f>CU114*CV114</f>
        <v>0</v>
      </c>
      <c r="CX114" s="197">
        <f>'Margins summary'!$S$14</f>
        <v>220</v>
      </c>
      <c r="CY114" s="197">
        <f t="shared" ref="CY114:CY128" si="350">CW114+CX114</f>
        <v>220</v>
      </c>
      <c r="CZ114" s="197"/>
      <c r="DA114" s="897">
        <f>'Energy NPV'!U40</f>
        <v>334.11199999999997</v>
      </c>
      <c r="DB114" s="197"/>
      <c r="DC114" s="197">
        <f t="shared" si="319"/>
        <v>334.11199999999997</v>
      </c>
      <c r="DD114" s="197">
        <f t="shared" si="320"/>
        <v>-334.11199999999997</v>
      </c>
      <c r="DE114" s="197">
        <f t="shared" si="321"/>
        <v>-114.11199999999997</v>
      </c>
      <c r="DF114" s="196">
        <f t="shared" ref="DF114:DF128" si="351">CW114/((1+$B$4)^($CT114-1))</f>
        <v>0</v>
      </c>
      <c r="DG114" s="197">
        <f t="shared" ref="DG114:DG128" si="352">CX114/((1+$B$4)^($CT114-1))</f>
        <v>211.53846153846152</v>
      </c>
      <c r="DH114" s="197">
        <f t="shared" ref="DH114:DH128" si="353">DC114/((1+$B$4)^($CT114-1))</f>
        <v>321.26153846153841</v>
      </c>
      <c r="DI114" s="197">
        <f t="shared" ref="DI114:DI128" si="354">DD114/((1+$B$4)^($CT114-1))</f>
        <v>-321.26153846153841</v>
      </c>
      <c r="DJ114" s="199">
        <f t="shared" ref="DJ114:DJ127" si="355">DE114/((1+$B$4)^($CT114-1))</f>
        <v>-109.72307692307689</v>
      </c>
      <c r="DK114" s="196">
        <f>DK113+DF114</f>
        <v>0</v>
      </c>
      <c r="DL114" s="197">
        <f t="shared" ref="DL114:DO128" si="356">DL113+DG114</f>
        <v>431.53846153846155</v>
      </c>
      <c r="DM114" s="197">
        <f t="shared" si="356"/>
        <v>2315.0735384615382</v>
      </c>
      <c r="DN114" s="197">
        <f t="shared" si="356"/>
        <v>-2315.0735384615382</v>
      </c>
      <c r="DO114" s="199">
        <f t="shared" si="356"/>
        <v>-1883.5350769230768</v>
      </c>
    </row>
    <row r="115" spans="2:119" x14ac:dyDescent="0.3">
      <c r="B115" s="881">
        <v>3</v>
      </c>
      <c r="C115" s="747">
        <f>'Energy NPV'!$D41</f>
        <v>11.099999999999998</v>
      </c>
      <c r="D115" s="197">
        <f>'Energy Inputs'!$E$58*$E$109</f>
        <v>55</v>
      </c>
      <c r="E115" s="197">
        <f t="shared" ref="E115:E128" si="357">C115*D115</f>
        <v>610.49999999999989</v>
      </c>
      <c r="F115" s="197">
        <f>'Margins summary'!$S$14</f>
        <v>220</v>
      </c>
      <c r="G115" s="197">
        <f t="shared" si="322"/>
        <v>830.49999999999989</v>
      </c>
      <c r="H115" s="197"/>
      <c r="I115" s="897">
        <f>'Energy NPV'!U41</f>
        <v>334.11199999999997</v>
      </c>
      <c r="J115" s="197"/>
      <c r="K115" s="197">
        <f t="shared" si="303"/>
        <v>334.11199999999997</v>
      </c>
      <c r="L115" s="197">
        <f t="shared" si="304"/>
        <v>276.38799999999992</v>
      </c>
      <c r="M115" s="197">
        <f t="shared" si="305"/>
        <v>496.38799999999992</v>
      </c>
      <c r="N115" s="196">
        <f t="shared" si="323"/>
        <v>564.44156804733711</v>
      </c>
      <c r="O115" s="197">
        <f t="shared" si="324"/>
        <v>203.40236686390531</v>
      </c>
      <c r="P115" s="197">
        <f t="shared" si="325"/>
        <v>308.90532544378692</v>
      </c>
      <c r="Q115" s="197">
        <f t="shared" si="326"/>
        <v>255.53624260355019</v>
      </c>
      <c r="R115" s="199">
        <f t="shared" si="327"/>
        <v>458.93860946745548</v>
      </c>
      <c r="S115" s="196">
        <f t="shared" ref="S115:S128" si="358">S114+N115</f>
        <v>805.01368343195259</v>
      </c>
      <c r="T115" s="197">
        <f t="shared" si="328"/>
        <v>634.94082840236683</v>
      </c>
      <c r="U115" s="197">
        <f t="shared" si="328"/>
        <v>2623.9788639053249</v>
      </c>
      <c r="V115" s="197">
        <f t="shared" si="328"/>
        <v>-1818.9651804733728</v>
      </c>
      <c r="W115" s="199">
        <f t="shared" si="328"/>
        <v>-1184.024352071006</v>
      </c>
      <c r="Z115" s="881">
        <v>3</v>
      </c>
      <c r="AA115" s="747">
        <f t="shared" si="306"/>
        <v>11.099999999999998</v>
      </c>
      <c r="AB115" s="197">
        <f>'Energy Inputs'!$E$58*$AB$109</f>
        <v>82.5</v>
      </c>
      <c r="AC115" s="197">
        <f t="shared" ref="AC115:AC128" si="359">AA115*AB115</f>
        <v>915.74999999999977</v>
      </c>
      <c r="AD115" s="197">
        <f>'Margins summary'!$S$14</f>
        <v>220</v>
      </c>
      <c r="AE115" s="197">
        <f t="shared" si="329"/>
        <v>1135.7499999999998</v>
      </c>
      <c r="AF115" s="197"/>
      <c r="AG115" s="897">
        <f>'Energy NPV'!U41</f>
        <v>334.11199999999997</v>
      </c>
      <c r="AH115" s="197"/>
      <c r="AI115" s="197">
        <f t="shared" si="307"/>
        <v>334.11199999999997</v>
      </c>
      <c r="AJ115" s="197">
        <f t="shared" si="308"/>
        <v>581.63799999999981</v>
      </c>
      <c r="AK115" s="197">
        <f t="shared" si="309"/>
        <v>801.63799999999981</v>
      </c>
      <c r="AL115" s="196">
        <f t="shared" si="330"/>
        <v>846.66235207100567</v>
      </c>
      <c r="AM115" s="197">
        <f t="shared" si="331"/>
        <v>203.40236686390531</v>
      </c>
      <c r="AN115" s="197">
        <f t="shared" si="332"/>
        <v>308.90532544378692</v>
      </c>
      <c r="AO115" s="197">
        <f t="shared" si="333"/>
        <v>537.75702662721869</v>
      </c>
      <c r="AP115" s="199">
        <f t="shared" si="334"/>
        <v>741.15939349112398</v>
      </c>
      <c r="AQ115" s="196">
        <f t="shared" ref="AQ115:AQ127" si="360">AQ114+AL115</f>
        <v>1207.5205251479288</v>
      </c>
      <c r="AR115" s="197">
        <f t="shared" si="335"/>
        <v>634.94082840236683</v>
      </c>
      <c r="AS115" s="197">
        <f t="shared" si="335"/>
        <v>2623.9788639053249</v>
      </c>
      <c r="AT115" s="197">
        <f t="shared" si="335"/>
        <v>-1416.4583387573964</v>
      </c>
      <c r="AU115" s="199">
        <f t="shared" si="335"/>
        <v>-781.51751035502969</v>
      </c>
      <c r="AX115" s="881">
        <v>3</v>
      </c>
      <c r="AY115" s="747">
        <f t="shared" si="310"/>
        <v>11.099999999999998</v>
      </c>
      <c r="AZ115" s="197">
        <f>'Energy Inputs'!$E$58*$AZ$109</f>
        <v>27.5</v>
      </c>
      <c r="BA115" s="197">
        <f t="shared" ref="BA115:BA128" si="361">AY115*AZ115</f>
        <v>305.24999999999994</v>
      </c>
      <c r="BB115" s="197">
        <f>'Margins summary'!$S$14</f>
        <v>220</v>
      </c>
      <c r="BC115" s="197">
        <f t="shared" si="336"/>
        <v>525.25</v>
      </c>
      <c r="BD115" s="197"/>
      <c r="BE115" s="897">
        <f>'Energy NPV'!U41</f>
        <v>334.11199999999997</v>
      </c>
      <c r="BF115" s="197"/>
      <c r="BG115" s="197">
        <f t="shared" si="311"/>
        <v>334.11199999999997</v>
      </c>
      <c r="BH115" s="197">
        <f t="shared" si="312"/>
        <v>-28.862000000000023</v>
      </c>
      <c r="BI115" s="197">
        <f t="shared" si="313"/>
        <v>191.13800000000003</v>
      </c>
      <c r="BJ115" s="196">
        <f t="shared" si="337"/>
        <v>282.22078402366856</v>
      </c>
      <c r="BK115" s="197">
        <f t="shared" si="338"/>
        <v>203.40236686390531</v>
      </c>
      <c r="BL115" s="197">
        <f t="shared" si="339"/>
        <v>308.90532544378692</v>
      </c>
      <c r="BM115" s="197">
        <f t="shared" si="340"/>
        <v>-26.684541420118361</v>
      </c>
      <c r="BN115" s="199">
        <f t="shared" si="341"/>
        <v>176.71782544378701</v>
      </c>
      <c r="BO115" s="196">
        <f>BO114+BJ115</f>
        <v>402.50684171597629</v>
      </c>
      <c r="BP115" s="197">
        <f t="shared" si="342"/>
        <v>634.94082840236683</v>
      </c>
      <c r="BQ115" s="197">
        <f t="shared" si="342"/>
        <v>2623.9788639053249</v>
      </c>
      <c r="BR115" s="197">
        <f t="shared" si="342"/>
        <v>-2221.472022189349</v>
      </c>
      <c r="BS115" s="199">
        <f t="shared" si="342"/>
        <v>-1586.5311937869822</v>
      </c>
      <c r="BV115" s="881">
        <v>3</v>
      </c>
      <c r="BW115" s="747">
        <f t="shared" si="314"/>
        <v>11.099999999999998</v>
      </c>
      <c r="BX115" s="197">
        <f>'Energy Inputs'!$E$58*$BX$109</f>
        <v>110</v>
      </c>
      <c r="BY115" s="197">
        <f t="shared" ref="BY115:BY128" si="362">BW115*BX115</f>
        <v>1220.9999999999998</v>
      </c>
      <c r="BZ115" s="197">
        <f>'Margins summary'!$S$14</f>
        <v>220</v>
      </c>
      <c r="CA115" s="197">
        <f t="shared" si="343"/>
        <v>1440.9999999999998</v>
      </c>
      <c r="CB115" s="197"/>
      <c r="CC115" s="897">
        <f>'Energy NPV'!U41</f>
        <v>334.11199999999997</v>
      </c>
      <c r="CD115" s="197"/>
      <c r="CE115" s="197">
        <f t="shared" si="315"/>
        <v>334.11199999999997</v>
      </c>
      <c r="CF115" s="197">
        <f t="shared" si="316"/>
        <v>886.88799999999981</v>
      </c>
      <c r="CG115" s="197">
        <f t="shared" si="317"/>
        <v>1106.8879999999999</v>
      </c>
      <c r="CH115" s="196">
        <f t="shared" si="344"/>
        <v>1128.8831360946742</v>
      </c>
      <c r="CI115" s="197">
        <f t="shared" si="345"/>
        <v>203.40236686390531</v>
      </c>
      <c r="CJ115" s="197">
        <f t="shared" si="346"/>
        <v>308.90532544378692</v>
      </c>
      <c r="CK115" s="197">
        <f t="shared" si="347"/>
        <v>819.97781065088725</v>
      </c>
      <c r="CL115" s="199">
        <f t="shared" si="348"/>
        <v>1023.3801775147928</v>
      </c>
      <c r="CM115" s="196">
        <f t="shared" ref="CM115:CM128" si="363">CM114+CH115</f>
        <v>1610.0273668639052</v>
      </c>
      <c r="CN115" s="197">
        <f t="shared" si="349"/>
        <v>634.94082840236683</v>
      </c>
      <c r="CO115" s="197">
        <f t="shared" si="349"/>
        <v>2623.9788639053249</v>
      </c>
      <c r="CP115" s="197">
        <f t="shared" si="349"/>
        <v>-1013.9514970414202</v>
      </c>
      <c r="CQ115" s="199">
        <f t="shared" si="349"/>
        <v>-379.01066863905328</v>
      </c>
      <c r="CT115" s="204">
        <f t="shared" ref="CT115:CT128" si="364">CT114+1</f>
        <v>3</v>
      </c>
      <c r="CU115" s="747">
        <f t="shared" si="318"/>
        <v>11.099999999999998</v>
      </c>
      <c r="CV115" s="197">
        <f>'Energy Inputs'!$E$58*$CV$109</f>
        <v>0</v>
      </c>
      <c r="CW115" s="197">
        <f t="shared" ref="CW115:CW128" si="365">CU115*CV115</f>
        <v>0</v>
      </c>
      <c r="CX115" s="197">
        <f>'Margins summary'!$S$14</f>
        <v>220</v>
      </c>
      <c r="CY115" s="197">
        <f t="shared" si="350"/>
        <v>220</v>
      </c>
      <c r="CZ115" s="197"/>
      <c r="DA115" s="897">
        <f>'Energy NPV'!U41</f>
        <v>334.11199999999997</v>
      </c>
      <c r="DB115" s="197"/>
      <c r="DC115" s="197">
        <f t="shared" si="319"/>
        <v>334.11199999999997</v>
      </c>
      <c r="DD115" s="197">
        <f t="shared" si="320"/>
        <v>-334.11199999999997</v>
      </c>
      <c r="DE115" s="197">
        <f t="shared" si="321"/>
        <v>-114.11199999999997</v>
      </c>
      <c r="DF115" s="196">
        <f t="shared" si="351"/>
        <v>0</v>
      </c>
      <c r="DG115" s="197">
        <f t="shared" si="352"/>
        <v>203.40236686390531</v>
      </c>
      <c r="DH115" s="197">
        <f t="shared" si="353"/>
        <v>308.90532544378692</v>
      </c>
      <c r="DI115" s="197">
        <f t="shared" si="354"/>
        <v>-308.90532544378692</v>
      </c>
      <c r="DJ115" s="199">
        <f t="shared" si="355"/>
        <v>-105.50295857988161</v>
      </c>
      <c r="DK115" s="196">
        <f t="shared" ref="DK115:DK128" si="366">DK114+DF115</f>
        <v>0</v>
      </c>
      <c r="DL115" s="197">
        <f t="shared" si="356"/>
        <v>634.94082840236683</v>
      </c>
      <c r="DM115" s="197">
        <f t="shared" si="356"/>
        <v>2623.9788639053249</v>
      </c>
      <c r="DN115" s="197">
        <f t="shared" si="356"/>
        <v>-2623.9788639053249</v>
      </c>
      <c r="DO115" s="199">
        <f t="shared" si="356"/>
        <v>-1989.0380355029583</v>
      </c>
    </row>
    <row r="116" spans="2:119" x14ac:dyDescent="0.3">
      <c r="B116" s="881">
        <v>4</v>
      </c>
      <c r="C116" s="747">
        <f>'Energy NPV'!$D42</f>
        <v>12.54</v>
      </c>
      <c r="D116" s="197">
        <f>'Energy Inputs'!$E$58*$E$109</f>
        <v>55</v>
      </c>
      <c r="E116" s="197">
        <f t="shared" si="357"/>
        <v>689.69999999999993</v>
      </c>
      <c r="F116" s="197">
        <f>'Margins summary'!$S$14</f>
        <v>220</v>
      </c>
      <c r="G116" s="197">
        <f t="shared" si="322"/>
        <v>909.69999999999993</v>
      </c>
      <c r="H116" s="197"/>
      <c r="I116" s="897">
        <f>'Energy NPV'!U42</f>
        <v>233.81200000000001</v>
      </c>
      <c r="J116" s="197"/>
      <c r="K116" s="197">
        <f t="shared" si="303"/>
        <v>233.81200000000001</v>
      </c>
      <c r="L116" s="197">
        <f t="shared" si="304"/>
        <v>455.88799999999992</v>
      </c>
      <c r="M116" s="197">
        <f t="shared" si="305"/>
        <v>675.88799999999992</v>
      </c>
      <c r="N116" s="196">
        <f t="shared" si="323"/>
        <v>613.14078857532991</v>
      </c>
      <c r="O116" s="197">
        <f t="shared" si="324"/>
        <v>195.57919890760127</v>
      </c>
      <c r="P116" s="197">
        <f t="shared" si="325"/>
        <v>207.85801661356393</v>
      </c>
      <c r="Q116" s="197">
        <f t="shared" si="326"/>
        <v>405.28277196176595</v>
      </c>
      <c r="R116" s="199">
        <f t="shared" si="327"/>
        <v>600.86197086936716</v>
      </c>
      <c r="S116" s="196">
        <f t="shared" si="358"/>
        <v>1418.1544720072825</v>
      </c>
      <c r="T116" s="197">
        <f t="shared" si="328"/>
        <v>830.5200273099681</v>
      </c>
      <c r="U116" s="197">
        <f t="shared" si="328"/>
        <v>2831.8368805188888</v>
      </c>
      <c r="V116" s="197">
        <f t="shared" si="328"/>
        <v>-1413.6824085116068</v>
      </c>
      <c r="W116" s="199">
        <f t="shared" si="328"/>
        <v>-583.16238120163882</v>
      </c>
      <c r="Z116" s="881">
        <v>4</v>
      </c>
      <c r="AA116" s="747">
        <f t="shared" si="306"/>
        <v>12.54</v>
      </c>
      <c r="AB116" s="197">
        <f>'Energy Inputs'!$E$58*$AB$109</f>
        <v>82.5</v>
      </c>
      <c r="AC116" s="197">
        <f t="shared" si="359"/>
        <v>1034.55</v>
      </c>
      <c r="AD116" s="197">
        <f>'Margins summary'!$S$14</f>
        <v>220</v>
      </c>
      <c r="AE116" s="197">
        <f t="shared" si="329"/>
        <v>1254.55</v>
      </c>
      <c r="AF116" s="197"/>
      <c r="AG116" s="897">
        <f>'Energy NPV'!U42</f>
        <v>233.81200000000001</v>
      </c>
      <c r="AH116" s="197"/>
      <c r="AI116" s="197">
        <f t="shared" si="307"/>
        <v>233.81200000000001</v>
      </c>
      <c r="AJ116" s="197">
        <f t="shared" si="308"/>
        <v>800.73799999999994</v>
      </c>
      <c r="AK116" s="197">
        <f t="shared" si="309"/>
        <v>1020.7379999999999</v>
      </c>
      <c r="AL116" s="196">
        <f t="shared" si="330"/>
        <v>919.71118286299486</v>
      </c>
      <c r="AM116" s="197">
        <f t="shared" si="331"/>
        <v>195.57919890760127</v>
      </c>
      <c r="AN116" s="197">
        <f t="shared" si="332"/>
        <v>207.85801661356393</v>
      </c>
      <c r="AO116" s="197">
        <f t="shared" si="333"/>
        <v>711.85316624943096</v>
      </c>
      <c r="AP116" s="199">
        <f t="shared" si="334"/>
        <v>907.43236515703222</v>
      </c>
      <c r="AQ116" s="196">
        <f t="shared" si="360"/>
        <v>2127.2317080109237</v>
      </c>
      <c r="AR116" s="197">
        <f t="shared" si="335"/>
        <v>830.5200273099681</v>
      </c>
      <c r="AS116" s="197">
        <f t="shared" si="335"/>
        <v>2831.8368805188888</v>
      </c>
      <c r="AT116" s="197">
        <f t="shared" si="335"/>
        <v>-704.60517250796545</v>
      </c>
      <c r="AU116" s="199">
        <f t="shared" si="335"/>
        <v>125.91485480200254</v>
      </c>
      <c r="AX116" s="881">
        <v>4</v>
      </c>
      <c r="AY116" s="747">
        <f t="shared" si="310"/>
        <v>12.54</v>
      </c>
      <c r="AZ116" s="197">
        <f>'Energy Inputs'!$E$58*$AZ$109</f>
        <v>27.5</v>
      </c>
      <c r="BA116" s="197">
        <f t="shared" si="361"/>
        <v>344.84999999999997</v>
      </c>
      <c r="BB116" s="197">
        <f>'Margins summary'!$S$14</f>
        <v>220</v>
      </c>
      <c r="BC116" s="197">
        <f t="shared" si="336"/>
        <v>564.84999999999991</v>
      </c>
      <c r="BD116" s="197"/>
      <c r="BE116" s="897">
        <f>'Energy NPV'!U42</f>
        <v>233.81200000000001</v>
      </c>
      <c r="BF116" s="197"/>
      <c r="BG116" s="197">
        <f t="shared" si="311"/>
        <v>233.81200000000001</v>
      </c>
      <c r="BH116" s="197">
        <f t="shared" si="312"/>
        <v>111.03799999999995</v>
      </c>
      <c r="BI116" s="197">
        <f t="shared" si="313"/>
        <v>331.0379999999999</v>
      </c>
      <c r="BJ116" s="196">
        <f t="shared" si="337"/>
        <v>306.57039428766495</v>
      </c>
      <c r="BK116" s="197">
        <f t="shared" si="338"/>
        <v>195.57919890760127</v>
      </c>
      <c r="BL116" s="197">
        <f t="shared" si="339"/>
        <v>207.85801661356393</v>
      </c>
      <c r="BM116" s="197">
        <f t="shared" si="340"/>
        <v>98.712377674100992</v>
      </c>
      <c r="BN116" s="199">
        <f t="shared" si="341"/>
        <v>294.2915765817022</v>
      </c>
      <c r="BO116" s="196">
        <f>BO115+BJ116</f>
        <v>709.07723600364125</v>
      </c>
      <c r="BP116" s="197">
        <f t="shared" si="342"/>
        <v>830.5200273099681</v>
      </c>
      <c r="BQ116" s="197">
        <f t="shared" si="342"/>
        <v>2831.8368805188888</v>
      </c>
      <c r="BR116" s="197">
        <f t="shared" si="342"/>
        <v>-2122.7596445152481</v>
      </c>
      <c r="BS116" s="199">
        <f t="shared" si="342"/>
        <v>-1292.23961720528</v>
      </c>
      <c r="BV116" s="881">
        <v>4</v>
      </c>
      <c r="BW116" s="747">
        <f t="shared" si="314"/>
        <v>12.54</v>
      </c>
      <c r="BX116" s="197">
        <f>'Energy Inputs'!$E$58*$BX$109</f>
        <v>110</v>
      </c>
      <c r="BY116" s="197">
        <f t="shared" si="362"/>
        <v>1379.3999999999999</v>
      </c>
      <c r="BZ116" s="197">
        <f>'Margins summary'!$S$14</f>
        <v>220</v>
      </c>
      <c r="CA116" s="197">
        <f t="shared" si="343"/>
        <v>1599.3999999999999</v>
      </c>
      <c r="CB116" s="197"/>
      <c r="CC116" s="897">
        <f>'Energy NPV'!U42</f>
        <v>233.81200000000001</v>
      </c>
      <c r="CD116" s="197"/>
      <c r="CE116" s="197">
        <f t="shared" si="315"/>
        <v>233.81200000000001</v>
      </c>
      <c r="CF116" s="197">
        <f t="shared" si="316"/>
        <v>1145.5879999999997</v>
      </c>
      <c r="CG116" s="197">
        <f t="shared" si="317"/>
        <v>1365.5879999999997</v>
      </c>
      <c r="CH116" s="196">
        <f t="shared" si="344"/>
        <v>1226.2815771506598</v>
      </c>
      <c r="CI116" s="197">
        <f t="shared" si="345"/>
        <v>195.57919890760127</v>
      </c>
      <c r="CJ116" s="197">
        <f t="shared" si="346"/>
        <v>207.85801661356393</v>
      </c>
      <c r="CK116" s="197">
        <f t="shared" si="347"/>
        <v>1018.4235605370957</v>
      </c>
      <c r="CL116" s="199">
        <f t="shared" si="348"/>
        <v>1214.0027594446969</v>
      </c>
      <c r="CM116" s="196">
        <f t="shared" si="363"/>
        <v>2836.308944014565</v>
      </c>
      <c r="CN116" s="197">
        <f t="shared" si="349"/>
        <v>830.5200273099681</v>
      </c>
      <c r="CO116" s="197">
        <f t="shared" si="349"/>
        <v>2831.8368805188888</v>
      </c>
      <c r="CP116" s="197">
        <f t="shared" si="349"/>
        <v>4.4720634956754566</v>
      </c>
      <c r="CQ116" s="199">
        <f t="shared" si="349"/>
        <v>834.99209080564367</v>
      </c>
      <c r="CT116" s="204">
        <f t="shared" si="364"/>
        <v>4</v>
      </c>
      <c r="CU116" s="747">
        <f t="shared" si="318"/>
        <v>12.54</v>
      </c>
      <c r="CV116" s="197">
        <f>'Energy Inputs'!$E$58*$CV$109</f>
        <v>0</v>
      </c>
      <c r="CW116" s="197">
        <f t="shared" si="365"/>
        <v>0</v>
      </c>
      <c r="CX116" s="197">
        <f>'Margins summary'!$S$14</f>
        <v>220</v>
      </c>
      <c r="CY116" s="197">
        <f t="shared" si="350"/>
        <v>220</v>
      </c>
      <c r="CZ116" s="197"/>
      <c r="DA116" s="897">
        <f>'Energy NPV'!U42</f>
        <v>233.81200000000001</v>
      </c>
      <c r="DB116" s="197"/>
      <c r="DC116" s="197">
        <f t="shared" si="319"/>
        <v>233.81200000000001</v>
      </c>
      <c r="DD116" s="197">
        <f t="shared" si="320"/>
        <v>-233.81200000000001</v>
      </c>
      <c r="DE116" s="197">
        <f t="shared" si="321"/>
        <v>-13.812000000000012</v>
      </c>
      <c r="DF116" s="196">
        <f t="shared" si="351"/>
        <v>0</v>
      </c>
      <c r="DG116" s="197">
        <f t="shared" si="352"/>
        <v>195.57919890760127</v>
      </c>
      <c r="DH116" s="197">
        <f t="shared" si="353"/>
        <v>207.85801661356393</v>
      </c>
      <c r="DI116" s="197">
        <f t="shared" si="354"/>
        <v>-207.85801661356393</v>
      </c>
      <c r="DJ116" s="199">
        <f t="shared" si="355"/>
        <v>-12.278817705962686</v>
      </c>
      <c r="DK116" s="196">
        <f t="shared" si="366"/>
        <v>0</v>
      </c>
      <c r="DL116" s="197">
        <f t="shared" si="356"/>
        <v>830.5200273099681</v>
      </c>
      <c r="DM116" s="197">
        <f t="shared" si="356"/>
        <v>2831.8368805188888</v>
      </c>
      <c r="DN116" s="197">
        <f t="shared" si="356"/>
        <v>-2831.8368805188888</v>
      </c>
      <c r="DO116" s="199">
        <f t="shared" si="356"/>
        <v>-2001.316853208921</v>
      </c>
    </row>
    <row r="117" spans="2:119" x14ac:dyDescent="0.3">
      <c r="B117" s="881">
        <v>5</v>
      </c>
      <c r="C117" s="747">
        <f>'Energy NPV'!$D43</f>
        <v>12.54</v>
      </c>
      <c r="D117" s="197">
        <f>'Energy Inputs'!$E$58*$E$109</f>
        <v>55</v>
      </c>
      <c r="E117" s="197">
        <f t="shared" si="357"/>
        <v>689.69999999999993</v>
      </c>
      <c r="F117" s="197">
        <f>'Margins summary'!$S$14</f>
        <v>220</v>
      </c>
      <c r="G117" s="197">
        <f t="shared" si="322"/>
        <v>909.69999999999993</v>
      </c>
      <c r="H117" s="197"/>
      <c r="I117" s="897">
        <f>'Energy NPV'!U43</f>
        <v>233.81200000000001</v>
      </c>
      <c r="J117" s="197"/>
      <c r="K117" s="197">
        <f t="shared" si="303"/>
        <v>233.81200000000001</v>
      </c>
      <c r="L117" s="197">
        <f t="shared" si="304"/>
        <v>455.88799999999992</v>
      </c>
      <c r="M117" s="197">
        <f t="shared" si="305"/>
        <v>675.88799999999992</v>
      </c>
      <c r="N117" s="196">
        <f t="shared" si="323"/>
        <v>589.55845055320174</v>
      </c>
      <c r="O117" s="197">
        <f t="shared" si="324"/>
        <v>188.05692202653967</v>
      </c>
      <c r="P117" s="197">
        <f t="shared" si="325"/>
        <v>199.86347751304223</v>
      </c>
      <c r="Q117" s="197">
        <f t="shared" si="326"/>
        <v>389.69497304015954</v>
      </c>
      <c r="R117" s="199">
        <f t="shared" si="327"/>
        <v>577.75189506669915</v>
      </c>
      <c r="S117" s="196">
        <f t="shared" si="358"/>
        <v>2007.7129225604842</v>
      </c>
      <c r="T117" s="197">
        <f t="shared" si="328"/>
        <v>1018.5769493365078</v>
      </c>
      <c r="U117" s="197">
        <f t="shared" si="328"/>
        <v>3031.700358031931</v>
      </c>
      <c r="V117" s="197">
        <f t="shared" si="328"/>
        <v>-1023.9874354714473</v>
      </c>
      <c r="W117" s="199">
        <f t="shared" si="328"/>
        <v>-5.4104861349396742</v>
      </c>
      <c r="Z117" s="881">
        <v>5</v>
      </c>
      <c r="AA117" s="747">
        <f t="shared" si="306"/>
        <v>12.54</v>
      </c>
      <c r="AB117" s="197">
        <f>'Energy Inputs'!$E$58*$AB$109</f>
        <v>82.5</v>
      </c>
      <c r="AC117" s="197">
        <f t="shared" si="359"/>
        <v>1034.55</v>
      </c>
      <c r="AD117" s="197">
        <f>'Margins summary'!$S$14</f>
        <v>220</v>
      </c>
      <c r="AE117" s="197">
        <f t="shared" si="329"/>
        <v>1254.55</v>
      </c>
      <c r="AF117" s="197"/>
      <c r="AG117" s="897">
        <f>'Energy NPV'!U43</f>
        <v>233.81200000000001</v>
      </c>
      <c r="AH117" s="197"/>
      <c r="AI117" s="197">
        <f t="shared" si="307"/>
        <v>233.81200000000001</v>
      </c>
      <c r="AJ117" s="197">
        <f t="shared" si="308"/>
        <v>800.73799999999994</v>
      </c>
      <c r="AK117" s="197">
        <f t="shared" si="309"/>
        <v>1020.7379999999999</v>
      </c>
      <c r="AL117" s="196">
        <f t="shared" si="330"/>
        <v>884.33767582980272</v>
      </c>
      <c r="AM117" s="197">
        <f t="shared" si="331"/>
        <v>188.05692202653967</v>
      </c>
      <c r="AN117" s="197">
        <f t="shared" si="332"/>
        <v>199.86347751304223</v>
      </c>
      <c r="AO117" s="197">
        <f t="shared" si="333"/>
        <v>684.47419831676041</v>
      </c>
      <c r="AP117" s="199">
        <f t="shared" si="334"/>
        <v>872.53112034330013</v>
      </c>
      <c r="AQ117" s="196">
        <f t="shared" si="360"/>
        <v>3011.5693838407265</v>
      </c>
      <c r="AR117" s="197">
        <f t="shared" si="335"/>
        <v>1018.5769493365078</v>
      </c>
      <c r="AS117" s="197">
        <f t="shared" si="335"/>
        <v>3031.700358031931</v>
      </c>
      <c r="AT117" s="197">
        <f t="shared" si="335"/>
        <v>-20.130974191205041</v>
      </c>
      <c r="AU117" s="199">
        <f t="shared" si="335"/>
        <v>998.44597514530267</v>
      </c>
      <c r="AX117" s="881">
        <v>5</v>
      </c>
      <c r="AY117" s="747">
        <f t="shared" si="310"/>
        <v>12.54</v>
      </c>
      <c r="AZ117" s="197">
        <f>'Energy Inputs'!$E$58*$AZ$109</f>
        <v>27.5</v>
      </c>
      <c r="BA117" s="197">
        <f t="shared" si="361"/>
        <v>344.84999999999997</v>
      </c>
      <c r="BB117" s="197">
        <f>'Margins summary'!$S$14</f>
        <v>220</v>
      </c>
      <c r="BC117" s="197">
        <f t="shared" si="336"/>
        <v>564.84999999999991</v>
      </c>
      <c r="BD117" s="197"/>
      <c r="BE117" s="897">
        <f>'Energy NPV'!U43</f>
        <v>233.81200000000001</v>
      </c>
      <c r="BF117" s="197"/>
      <c r="BG117" s="197">
        <f t="shared" si="311"/>
        <v>233.81200000000001</v>
      </c>
      <c r="BH117" s="197">
        <f t="shared" si="312"/>
        <v>111.03799999999995</v>
      </c>
      <c r="BI117" s="197">
        <f t="shared" si="313"/>
        <v>331.0379999999999</v>
      </c>
      <c r="BJ117" s="196">
        <f t="shared" si="337"/>
        <v>294.77922527660087</v>
      </c>
      <c r="BK117" s="197">
        <f t="shared" si="338"/>
        <v>188.05692202653967</v>
      </c>
      <c r="BL117" s="197">
        <f t="shared" si="339"/>
        <v>199.86347751304223</v>
      </c>
      <c r="BM117" s="197">
        <f t="shared" si="340"/>
        <v>94.915747763558642</v>
      </c>
      <c r="BN117" s="199">
        <f t="shared" si="341"/>
        <v>282.97266979009822</v>
      </c>
      <c r="BO117" s="196">
        <f t="shared" ref="BO117:BO128" si="367">BO116+BJ117</f>
        <v>1003.8564612802421</v>
      </c>
      <c r="BP117" s="197">
        <f t="shared" si="342"/>
        <v>1018.5769493365078</v>
      </c>
      <c r="BQ117" s="197">
        <f t="shared" si="342"/>
        <v>3031.700358031931</v>
      </c>
      <c r="BR117" s="197">
        <f t="shared" si="342"/>
        <v>-2027.8438967516895</v>
      </c>
      <c r="BS117" s="199">
        <f t="shared" si="342"/>
        <v>-1009.2669474151817</v>
      </c>
      <c r="BV117" s="881">
        <v>5</v>
      </c>
      <c r="BW117" s="747">
        <f t="shared" si="314"/>
        <v>12.54</v>
      </c>
      <c r="BX117" s="197">
        <f>'Energy Inputs'!$E$58*$BX$109</f>
        <v>110</v>
      </c>
      <c r="BY117" s="197">
        <f t="shared" si="362"/>
        <v>1379.3999999999999</v>
      </c>
      <c r="BZ117" s="197">
        <f>'Margins summary'!$S$14</f>
        <v>220</v>
      </c>
      <c r="CA117" s="197">
        <f t="shared" si="343"/>
        <v>1599.3999999999999</v>
      </c>
      <c r="CB117" s="197"/>
      <c r="CC117" s="897">
        <f>'Energy NPV'!U43</f>
        <v>233.81200000000001</v>
      </c>
      <c r="CD117" s="197"/>
      <c r="CE117" s="197">
        <f t="shared" si="315"/>
        <v>233.81200000000001</v>
      </c>
      <c r="CF117" s="197">
        <f t="shared" si="316"/>
        <v>1145.5879999999997</v>
      </c>
      <c r="CG117" s="197">
        <f t="shared" si="317"/>
        <v>1365.5879999999997</v>
      </c>
      <c r="CH117" s="196">
        <f t="shared" si="344"/>
        <v>1179.1169011064035</v>
      </c>
      <c r="CI117" s="197">
        <f t="shared" si="345"/>
        <v>188.05692202653967</v>
      </c>
      <c r="CJ117" s="197">
        <f t="shared" si="346"/>
        <v>199.86347751304223</v>
      </c>
      <c r="CK117" s="197">
        <f t="shared" si="347"/>
        <v>979.25342359336116</v>
      </c>
      <c r="CL117" s="199">
        <f t="shared" si="348"/>
        <v>1167.3103456199008</v>
      </c>
      <c r="CM117" s="196">
        <f t="shared" si="363"/>
        <v>4015.4258451209685</v>
      </c>
      <c r="CN117" s="197">
        <f t="shared" si="349"/>
        <v>1018.5769493365078</v>
      </c>
      <c r="CO117" s="197">
        <f t="shared" si="349"/>
        <v>3031.700358031931</v>
      </c>
      <c r="CP117" s="197">
        <f t="shared" si="349"/>
        <v>983.72548708903662</v>
      </c>
      <c r="CQ117" s="199">
        <f t="shared" si="349"/>
        <v>2002.3024364255443</v>
      </c>
      <c r="CT117" s="204">
        <f t="shared" si="364"/>
        <v>5</v>
      </c>
      <c r="CU117" s="747">
        <f t="shared" si="318"/>
        <v>12.54</v>
      </c>
      <c r="CV117" s="197">
        <f>'Energy Inputs'!$E$58*$CV$109</f>
        <v>0</v>
      </c>
      <c r="CW117" s="197">
        <f t="shared" si="365"/>
        <v>0</v>
      </c>
      <c r="CX117" s="197">
        <f>'Margins summary'!$S$14</f>
        <v>220</v>
      </c>
      <c r="CY117" s="197">
        <f t="shared" si="350"/>
        <v>220</v>
      </c>
      <c r="CZ117" s="197"/>
      <c r="DA117" s="897">
        <f>'Energy NPV'!U43</f>
        <v>233.81200000000001</v>
      </c>
      <c r="DB117" s="197"/>
      <c r="DC117" s="197">
        <f t="shared" si="319"/>
        <v>233.81200000000001</v>
      </c>
      <c r="DD117" s="197">
        <f t="shared" si="320"/>
        <v>-233.81200000000001</v>
      </c>
      <c r="DE117" s="197">
        <f t="shared" si="321"/>
        <v>-13.812000000000012</v>
      </c>
      <c r="DF117" s="196">
        <f t="shared" si="351"/>
        <v>0</v>
      </c>
      <c r="DG117" s="197">
        <f t="shared" si="352"/>
        <v>188.05692202653967</v>
      </c>
      <c r="DH117" s="197">
        <f t="shared" si="353"/>
        <v>199.86347751304223</v>
      </c>
      <c r="DI117" s="197">
        <f t="shared" si="354"/>
        <v>-199.86347751304223</v>
      </c>
      <c r="DJ117" s="199">
        <f t="shared" si="355"/>
        <v>-11.806555486502582</v>
      </c>
      <c r="DK117" s="196">
        <f t="shared" si="366"/>
        <v>0</v>
      </c>
      <c r="DL117" s="197">
        <f t="shared" si="356"/>
        <v>1018.5769493365078</v>
      </c>
      <c r="DM117" s="197">
        <f t="shared" si="356"/>
        <v>3031.700358031931</v>
      </c>
      <c r="DN117" s="197">
        <f t="shared" si="356"/>
        <v>-3031.700358031931</v>
      </c>
      <c r="DO117" s="199">
        <f t="shared" si="356"/>
        <v>-2013.1234086954234</v>
      </c>
    </row>
    <row r="118" spans="2:119" x14ac:dyDescent="0.3">
      <c r="B118" s="881">
        <v>6</v>
      </c>
      <c r="C118" s="747">
        <f>'Energy NPV'!$D44</f>
        <v>12.54</v>
      </c>
      <c r="D118" s="197">
        <f>'Energy Inputs'!$E$58*$E$109</f>
        <v>55</v>
      </c>
      <c r="E118" s="197">
        <f t="shared" si="357"/>
        <v>689.69999999999993</v>
      </c>
      <c r="F118" s="197">
        <f>'Margins summary'!$S$14</f>
        <v>220</v>
      </c>
      <c r="G118" s="197">
        <f t="shared" si="322"/>
        <v>909.69999999999993</v>
      </c>
      <c r="H118" s="197"/>
      <c r="I118" s="897">
        <f>'Energy NPV'!U44</f>
        <v>233.81200000000001</v>
      </c>
      <c r="J118" s="197"/>
      <c r="K118" s="197">
        <f t="shared" si="303"/>
        <v>233.81200000000001</v>
      </c>
      <c r="L118" s="197">
        <f t="shared" si="304"/>
        <v>455.88799999999992</v>
      </c>
      <c r="M118" s="197">
        <f t="shared" si="305"/>
        <v>675.88799999999992</v>
      </c>
      <c r="N118" s="196">
        <f t="shared" si="323"/>
        <v>566.88312553192475</v>
      </c>
      <c r="O118" s="197">
        <f t="shared" si="324"/>
        <v>180.82396348705734</v>
      </c>
      <c r="P118" s="197">
        <f t="shared" si="325"/>
        <v>192.1764206856175</v>
      </c>
      <c r="Q118" s="197">
        <f t="shared" si="326"/>
        <v>374.70670484630722</v>
      </c>
      <c r="R118" s="199">
        <f t="shared" si="327"/>
        <v>555.53066833336447</v>
      </c>
      <c r="S118" s="196">
        <f t="shared" si="358"/>
        <v>2574.5960480924091</v>
      </c>
      <c r="T118" s="197">
        <f t="shared" si="328"/>
        <v>1199.4009128235652</v>
      </c>
      <c r="U118" s="197">
        <f t="shared" si="328"/>
        <v>3223.8767787175484</v>
      </c>
      <c r="V118" s="197">
        <f t="shared" si="328"/>
        <v>-649.28073062514</v>
      </c>
      <c r="W118" s="199">
        <f t="shared" si="328"/>
        <v>550.1201821984248</v>
      </c>
      <c r="Z118" s="881">
        <v>6</v>
      </c>
      <c r="AA118" s="747">
        <f t="shared" si="306"/>
        <v>12.54</v>
      </c>
      <c r="AB118" s="197">
        <f>'Energy Inputs'!$E$58*$AB$109</f>
        <v>82.5</v>
      </c>
      <c r="AC118" s="197">
        <f t="shared" si="359"/>
        <v>1034.55</v>
      </c>
      <c r="AD118" s="197">
        <f>'Margins summary'!$S$14</f>
        <v>220</v>
      </c>
      <c r="AE118" s="197">
        <f t="shared" si="329"/>
        <v>1254.55</v>
      </c>
      <c r="AF118" s="197"/>
      <c r="AG118" s="897">
        <f>'Energy NPV'!U44</f>
        <v>233.81200000000001</v>
      </c>
      <c r="AH118" s="197"/>
      <c r="AI118" s="197">
        <f t="shared" si="307"/>
        <v>233.81200000000001</v>
      </c>
      <c r="AJ118" s="197">
        <f t="shared" si="308"/>
        <v>800.73799999999994</v>
      </c>
      <c r="AK118" s="197">
        <f t="shared" si="309"/>
        <v>1020.7379999999999</v>
      </c>
      <c r="AL118" s="196">
        <f t="shared" si="330"/>
        <v>850.32468829788706</v>
      </c>
      <c r="AM118" s="197">
        <f t="shared" si="331"/>
        <v>180.82396348705734</v>
      </c>
      <c r="AN118" s="197">
        <f t="shared" si="332"/>
        <v>192.1764206856175</v>
      </c>
      <c r="AO118" s="197">
        <f t="shared" si="333"/>
        <v>658.14826761226959</v>
      </c>
      <c r="AP118" s="199">
        <f t="shared" si="334"/>
        <v>838.9722310993269</v>
      </c>
      <c r="AQ118" s="196">
        <f t="shared" si="360"/>
        <v>3861.8940721386134</v>
      </c>
      <c r="AR118" s="197">
        <f t="shared" si="335"/>
        <v>1199.4009128235652</v>
      </c>
      <c r="AS118" s="197">
        <f t="shared" si="335"/>
        <v>3223.8767787175484</v>
      </c>
      <c r="AT118" s="197">
        <f t="shared" si="335"/>
        <v>638.01729342106455</v>
      </c>
      <c r="AU118" s="199">
        <f t="shared" si="335"/>
        <v>1837.4182062446296</v>
      </c>
      <c r="AX118" s="881">
        <v>6</v>
      </c>
      <c r="AY118" s="747">
        <f t="shared" si="310"/>
        <v>12.54</v>
      </c>
      <c r="AZ118" s="197">
        <f>'Energy Inputs'!$E$58*$AZ$109</f>
        <v>27.5</v>
      </c>
      <c r="BA118" s="197">
        <f t="shared" si="361"/>
        <v>344.84999999999997</v>
      </c>
      <c r="BB118" s="197">
        <f>'Margins summary'!$S$14</f>
        <v>220</v>
      </c>
      <c r="BC118" s="197">
        <f t="shared" si="336"/>
        <v>564.84999999999991</v>
      </c>
      <c r="BD118" s="197"/>
      <c r="BE118" s="897">
        <f>'Energy NPV'!U44</f>
        <v>233.81200000000001</v>
      </c>
      <c r="BF118" s="197"/>
      <c r="BG118" s="197">
        <f t="shared" si="311"/>
        <v>233.81200000000001</v>
      </c>
      <c r="BH118" s="197">
        <f t="shared" si="312"/>
        <v>111.03799999999995</v>
      </c>
      <c r="BI118" s="197">
        <f t="shared" si="313"/>
        <v>331.0379999999999</v>
      </c>
      <c r="BJ118" s="196">
        <f t="shared" si="337"/>
        <v>283.44156276596237</v>
      </c>
      <c r="BK118" s="197">
        <f t="shared" si="338"/>
        <v>180.82396348705734</v>
      </c>
      <c r="BL118" s="197">
        <f t="shared" si="339"/>
        <v>192.1764206856175</v>
      </c>
      <c r="BM118" s="197">
        <f t="shared" si="340"/>
        <v>91.265142080344845</v>
      </c>
      <c r="BN118" s="199">
        <f t="shared" si="341"/>
        <v>272.08910556740216</v>
      </c>
      <c r="BO118" s="196">
        <f t="shared" si="367"/>
        <v>1287.2980240462045</v>
      </c>
      <c r="BP118" s="197">
        <f t="shared" si="342"/>
        <v>1199.4009128235652</v>
      </c>
      <c r="BQ118" s="197">
        <f t="shared" si="342"/>
        <v>3223.8767787175484</v>
      </c>
      <c r="BR118" s="197">
        <f t="shared" si="342"/>
        <v>-1936.5787546713445</v>
      </c>
      <c r="BS118" s="199">
        <f t="shared" si="342"/>
        <v>-737.17784184777952</v>
      </c>
      <c r="BV118" s="881">
        <v>6</v>
      </c>
      <c r="BW118" s="747">
        <f t="shared" si="314"/>
        <v>12.54</v>
      </c>
      <c r="BX118" s="197">
        <f>'Energy Inputs'!$E$58*$BX$109</f>
        <v>110</v>
      </c>
      <c r="BY118" s="197">
        <f t="shared" si="362"/>
        <v>1379.3999999999999</v>
      </c>
      <c r="BZ118" s="197">
        <f>'Margins summary'!$S$14</f>
        <v>220</v>
      </c>
      <c r="CA118" s="197">
        <f t="shared" si="343"/>
        <v>1599.3999999999999</v>
      </c>
      <c r="CB118" s="197"/>
      <c r="CC118" s="897">
        <f>'Energy NPV'!U44</f>
        <v>233.81200000000001</v>
      </c>
      <c r="CD118" s="197"/>
      <c r="CE118" s="197">
        <f t="shared" si="315"/>
        <v>233.81200000000001</v>
      </c>
      <c r="CF118" s="197">
        <f t="shared" si="316"/>
        <v>1145.5879999999997</v>
      </c>
      <c r="CG118" s="197">
        <f t="shared" si="317"/>
        <v>1365.5879999999997</v>
      </c>
      <c r="CH118" s="196">
        <f t="shared" si="344"/>
        <v>1133.7662510638495</v>
      </c>
      <c r="CI118" s="197">
        <f t="shared" si="345"/>
        <v>180.82396348705734</v>
      </c>
      <c r="CJ118" s="197">
        <f t="shared" si="346"/>
        <v>192.1764206856175</v>
      </c>
      <c r="CK118" s="197">
        <f t="shared" si="347"/>
        <v>941.5898303782318</v>
      </c>
      <c r="CL118" s="199">
        <f t="shared" si="348"/>
        <v>1122.4137938652891</v>
      </c>
      <c r="CM118" s="196">
        <f t="shared" si="363"/>
        <v>5149.1920961848182</v>
      </c>
      <c r="CN118" s="197">
        <f t="shared" si="349"/>
        <v>1199.4009128235652</v>
      </c>
      <c r="CO118" s="197">
        <f t="shared" si="349"/>
        <v>3223.8767787175484</v>
      </c>
      <c r="CP118" s="197">
        <f t="shared" si="349"/>
        <v>1925.3153174672684</v>
      </c>
      <c r="CQ118" s="199">
        <f t="shared" si="349"/>
        <v>3124.7162302908337</v>
      </c>
      <c r="CT118" s="204">
        <f t="shared" si="364"/>
        <v>6</v>
      </c>
      <c r="CU118" s="747">
        <f t="shared" si="318"/>
        <v>12.54</v>
      </c>
      <c r="CV118" s="197">
        <f>'Energy Inputs'!$E$58*$CV$109</f>
        <v>0</v>
      </c>
      <c r="CW118" s="197">
        <f t="shared" si="365"/>
        <v>0</v>
      </c>
      <c r="CX118" s="197">
        <f>'Margins summary'!$S$14</f>
        <v>220</v>
      </c>
      <c r="CY118" s="197">
        <f t="shared" si="350"/>
        <v>220</v>
      </c>
      <c r="CZ118" s="197"/>
      <c r="DA118" s="897">
        <f>'Energy NPV'!U44</f>
        <v>233.81200000000001</v>
      </c>
      <c r="DB118" s="197"/>
      <c r="DC118" s="197">
        <f t="shared" si="319"/>
        <v>233.81200000000001</v>
      </c>
      <c r="DD118" s="197">
        <f t="shared" si="320"/>
        <v>-233.81200000000001</v>
      </c>
      <c r="DE118" s="197">
        <f t="shared" si="321"/>
        <v>-13.812000000000012</v>
      </c>
      <c r="DF118" s="196">
        <f t="shared" si="351"/>
        <v>0</v>
      </c>
      <c r="DG118" s="197">
        <f t="shared" si="352"/>
        <v>180.82396348705734</v>
      </c>
      <c r="DH118" s="197">
        <f t="shared" si="353"/>
        <v>192.1764206856175</v>
      </c>
      <c r="DI118" s="197">
        <f t="shared" si="354"/>
        <v>-192.1764206856175</v>
      </c>
      <c r="DJ118" s="199">
        <f t="shared" si="355"/>
        <v>-11.352457198560174</v>
      </c>
      <c r="DK118" s="196">
        <f t="shared" si="366"/>
        <v>0</v>
      </c>
      <c r="DL118" s="197">
        <f t="shared" si="356"/>
        <v>1199.4009128235652</v>
      </c>
      <c r="DM118" s="197">
        <f t="shared" si="356"/>
        <v>3223.8767787175484</v>
      </c>
      <c r="DN118" s="197">
        <f t="shared" si="356"/>
        <v>-3223.8767787175484</v>
      </c>
      <c r="DO118" s="199">
        <f t="shared" si="356"/>
        <v>-2024.4758658939836</v>
      </c>
    </row>
    <row r="119" spans="2:119" x14ac:dyDescent="0.3">
      <c r="B119" s="881">
        <v>7</v>
      </c>
      <c r="C119" s="747">
        <f>'Energy NPV'!$D45</f>
        <v>12.54</v>
      </c>
      <c r="D119" s="197">
        <f>'Energy Inputs'!$E$58*$E$109</f>
        <v>55</v>
      </c>
      <c r="E119" s="197">
        <f t="shared" si="357"/>
        <v>689.69999999999993</v>
      </c>
      <c r="F119" s="197">
        <f>'Margins summary'!$S$14</f>
        <v>220</v>
      </c>
      <c r="G119" s="197">
        <f t="shared" si="322"/>
        <v>909.69999999999993</v>
      </c>
      <c r="H119" s="197"/>
      <c r="I119" s="897">
        <f>'Energy NPV'!U45</f>
        <v>233.81200000000001</v>
      </c>
      <c r="J119" s="197"/>
      <c r="K119" s="197">
        <f t="shared" si="303"/>
        <v>233.81200000000001</v>
      </c>
      <c r="L119" s="197">
        <f t="shared" si="304"/>
        <v>455.88799999999992</v>
      </c>
      <c r="M119" s="197">
        <f t="shared" si="305"/>
        <v>675.88799999999992</v>
      </c>
      <c r="N119" s="196">
        <f t="shared" si="323"/>
        <v>545.07992839608141</v>
      </c>
      <c r="O119" s="197">
        <f t="shared" si="324"/>
        <v>173.86919566063204</v>
      </c>
      <c r="P119" s="197">
        <f t="shared" si="325"/>
        <v>184.78501989001683</v>
      </c>
      <c r="Q119" s="197">
        <f t="shared" si="326"/>
        <v>360.29490850606459</v>
      </c>
      <c r="R119" s="199">
        <f t="shared" si="327"/>
        <v>534.16410416669669</v>
      </c>
      <c r="S119" s="196">
        <f t="shared" si="358"/>
        <v>3119.6759764884905</v>
      </c>
      <c r="T119" s="197">
        <f t="shared" si="328"/>
        <v>1373.2701084841974</v>
      </c>
      <c r="U119" s="197">
        <f t="shared" si="328"/>
        <v>3408.6617986075653</v>
      </c>
      <c r="V119" s="197">
        <f t="shared" si="328"/>
        <v>-288.98582211907541</v>
      </c>
      <c r="W119" s="199">
        <f t="shared" si="328"/>
        <v>1084.2842863651215</v>
      </c>
      <c r="Z119" s="881">
        <v>7</v>
      </c>
      <c r="AA119" s="747">
        <f t="shared" si="306"/>
        <v>12.54</v>
      </c>
      <c r="AB119" s="197">
        <f>'Energy Inputs'!$E$58*$AB$109</f>
        <v>82.5</v>
      </c>
      <c r="AC119" s="197">
        <f t="shared" si="359"/>
        <v>1034.55</v>
      </c>
      <c r="AD119" s="197">
        <f>'Margins summary'!$S$14</f>
        <v>220</v>
      </c>
      <c r="AE119" s="197">
        <f t="shared" si="329"/>
        <v>1254.55</v>
      </c>
      <c r="AF119" s="197"/>
      <c r="AG119" s="897">
        <f>'Energy NPV'!U45</f>
        <v>233.81200000000001</v>
      </c>
      <c r="AH119" s="197"/>
      <c r="AI119" s="197">
        <f t="shared" si="307"/>
        <v>233.81200000000001</v>
      </c>
      <c r="AJ119" s="197">
        <f t="shared" si="308"/>
        <v>800.73799999999994</v>
      </c>
      <c r="AK119" s="197">
        <f t="shared" si="309"/>
        <v>1020.7379999999999</v>
      </c>
      <c r="AL119" s="196">
        <f t="shared" si="330"/>
        <v>817.61989259412223</v>
      </c>
      <c r="AM119" s="197">
        <f t="shared" si="331"/>
        <v>173.86919566063204</v>
      </c>
      <c r="AN119" s="197">
        <f t="shared" si="332"/>
        <v>184.78501989001683</v>
      </c>
      <c r="AO119" s="197">
        <f t="shared" si="333"/>
        <v>632.83487270410535</v>
      </c>
      <c r="AP119" s="199">
        <f t="shared" si="334"/>
        <v>806.7040683647374</v>
      </c>
      <c r="AQ119" s="196">
        <f t="shared" si="360"/>
        <v>4679.513964732736</v>
      </c>
      <c r="AR119" s="197">
        <f t="shared" si="335"/>
        <v>1373.2701084841974</v>
      </c>
      <c r="AS119" s="197">
        <f t="shared" si="335"/>
        <v>3408.6617986075653</v>
      </c>
      <c r="AT119" s="197">
        <f t="shared" si="335"/>
        <v>1270.8521661251698</v>
      </c>
      <c r="AU119" s="199">
        <f t="shared" si="335"/>
        <v>2644.1222746093672</v>
      </c>
      <c r="AX119" s="881">
        <v>7</v>
      </c>
      <c r="AY119" s="747">
        <f t="shared" si="310"/>
        <v>12.54</v>
      </c>
      <c r="AZ119" s="197">
        <f>'Energy Inputs'!$E$58*$AZ$109</f>
        <v>27.5</v>
      </c>
      <c r="BA119" s="197">
        <f t="shared" si="361"/>
        <v>344.84999999999997</v>
      </c>
      <c r="BB119" s="197">
        <f>'Margins summary'!$S$14</f>
        <v>220</v>
      </c>
      <c r="BC119" s="197">
        <f t="shared" si="336"/>
        <v>564.84999999999991</v>
      </c>
      <c r="BD119" s="197"/>
      <c r="BE119" s="897">
        <f>'Energy NPV'!U45</f>
        <v>233.81200000000001</v>
      </c>
      <c r="BF119" s="197"/>
      <c r="BG119" s="197">
        <f t="shared" si="311"/>
        <v>233.81200000000001</v>
      </c>
      <c r="BH119" s="197">
        <f t="shared" si="312"/>
        <v>111.03799999999995</v>
      </c>
      <c r="BI119" s="197">
        <f t="shared" si="313"/>
        <v>331.0379999999999</v>
      </c>
      <c r="BJ119" s="196">
        <f t="shared" si="337"/>
        <v>272.53996419804071</v>
      </c>
      <c r="BK119" s="197">
        <f t="shared" si="338"/>
        <v>173.86919566063204</v>
      </c>
      <c r="BL119" s="197">
        <f t="shared" si="339"/>
        <v>184.78501989001683</v>
      </c>
      <c r="BM119" s="197">
        <f t="shared" si="340"/>
        <v>87.75494430802388</v>
      </c>
      <c r="BN119" s="199">
        <f t="shared" si="341"/>
        <v>261.62413996865587</v>
      </c>
      <c r="BO119" s="196">
        <f t="shared" si="367"/>
        <v>1559.8379882442453</v>
      </c>
      <c r="BP119" s="197">
        <f t="shared" si="342"/>
        <v>1373.2701084841974</v>
      </c>
      <c r="BQ119" s="197">
        <f t="shared" si="342"/>
        <v>3408.6617986075653</v>
      </c>
      <c r="BR119" s="197">
        <f t="shared" si="342"/>
        <v>-1848.8238103633207</v>
      </c>
      <c r="BS119" s="199">
        <f t="shared" si="342"/>
        <v>-475.55370187912365</v>
      </c>
      <c r="BV119" s="881">
        <v>7</v>
      </c>
      <c r="BW119" s="747">
        <f t="shared" si="314"/>
        <v>12.54</v>
      </c>
      <c r="BX119" s="197">
        <f>'Energy Inputs'!$E$58*$BX$109</f>
        <v>110</v>
      </c>
      <c r="BY119" s="197">
        <f t="shared" si="362"/>
        <v>1379.3999999999999</v>
      </c>
      <c r="BZ119" s="197">
        <f>'Margins summary'!$S$14</f>
        <v>220</v>
      </c>
      <c r="CA119" s="197">
        <f t="shared" si="343"/>
        <v>1599.3999999999999</v>
      </c>
      <c r="CB119" s="197"/>
      <c r="CC119" s="897">
        <f>'Energy NPV'!U45</f>
        <v>233.81200000000001</v>
      </c>
      <c r="CD119" s="197"/>
      <c r="CE119" s="197">
        <f t="shared" si="315"/>
        <v>233.81200000000001</v>
      </c>
      <c r="CF119" s="197">
        <f t="shared" si="316"/>
        <v>1145.5879999999997</v>
      </c>
      <c r="CG119" s="197">
        <f t="shared" si="317"/>
        <v>1365.5879999999997</v>
      </c>
      <c r="CH119" s="196">
        <f t="shared" si="344"/>
        <v>1090.1598567921628</v>
      </c>
      <c r="CI119" s="197">
        <f t="shared" si="345"/>
        <v>173.86919566063204</v>
      </c>
      <c r="CJ119" s="197">
        <f t="shared" si="346"/>
        <v>184.78501989001683</v>
      </c>
      <c r="CK119" s="197">
        <f t="shared" si="347"/>
        <v>905.37483690214594</v>
      </c>
      <c r="CL119" s="199">
        <f t="shared" si="348"/>
        <v>1079.2440325627781</v>
      </c>
      <c r="CM119" s="196">
        <f t="shared" si="363"/>
        <v>6239.351952976981</v>
      </c>
      <c r="CN119" s="197">
        <f t="shared" si="349"/>
        <v>1373.2701084841974</v>
      </c>
      <c r="CO119" s="197">
        <f t="shared" si="349"/>
        <v>3408.6617986075653</v>
      </c>
      <c r="CP119" s="197">
        <f t="shared" si="349"/>
        <v>2830.6901543694144</v>
      </c>
      <c r="CQ119" s="199">
        <f t="shared" si="349"/>
        <v>4203.9602628536122</v>
      </c>
      <c r="CT119" s="204">
        <f t="shared" si="364"/>
        <v>7</v>
      </c>
      <c r="CU119" s="747">
        <f t="shared" si="318"/>
        <v>12.54</v>
      </c>
      <c r="CV119" s="197">
        <f>'Energy Inputs'!$E$58*$CV$109</f>
        <v>0</v>
      </c>
      <c r="CW119" s="197">
        <f t="shared" si="365"/>
        <v>0</v>
      </c>
      <c r="CX119" s="197">
        <f>'Margins summary'!$S$14</f>
        <v>220</v>
      </c>
      <c r="CY119" s="197">
        <f t="shared" si="350"/>
        <v>220</v>
      </c>
      <c r="CZ119" s="197"/>
      <c r="DA119" s="897">
        <f>'Energy NPV'!U45</f>
        <v>233.81200000000001</v>
      </c>
      <c r="DB119" s="197"/>
      <c r="DC119" s="197">
        <f t="shared" si="319"/>
        <v>233.81200000000001</v>
      </c>
      <c r="DD119" s="197">
        <f t="shared" si="320"/>
        <v>-233.81200000000001</v>
      </c>
      <c r="DE119" s="197">
        <f t="shared" si="321"/>
        <v>-13.812000000000012</v>
      </c>
      <c r="DF119" s="196">
        <f t="shared" si="351"/>
        <v>0</v>
      </c>
      <c r="DG119" s="197">
        <f t="shared" si="352"/>
        <v>173.86919566063204</v>
      </c>
      <c r="DH119" s="197">
        <f t="shared" si="353"/>
        <v>184.78501989001683</v>
      </c>
      <c r="DI119" s="197">
        <f t="shared" si="354"/>
        <v>-184.78501989001683</v>
      </c>
      <c r="DJ119" s="199">
        <f t="shared" si="355"/>
        <v>-10.915824229384782</v>
      </c>
      <c r="DK119" s="196">
        <f t="shared" si="366"/>
        <v>0</v>
      </c>
      <c r="DL119" s="197">
        <f t="shared" si="356"/>
        <v>1373.2701084841974</v>
      </c>
      <c r="DM119" s="197">
        <f t="shared" si="356"/>
        <v>3408.6617986075653</v>
      </c>
      <c r="DN119" s="197">
        <f t="shared" si="356"/>
        <v>-3408.6617986075653</v>
      </c>
      <c r="DO119" s="199">
        <f t="shared" si="356"/>
        <v>-2035.3916901233683</v>
      </c>
    </row>
    <row r="120" spans="2:119" x14ac:dyDescent="0.3">
      <c r="B120" s="881">
        <v>8</v>
      </c>
      <c r="C120" s="747">
        <f>'Energy NPV'!$D46</f>
        <v>12.54</v>
      </c>
      <c r="D120" s="197">
        <f>'Energy Inputs'!$E$58*$E$109</f>
        <v>55</v>
      </c>
      <c r="E120" s="197">
        <f t="shared" si="357"/>
        <v>689.69999999999993</v>
      </c>
      <c r="F120" s="197">
        <f>'Margins summary'!$S$14</f>
        <v>220</v>
      </c>
      <c r="G120" s="197">
        <f t="shared" si="322"/>
        <v>909.69999999999993</v>
      </c>
      <c r="H120" s="197"/>
      <c r="I120" s="897">
        <f>'Energy NPV'!U46</f>
        <v>233.81200000000001</v>
      </c>
      <c r="J120" s="197"/>
      <c r="K120" s="197">
        <f t="shared" si="303"/>
        <v>233.81200000000001</v>
      </c>
      <c r="L120" s="197">
        <f t="shared" si="304"/>
        <v>455.88799999999992</v>
      </c>
      <c r="M120" s="197">
        <f t="shared" si="305"/>
        <v>675.88799999999992</v>
      </c>
      <c r="N120" s="196">
        <f t="shared" si="323"/>
        <v>524.11531576546292</v>
      </c>
      <c r="O120" s="197">
        <f t="shared" si="324"/>
        <v>167.18191890445391</v>
      </c>
      <c r="P120" s="197">
        <f t="shared" si="325"/>
        <v>177.67790374040084</v>
      </c>
      <c r="Q120" s="197">
        <f t="shared" si="326"/>
        <v>346.43741202506214</v>
      </c>
      <c r="R120" s="199">
        <f t="shared" si="327"/>
        <v>513.61933092951608</v>
      </c>
      <c r="S120" s="196">
        <f t="shared" si="358"/>
        <v>3643.7912922539535</v>
      </c>
      <c r="T120" s="197">
        <f t="shared" si="328"/>
        <v>1540.4520273886512</v>
      </c>
      <c r="U120" s="197">
        <f t="shared" si="328"/>
        <v>3586.3397023479661</v>
      </c>
      <c r="V120" s="197">
        <f t="shared" si="328"/>
        <v>57.451589905986737</v>
      </c>
      <c r="W120" s="199">
        <f t="shared" si="328"/>
        <v>1597.9036172946376</v>
      </c>
      <c r="Z120" s="881">
        <v>8</v>
      </c>
      <c r="AA120" s="747">
        <f t="shared" si="306"/>
        <v>12.54</v>
      </c>
      <c r="AB120" s="197">
        <f>'Energy Inputs'!$E$58*$AB$109</f>
        <v>82.5</v>
      </c>
      <c r="AC120" s="197">
        <f t="shared" si="359"/>
        <v>1034.55</v>
      </c>
      <c r="AD120" s="197">
        <f>'Margins summary'!$S$14</f>
        <v>220</v>
      </c>
      <c r="AE120" s="197">
        <f t="shared" si="329"/>
        <v>1254.55</v>
      </c>
      <c r="AF120" s="197"/>
      <c r="AG120" s="897">
        <f>'Energy NPV'!U46</f>
        <v>233.81200000000001</v>
      </c>
      <c r="AH120" s="197"/>
      <c r="AI120" s="197">
        <f t="shared" si="307"/>
        <v>233.81200000000001</v>
      </c>
      <c r="AJ120" s="197">
        <f t="shared" si="308"/>
        <v>800.73799999999994</v>
      </c>
      <c r="AK120" s="197">
        <f t="shared" si="309"/>
        <v>1020.7379999999999</v>
      </c>
      <c r="AL120" s="196">
        <f t="shared" si="330"/>
        <v>786.17297364819456</v>
      </c>
      <c r="AM120" s="197">
        <f t="shared" si="331"/>
        <v>167.18191890445391</v>
      </c>
      <c r="AN120" s="197">
        <f t="shared" si="332"/>
        <v>177.67790374040084</v>
      </c>
      <c r="AO120" s="197">
        <f t="shared" si="333"/>
        <v>608.49506990779366</v>
      </c>
      <c r="AP120" s="199">
        <f t="shared" si="334"/>
        <v>775.6769888122476</v>
      </c>
      <c r="AQ120" s="196">
        <f t="shared" si="360"/>
        <v>5465.6869383809308</v>
      </c>
      <c r="AR120" s="197">
        <f t="shared" si="335"/>
        <v>1540.4520273886512</v>
      </c>
      <c r="AS120" s="197">
        <f t="shared" si="335"/>
        <v>3586.3397023479661</v>
      </c>
      <c r="AT120" s="197">
        <f t="shared" si="335"/>
        <v>1879.3472360329633</v>
      </c>
      <c r="AU120" s="199">
        <f t="shared" si="335"/>
        <v>3419.7992634216148</v>
      </c>
      <c r="AX120" s="881">
        <v>8</v>
      </c>
      <c r="AY120" s="747">
        <f t="shared" si="310"/>
        <v>12.54</v>
      </c>
      <c r="AZ120" s="197">
        <f>'Energy Inputs'!$E$58*$AZ$109</f>
        <v>27.5</v>
      </c>
      <c r="BA120" s="197">
        <f t="shared" si="361"/>
        <v>344.84999999999997</v>
      </c>
      <c r="BB120" s="197">
        <f>'Margins summary'!$S$14</f>
        <v>220</v>
      </c>
      <c r="BC120" s="197">
        <f t="shared" si="336"/>
        <v>564.84999999999991</v>
      </c>
      <c r="BD120" s="197"/>
      <c r="BE120" s="897">
        <f>'Energy NPV'!U46</f>
        <v>233.81200000000001</v>
      </c>
      <c r="BF120" s="197"/>
      <c r="BG120" s="197">
        <f t="shared" si="311"/>
        <v>233.81200000000001</v>
      </c>
      <c r="BH120" s="197">
        <f t="shared" si="312"/>
        <v>111.03799999999995</v>
      </c>
      <c r="BI120" s="197">
        <f t="shared" si="313"/>
        <v>331.0379999999999</v>
      </c>
      <c r="BJ120" s="196">
        <f t="shared" si="337"/>
        <v>262.05765788273146</v>
      </c>
      <c r="BK120" s="197">
        <f t="shared" si="338"/>
        <v>167.18191890445391</v>
      </c>
      <c r="BL120" s="197">
        <f t="shared" si="339"/>
        <v>177.67790374040084</v>
      </c>
      <c r="BM120" s="197">
        <f t="shared" si="340"/>
        <v>84.379754142330668</v>
      </c>
      <c r="BN120" s="199">
        <f t="shared" si="341"/>
        <v>251.56167304678453</v>
      </c>
      <c r="BO120" s="196">
        <f t="shared" si="367"/>
        <v>1821.8956461269768</v>
      </c>
      <c r="BP120" s="197">
        <f t="shared" si="342"/>
        <v>1540.4520273886512</v>
      </c>
      <c r="BQ120" s="197">
        <f t="shared" si="342"/>
        <v>3586.3397023479661</v>
      </c>
      <c r="BR120" s="197">
        <f t="shared" si="342"/>
        <v>-1764.44405622099</v>
      </c>
      <c r="BS120" s="199">
        <f t="shared" si="342"/>
        <v>-223.99202883233912</v>
      </c>
      <c r="BV120" s="881">
        <v>8</v>
      </c>
      <c r="BW120" s="747">
        <f t="shared" si="314"/>
        <v>12.54</v>
      </c>
      <c r="BX120" s="197">
        <f>'Energy Inputs'!$E$58*$BX$109</f>
        <v>110</v>
      </c>
      <c r="BY120" s="197">
        <f t="shared" si="362"/>
        <v>1379.3999999999999</v>
      </c>
      <c r="BZ120" s="197">
        <f>'Margins summary'!$S$14</f>
        <v>220</v>
      </c>
      <c r="CA120" s="197">
        <f t="shared" si="343"/>
        <v>1599.3999999999999</v>
      </c>
      <c r="CB120" s="197"/>
      <c r="CC120" s="897">
        <f>'Energy NPV'!U46</f>
        <v>233.81200000000001</v>
      </c>
      <c r="CD120" s="197"/>
      <c r="CE120" s="197">
        <f t="shared" si="315"/>
        <v>233.81200000000001</v>
      </c>
      <c r="CF120" s="197">
        <f t="shared" si="316"/>
        <v>1145.5879999999997</v>
      </c>
      <c r="CG120" s="197">
        <f t="shared" si="317"/>
        <v>1365.5879999999997</v>
      </c>
      <c r="CH120" s="196">
        <f t="shared" si="344"/>
        <v>1048.2306315309258</v>
      </c>
      <c r="CI120" s="197">
        <f t="shared" si="345"/>
        <v>167.18191890445391</v>
      </c>
      <c r="CJ120" s="197">
        <f t="shared" si="346"/>
        <v>177.67790374040084</v>
      </c>
      <c r="CK120" s="197">
        <f t="shared" si="347"/>
        <v>870.55272779052507</v>
      </c>
      <c r="CL120" s="199">
        <f t="shared" si="348"/>
        <v>1037.7346466949789</v>
      </c>
      <c r="CM120" s="196">
        <f t="shared" si="363"/>
        <v>7287.5825845079071</v>
      </c>
      <c r="CN120" s="197">
        <f t="shared" si="349"/>
        <v>1540.4520273886512</v>
      </c>
      <c r="CO120" s="197">
        <f t="shared" si="349"/>
        <v>3586.3397023479661</v>
      </c>
      <c r="CP120" s="197">
        <f t="shared" si="349"/>
        <v>3701.2428821599397</v>
      </c>
      <c r="CQ120" s="199">
        <f t="shared" si="349"/>
        <v>5241.6949095485907</v>
      </c>
      <c r="CT120" s="204">
        <f t="shared" si="364"/>
        <v>8</v>
      </c>
      <c r="CU120" s="747">
        <f t="shared" si="318"/>
        <v>12.54</v>
      </c>
      <c r="CV120" s="197">
        <f>'Energy Inputs'!$E$58*$CV$109</f>
        <v>0</v>
      </c>
      <c r="CW120" s="197">
        <f t="shared" si="365"/>
        <v>0</v>
      </c>
      <c r="CX120" s="197">
        <f>'Margins summary'!$S$14</f>
        <v>220</v>
      </c>
      <c r="CY120" s="197">
        <f t="shared" si="350"/>
        <v>220</v>
      </c>
      <c r="CZ120" s="197"/>
      <c r="DA120" s="897">
        <f>'Energy NPV'!U46</f>
        <v>233.81200000000001</v>
      </c>
      <c r="DB120" s="197"/>
      <c r="DC120" s="197">
        <f t="shared" si="319"/>
        <v>233.81200000000001</v>
      </c>
      <c r="DD120" s="197">
        <f t="shared" si="320"/>
        <v>-233.81200000000001</v>
      </c>
      <c r="DE120" s="197">
        <f t="shared" si="321"/>
        <v>-13.812000000000012</v>
      </c>
      <c r="DF120" s="196">
        <f t="shared" si="351"/>
        <v>0</v>
      </c>
      <c r="DG120" s="197">
        <f t="shared" si="352"/>
        <v>167.18191890445391</v>
      </c>
      <c r="DH120" s="197">
        <f t="shared" si="353"/>
        <v>177.67790374040084</v>
      </c>
      <c r="DI120" s="197">
        <f t="shared" si="354"/>
        <v>-177.67790374040084</v>
      </c>
      <c r="DJ120" s="199">
        <f t="shared" si="355"/>
        <v>-10.495984835946906</v>
      </c>
      <c r="DK120" s="196">
        <f t="shared" si="366"/>
        <v>0</v>
      </c>
      <c r="DL120" s="197">
        <f t="shared" si="356"/>
        <v>1540.4520273886512</v>
      </c>
      <c r="DM120" s="197">
        <f t="shared" si="356"/>
        <v>3586.3397023479661</v>
      </c>
      <c r="DN120" s="197">
        <f t="shared" si="356"/>
        <v>-3586.3397023479661</v>
      </c>
      <c r="DO120" s="199">
        <f t="shared" si="356"/>
        <v>-2045.8876749593153</v>
      </c>
    </row>
    <row r="121" spans="2:119" x14ac:dyDescent="0.3">
      <c r="B121" s="881">
        <v>9</v>
      </c>
      <c r="C121" s="747">
        <f>'Energy NPV'!$D47</f>
        <v>12.54</v>
      </c>
      <c r="D121" s="197">
        <f>'Energy Inputs'!$E$58*$E$109</f>
        <v>55</v>
      </c>
      <c r="E121" s="197">
        <f t="shared" si="357"/>
        <v>689.69999999999993</v>
      </c>
      <c r="F121" s="197">
        <f>'Margins summary'!$S$14</f>
        <v>220</v>
      </c>
      <c r="G121" s="197">
        <f t="shared" si="322"/>
        <v>909.69999999999993</v>
      </c>
      <c r="H121" s="197"/>
      <c r="I121" s="897">
        <f>'Energy NPV'!U47</f>
        <v>233.81200000000001</v>
      </c>
      <c r="J121" s="197"/>
      <c r="K121" s="197">
        <f t="shared" si="303"/>
        <v>233.81200000000001</v>
      </c>
      <c r="L121" s="197">
        <f t="shared" si="304"/>
        <v>455.88799999999992</v>
      </c>
      <c r="M121" s="197">
        <f t="shared" si="305"/>
        <v>675.88799999999992</v>
      </c>
      <c r="N121" s="196">
        <f t="shared" si="323"/>
        <v>503.95703438986817</v>
      </c>
      <c r="O121" s="197">
        <f t="shared" si="324"/>
        <v>160.75184510043644</v>
      </c>
      <c r="P121" s="197">
        <f t="shared" si="325"/>
        <v>170.84413821192385</v>
      </c>
      <c r="Q121" s="197">
        <f t="shared" si="326"/>
        <v>333.11289617794432</v>
      </c>
      <c r="R121" s="199">
        <f t="shared" si="327"/>
        <v>493.86474127838073</v>
      </c>
      <c r="S121" s="196">
        <f t="shared" si="358"/>
        <v>4147.7483266438221</v>
      </c>
      <c r="T121" s="197">
        <f t="shared" si="328"/>
        <v>1701.2038724890876</v>
      </c>
      <c r="U121" s="197">
        <f t="shared" si="328"/>
        <v>3757.1838405598901</v>
      </c>
      <c r="V121" s="197">
        <f t="shared" si="328"/>
        <v>390.56448608393106</v>
      </c>
      <c r="W121" s="199">
        <f t="shared" si="328"/>
        <v>2091.7683585730183</v>
      </c>
      <c r="Z121" s="881">
        <v>9</v>
      </c>
      <c r="AA121" s="747">
        <f t="shared" si="306"/>
        <v>12.54</v>
      </c>
      <c r="AB121" s="197">
        <f>'Energy Inputs'!$E$58*$AB$109</f>
        <v>82.5</v>
      </c>
      <c r="AC121" s="197">
        <f t="shared" si="359"/>
        <v>1034.55</v>
      </c>
      <c r="AD121" s="197">
        <f>'Margins summary'!$S$14</f>
        <v>220</v>
      </c>
      <c r="AE121" s="197">
        <f t="shared" si="329"/>
        <v>1254.55</v>
      </c>
      <c r="AF121" s="197"/>
      <c r="AG121" s="897">
        <f>'Energy NPV'!U47</f>
        <v>233.81200000000001</v>
      </c>
      <c r="AH121" s="197"/>
      <c r="AI121" s="197">
        <f t="shared" si="307"/>
        <v>233.81200000000001</v>
      </c>
      <c r="AJ121" s="197">
        <f t="shared" si="308"/>
        <v>800.73799999999994</v>
      </c>
      <c r="AK121" s="197">
        <f t="shared" si="309"/>
        <v>1020.7379999999999</v>
      </c>
      <c r="AL121" s="196">
        <f t="shared" si="330"/>
        <v>755.93555158480228</v>
      </c>
      <c r="AM121" s="197">
        <f t="shared" si="331"/>
        <v>160.75184510043644</v>
      </c>
      <c r="AN121" s="197">
        <f t="shared" si="332"/>
        <v>170.84413821192385</v>
      </c>
      <c r="AO121" s="197">
        <f t="shared" si="333"/>
        <v>585.09141337287849</v>
      </c>
      <c r="AP121" s="199">
        <f t="shared" si="334"/>
        <v>745.8432584733149</v>
      </c>
      <c r="AQ121" s="196">
        <f t="shared" si="360"/>
        <v>6221.6224899657327</v>
      </c>
      <c r="AR121" s="197">
        <f t="shared" si="335"/>
        <v>1701.2038724890876</v>
      </c>
      <c r="AS121" s="197">
        <f t="shared" si="335"/>
        <v>3757.1838405598901</v>
      </c>
      <c r="AT121" s="197">
        <f t="shared" si="335"/>
        <v>2464.4386494058417</v>
      </c>
      <c r="AU121" s="199">
        <f t="shared" si="335"/>
        <v>4165.6425218949298</v>
      </c>
      <c r="AX121" s="881">
        <v>9</v>
      </c>
      <c r="AY121" s="747">
        <f t="shared" si="310"/>
        <v>12.54</v>
      </c>
      <c r="AZ121" s="197">
        <f>'Energy Inputs'!$E$58*$AZ$109</f>
        <v>27.5</v>
      </c>
      <c r="BA121" s="197">
        <f t="shared" si="361"/>
        <v>344.84999999999997</v>
      </c>
      <c r="BB121" s="197">
        <f>'Margins summary'!$S$14</f>
        <v>220</v>
      </c>
      <c r="BC121" s="197">
        <f t="shared" si="336"/>
        <v>564.84999999999991</v>
      </c>
      <c r="BD121" s="197"/>
      <c r="BE121" s="897">
        <f>'Energy NPV'!U47</f>
        <v>233.81200000000001</v>
      </c>
      <c r="BF121" s="197"/>
      <c r="BG121" s="197">
        <f t="shared" si="311"/>
        <v>233.81200000000001</v>
      </c>
      <c r="BH121" s="197">
        <f t="shared" si="312"/>
        <v>111.03799999999995</v>
      </c>
      <c r="BI121" s="197">
        <f t="shared" si="313"/>
        <v>331.0379999999999</v>
      </c>
      <c r="BJ121" s="196">
        <f t="shared" si="337"/>
        <v>251.97851719493408</v>
      </c>
      <c r="BK121" s="197">
        <f t="shared" si="338"/>
        <v>160.75184510043644</v>
      </c>
      <c r="BL121" s="197">
        <f t="shared" si="339"/>
        <v>170.84413821192385</v>
      </c>
      <c r="BM121" s="197">
        <f t="shared" si="340"/>
        <v>81.134378983010237</v>
      </c>
      <c r="BN121" s="199">
        <f t="shared" si="341"/>
        <v>241.88622408344662</v>
      </c>
      <c r="BO121" s="196">
        <f t="shared" si="367"/>
        <v>2073.8741633219111</v>
      </c>
      <c r="BP121" s="197">
        <f t="shared" si="342"/>
        <v>1701.2038724890876</v>
      </c>
      <c r="BQ121" s="197">
        <f t="shared" si="342"/>
        <v>3757.1838405598901</v>
      </c>
      <c r="BR121" s="197">
        <f t="shared" si="342"/>
        <v>-1683.3096772379797</v>
      </c>
      <c r="BS121" s="199">
        <f t="shared" si="342"/>
        <v>17.894195251107504</v>
      </c>
      <c r="BV121" s="881">
        <v>9</v>
      </c>
      <c r="BW121" s="747">
        <f t="shared" si="314"/>
        <v>12.54</v>
      </c>
      <c r="BX121" s="197">
        <f>'Energy Inputs'!$E$58*$BX$109</f>
        <v>110</v>
      </c>
      <c r="BY121" s="197">
        <f t="shared" si="362"/>
        <v>1379.3999999999999</v>
      </c>
      <c r="BZ121" s="197">
        <f>'Margins summary'!$S$14</f>
        <v>220</v>
      </c>
      <c r="CA121" s="197">
        <f t="shared" si="343"/>
        <v>1599.3999999999999</v>
      </c>
      <c r="CB121" s="197"/>
      <c r="CC121" s="897">
        <f>'Energy NPV'!U47</f>
        <v>233.81200000000001</v>
      </c>
      <c r="CD121" s="197"/>
      <c r="CE121" s="197">
        <f t="shared" si="315"/>
        <v>233.81200000000001</v>
      </c>
      <c r="CF121" s="197">
        <f t="shared" si="316"/>
        <v>1145.5879999999997</v>
      </c>
      <c r="CG121" s="197">
        <f t="shared" si="317"/>
        <v>1365.5879999999997</v>
      </c>
      <c r="CH121" s="196">
        <f t="shared" si="344"/>
        <v>1007.9140687797363</v>
      </c>
      <c r="CI121" s="197">
        <f t="shared" si="345"/>
        <v>160.75184510043644</v>
      </c>
      <c r="CJ121" s="197">
        <f t="shared" si="346"/>
        <v>170.84413821192385</v>
      </c>
      <c r="CK121" s="197">
        <f t="shared" si="347"/>
        <v>837.06993056781243</v>
      </c>
      <c r="CL121" s="199">
        <f t="shared" si="348"/>
        <v>997.82177566824885</v>
      </c>
      <c r="CM121" s="196">
        <f t="shared" si="363"/>
        <v>8295.4966532876442</v>
      </c>
      <c r="CN121" s="197">
        <f t="shared" si="349"/>
        <v>1701.2038724890876</v>
      </c>
      <c r="CO121" s="197">
        <f t="shared" si="349"/>
        <v>3757.1838405598901</v>
      </c>
      <c r="CP121" s="197">
        <f t="shared" si="349"/>
        <v>4538.3128127277523</v>
      </c>
      <c r="CQ121" s="199">
        <f t="shared" si="349"/>
        <v>6239.5166852168395</v>
      </c>
      <c r="CT121" s="204">
        <f t="shared" si="364"/>
        <v>9</v>
      </c>
      <c r="CU121" s="747">
        <f t="shared" si="318"/>
        <v>12.54</v>
      </c>
      <c r="CV121" s="197">
        <f>'Energy Inputs'!$E$58*$CV$109</f>
        <v>0</v>
      </c>
      <c r="CW121" s="197">
        <f t="shared" si="365"/>
        <v>0</v>
      </c>
      <c r="CX121" s="197">
        <f>'Margins summary'!$S$14</f>
        <v>220</v>
      </c>
      <c r="CY121" s="197">
        <f t="shared" si="350"/>
        <v>220</v>
      </c>
      <c r="CZ121" s="197"/>
      <c r="DA121" s="897">
        <f>'Energy NPV'!U47</f>
        <v>233.81200000000001</v>
      </c>
      <c r="DB121" s="197"/>
      <c r="DC121" s="197">
        <f t="shared" si="319"/>
        <v>233.81200000000001</v>
      </c>
      <c r="DD121" s="197">
        <f t="shared" si="320"/>
        <v>-233.81200000000001</v>
      </c>
      <c r="DE121" s="197">
        <f t="shared" si="321"/>
        <v>-13.812000000000012</v>
      </c>
      <c r="DF121" s="196">
        <f t="shared" si="351"/>
        <v>0</v>
      </c>
      <c r="DG121" s="197">
        <f t="shared" si="352"/>
        <v>160.75184510043644</v>
      </c>
      <c r="DH121" s="197">
        <f t="shared" si="353"/>
        <v>170.84413821192385</v>
      </c>
      <c r="DI121" s="197">
        <f t="shared" si="354"/>
        <v>-170.84413821192385</v>
      </c>
      <c r="DJ121" s="199">
        <f t="shared" si="355"/>
        <v>-10.092293111487409</v>
      </c>
      <c r="DK121" s="196">
        <f t="shared" si="366"/>
        <v>0</v>
      </c>
      <c r="DL121" s="197">
        <f t="shared" si="356"/>
        <v>1701.2038724890876</v>
      </c>
      <c r="DM121" s="197">
        <f t="shared" si="356"/>
        <v>3757.1838405598901</v>
      </c>
      <c r="DN121" s="197">
        <f t="shared" si="356"/>
        <v>-3757.1838405598901</v>
      </c>
      <c r="DO121" s="199">
        <f t="shared" si="356"/>
        <v>-2055.9799680708029</v>
      </c>
    </row>
    <row r="122" spans="2:119" x14ac:dyDescent="0.3">
      <c r="B122" s="881">
        <v>10</v>
      </c>
      <c r="C122" s="747">
        <f>'Energy NPV'!$D48</f>
        <v>12.54</v>
      </c>
      <c r="D122" s="197">
        <f>'Energy Inputs'!$E$58*$E$109</f>
        <v>55</v>
      </c>
      <c r="E122" s="197">
        <f t="shared" si="357"/>
        <v>689.69999999999993</v>
      </c>
      <c r="F122" s="197">
        <f>'Margins summary'!$S$14</f>
        <v>220</v>
      </c>
      <c r="G122" s="197">
        <f t="shared" si="322"/>
        <v>909.69999999999993</v>
      </c>
      <c r="H122" s="197"/>
      <c r="I122" s="897">
        <f>'Energy NPV'!U48</f>
        <v>233.81200000000001</v>
      </c>
      <c r="J122" s="197"/>
      <c r="K122" s="197">
        <f t="shared" si="303"/>
        <v>233.81200000000001</v>
      </c>
      <c r="L122" s="197">
        <f t="shared" si="304"/>
        <v>455.88799999999992</v>
      </c>
      <c r="M122" s="197">
        <f t="shared" si="305"/>
        <v>675.88799999999992</v>
      </c>
      <c r="N122" s="196">
        <f t="shared" si="323"/>
        <v>484.57407152871934</v>
      </c>
      <c r="O122" s="197">
        <f t="shared" si="324"/>
        <v>154.5690818273427</v>
      </c>
      <c r="P122" s="197">
        <f t="shared" si="325"/>
        <v>164.27320981915753</v>
      </c>
      <c r="Q122" s="197">
        <f t="shared" si="326"/>
        <v>320.30086170956184</v>
      </c>
      <c r="R122" s="199">
        <f t="shared" si="327"/>
        <v>474.86994353690454</v>
      </c>
      <c r="S122" s="196">
        <f t="shared" si="358"/>
        <v>4632.3223981725414</v>
      </c>
      <c r="T122" s="197">
        <f t="shared" si="328"/>
        <v>1855.7729543164303</v>
      </c>
      <c r="U122" s="197">
        <f t="shared" si="328"/>
        <v>3921.4570503790478</v>
      </c>
      <c r="V122" s="197">
        <f t="shared" si="328"/>
        <v>710.8653477934929</v>
      </c>
      <c r="W122" s="199">
        <f t="shared" si="328"/>
        <v>2566.6383021099227</v>
      </c>
      <c r="Z122" s="881">
        <v>10</v>
      </c>
      <c r="AA122" s="747">
        <f t="shared" si="306"/>
        <v>12.54</v>
      </c>
      <c r="AB122" s="197">
        <f>'Energy Inputs'!$E$58*$AB$109</f>
        <v>82.5</v>
      </c>
      <c r="AC122" s="197">
        <f t="shared" si="359"/>
        <v>1034.55</v>
      </c>
      <c r="AD122" s="197">
        <f>'Margins summary'!$S$14</f>
        <v>220</v>
      </c>
      <c r="AE122" s="197">
        <f t="shared" si="329"/>
        <v>1254.55</v>
      </c>
      <c r="AF122" s="197"/>
      <c r="AG122" s="897">
        <f>'Energy NPV'!U48</f>
        <v>233.81200000000001</v>
      </c>
      <c r="AH122" s="197"/>
      <c r="AI122" s="197">
        <f t="shared" si="307"/>
        <v>233.81200000000001</v>
      </c>
      <c r="AJ122" s="197">
        <f t="shared" si="308"/>
        <v>800.73799999999994</v>
      </c>
      <c r="AK122" s="197">
        <f t="shared" si="309"/>
        <v>1020.7379999999999</v>
      </c>
      <c r="AL122" s="196">
        <f t="shared" si="330"/>
        <v>726.86110729307904</v>
      </c>
      <c r="AM122" s="197">
        <f t="shared" si="331"/>
        <v>154.5690818273427</v>
      </c>
      <c r="AN122" s="197">
        <f t="shared" si="332"/>
        <v>164.27320981915753</v>
      </c>
      <c r="AO122" s="197">
        <f t="shared" si="333"/>
        <v>562.58789747392154</v>
      </c>
      <c r="AP122" s="199">
        <f t="shared" si="334"/>
        <v>717.15697930126419</v>
      </c>
      <c r="AQ122" s="196">
        <f t="shared" si="360"/>
        <v>6948.4835972588116</v>
      </c>
      <c r="AR122" s="197">
        <f t="shared" si="335"/>
        <v>1855.7729543164303</v>
      </c>
      <c r="AS122" s="197">
        <f t="shared" si="335"/>
        <v>3921.4570503790478</v>
      </c>
      <c r="AT122" s="197">
        <f t="shared" si="335"/>
        <v>3027.0265468797634</v>
      </c>
      <c r="AU122" s="199">
        <f t="shared" si="335"/>
        <v>4882.7995011961939</v>
      </c>
      <c r="AX122" s="881">
        <v>10</v>
      </c>
      <c r="AY122" s="747">
        <f t="shared" si="310"/>
        <v>12.54</v>
      </c>
      <c r="AZ122" s="197">
        <f>'Energy Inputs'!$E$58*$AZ$109</f>
        <v>27.5</v>
      </c>
      <c r="BA122" s="197">
        <f t="shared" si="361"/>
        <v>344.84999999999997</v>
      </c>
      <c r="BB122" s="197">
        <f>'Margins summary'!$S$14</f>
        <v>220</v>
      </c>
      <c r="BC122" s="197">
        <f t="shared" si="336"/>
        <v>564.84999999999991</v>
      </c>
      <c r="BD122" s="197"/>
      <c r="BE122" s="897">
        <f>'Energy NPV'!U48</f>
        <v>233.81200000000001</v>
      </c>
      <c r="BF122" s="197"/>
      <c r="BG122" s="197">
        <f t="shared" si="311"/>
        <v>233.81200000000001</v>
      </c>
      <c r="BH122" s="197">
        <f t="shared" si="312"/>
        <v>111.03799999999995</v>
      </c>
      <c r="BI122" s="197">
        <f t="shared" si="313"/>
        <v>331.0379999999999</v>
      </c>
      <c r="BJ122" s="196">
        <f t="shared" si="337"/>
        <v>242.28703576435967</v>
      </c>
      <c r="BK122" s="197">
        <f t="shared" si="338"/>
        <v>154.5690818273427</v>
      </c>
      <c r="BL122" s="197">
        <f t="shared" si="339"/>
        <v>164.27320981915753</v>
      </c>
      <c r="BM122" s="197">
        <f t="shared" si="340"/>
        <v>78.013825945202143</v>
      </c>
      <c r="BN122" s="199">
        <f t="shared" si="341"/>
        <v>232.58290777254481</v>
      </c>
      <c r="BO122" s="196">
        <f t="shared" si="367"/>
        <v>2316.1611990862707</v>
      </c>
      <c r="BP122" s="197">
        <f t="shared" si="342"/>
        <v>1855.7729543164303</v>
      </c>
      <c r="BQ122" s="197">
        <f t="shared" si="342"/>
        <v>3921.4570503790478</v>
      </c>
      <c r="BR122" s="197">
        <f t="shared" si="342"/>
        <v>-1605.2958512927776</v>
      </c>
      <c r="BS122" s="199">
        <f t="shared" si="342"/>
        <v>250.47710302365232</v>
      </c>
      <c r="BV122" s="881">
        <v>10</v>
      </c>
      <c r="BW122" s="747">
        <f t="shared" si="314"/>
        <v>12.54</v>
      </c>
      <c r="BX122" s="197">
        <f>'Energy Inputs'!$E$58*$BX$109</f>
        <v>110</v>
      </c>
      <c r="BY122" s="197">
        <f t="shared" si="362"/>
        <v>1379.3999999999999</v>
      </c>
      <c r="BZ122" s="197">
        <f>'Margins summary'!$S$14</f>
        <v>220</v>
      </c>
      <c r="CA122" s="197">
        <f t="shared" si="343"/>
        <v>1599.3999999999999</v>
      </c>
      <c r="CB122" s="197"/>
      <c r="CC122" s="897">
        <f>'Energy NPV'!U48</f>
        <v>233.81200000000001</v>
      </c>
      <c r="CD122" s="197"/>
      <c r="CE122" s="197">
        <f t="shared" si="315"/>
        <v>233.81200000000001</v>
      </c>
      <c r="CF122" s="197">
        <f t="shared" si="316"/>
        <v>1145.5879999999997</v>
      </c>
      <c r="CG122" s="197">
        <f t="shared" si="317"/>
        <v>1365.5879999999997</v>
      </c>
      <c r="CH122" s="196">
        <f t="shared" si="344"/>
        <v>969.14814305743869</v>
      </c>
      <c r="CI122" s="197">
        <f t="shared" si="345"/>
        <v>154.5690818273427</v>
      </c>
      <c r="CJ122" s="197">
        <f t="shared" si="346"/>
        <v>164.27320981915753</v>
      </c>
      <c r="CK122" s="197">
        <f t="shared" si="347"/>
        <v>804.87493323828107</v>
      </c>
      <c r="CL122" s="199">
        <f t="shared" si="348"/>
        <v>959.44401506562383</v>
      </c>
      <c r="CM122" s="196">
        <f t="shared" si="363"/>
        <v>9264.6447963450828</v>
      </c>
      <c r="CN122" s="197">
        <f t="shared" si="349"/>
        <v>1855.7729543164303</v>
      </c>
      <c r="CO122" s="197">
        <f t="shared" si="349"/>
        <v>3921.4570503790478</v>
      </c>
      <c r="CP122" s="197">
        <f t="shared" si="349"/>
        <v>5343.1877459660336</v>
      </c>
      <c r="CQ122" s="199">
        <f t="shared" si="349"/>
        <v>7198.9607002824632</v>
      </c>
      <c r="CT122" s="204">
        <f t="shared" si="364"/>
        <v>10</v>
      </c>
      <c r="CU122" s="747">
        <f t="shared" si="318"/>
        <v>12.54</v>
      </c>
      <c r="CV122" s="197">
        <f>'Energy Inputs'!$E$58*$CV$109</f>
        <v>0</v>
      </c>
      <c r="CW122" s="197">
        <f t="shared" si="365"/>
        <v>0</v>
      </c>
      <c r="CX122" s="197">
        <f>'Margins summary'!$S$14</f>
        <v>220</v>
      </c>
      <c r="CY122" s="197">
        <f t="shared" si="350"/>
        <v>220</v>
      </c>
      <c r="CZ122" s="197"/>
      <c r="DA122" s="897">
        <f>'Energy NPV'!U48</f>
        <v>233.81200000000001</v>
      </c>
      <c r="DB122" s="197"/>
      <c r="DC122" s="197">
        <f t="shared" si="319"/>
        <v>233.81200000000001</v>
      </c>
      <c r="DD122" s="197">
        <f t="shared" si="320"/>
        <v>-233.81200000000001</v>
      </c>
      <c r="DE122" s="197">
        <f t="shared" si="321"/>
        <v>-13.812000000000012</v>
      </c>
      <c r="DF122" s="196">
        <f t="shared" si="351"/>
        <v>0</v>
      </c>
      <c r="DG122" s="197">
        <f t="shared" si="352"/>
        <v>154.5690818273427</v>
      </c>
      <c r="DH122" s="197">
        <f t="shared" si="353"/>
        <v>164.27320981915753</v>
      </c>
      <c r="DI122" s="197">
        <f t="shared" si="354"/>
        <v>-164.27320981915753</v>
      </c>
      <c r="DJ122" s="199">
        <f t="shared" si="355"/>
        <v>-9.7041279918148149</v>
      </c>
      <c r="DK122" s="196">
        <f t="shared" si="366"/>
        <v>0</v>
      </c>
      <c r="DL122" s="197">
        <f t="shared" si="356"/>
        <v>1855.7729543164303</v>
      </c>
      <c r="DM122" s="197">
        <f t="shared" si="356"/>
        <v>3921.4570503790478</v>
      </c>
      <c r="DN122" s="197">
        <f t="shared" si="356"/>
        <v>-3921.4570503790478</v>
      </c>
      <c r="DO122" s="199">
        <f t="shared" si="356"/>
        <v>-2065.6840960626178</v>
      </c>
    </row>
    <row r="123" spans="2:119" x14ac:dyDescent="0.3">
      <c r="B123" s="881">
        <v>11</v>
      </c>
      <c r="C123" s="747">
        <f>'Energy NPV'!$D49</f>
        <v>12.54</v>
      </c>
      <c r="D123" s="197">
        <f>'Energy Inputs'!$E$58*$E$109</f>
        <v>55</v>
      </c>
      <c r="E123" s="197">
        <f t="shared" si="357"/>
        <v>689.69999999999993</v>
      </c>
      <c r="F123" s="197">
        <f>'Margins summary'!$S$14</f>
        <v>220</v>
      </c>
      <c r="G123" s="197">
        <f t="shared" si="322"/>
        <v>909.69999999999993</v>
      </c>
      <c r="H123" s="197"/>
      <c r="I123" s="897">
        <f>'Energy NPV'!U49</f>
        <v>233.81200000000001</v>
      </c>
      <c r="J123" s="197"/>
      <c r="K123" s="197">
        <f t="shared" si="303"/>
        <v>233.81200000000001</v>
      </c>
      <c r="L123" s="197">
        <f t="shared" si="304"/>
        <v>455.88799999999992</v>
      </c>
      <c r="M123" s="197">
        <f t="shared" si="305"/>
        <v>675.88799999999992</v>
      </c>
      <c r="N123" s="196">
        <f t="shared" si="323"/>
        <v>465.9366072391532</v>
      </c>
      <c r="O123" s="197">
        <f t="shared" si="324"/>
        <v>148.62411714167567</v>
      </c>
      <c r="P123" s="197">
        <f t="shared" si="325"/>
        <v>157.95500944149762</v>
      </c>
      <c r="Q123" s="197">
        <f t="shared" si="326"/>
        <v>307.98159779765558</v>
      </c>
      <c r="R123" s="199">
        <f t="shared" si="327"/>
        <v>456.60571493933128</v>
      </c>
      <c r="S123" s="196">
        <f t="shared" si="358"/>
        <v>5098.2590054116945</v>
      </c>
      <c r="T123" s="197">
        <f t="shared" si="328"/>
        <v>2004.397071458106</v>
      </c>
      <c r="U123" s="197">
        <f t="shared" si="328"/>
        <v>4079.4120598205454</v>
      </c>
      <c r="V123" s="197">
        <f t="shared" si="328"/>
        <v>1018.8469455911485</v>
      </c>
      <c r="W123" s="199">
        <f t="shared" si="328"/>
        <v>3023.2440170492541</v>
      </c>
      <c r="Z123" s="881">
        <v>11</v>
      </c>
      <c r="AA123" s="747">
        <f t="shared" si="306"/>
        <v>12.54</v>
      </c>
      <c r="AB123" s="197">
        <f>'Energy Inputs'!$E$58*$AB$109</f>
        <v>82.5</v>
      </c>
      <c r="AC123" s="197">
        <f t="shared" si="359"/>
        <v>1034.55</v>
      </c>
      <c r="AD123" s="197">
        <f>'Margins summary'!$S$14</f>
        <v>220</v>
      </c>
      <c r="AE123" s="197">
        <f t="shared" si="329"/>
        <v>1254.55</v>
      </c>
      <c r="AF123" s="197"/>
      <c r="AG123" s="897">
        <f>'Energy NPV'!U49</f>
        <v>233.81200000000001</v>
      </c>
      <c r="AH123" s="197"/>
      <c r="AI123" s="197">
        <f t="shared" si="307"/>
        <v>233.81200000000001</v>
      </c>
      <c r="AJ123" s="197">
        <f t="shared" si="308"/>
        <v>800.73799999999994</v>
      </c>
      <c r="AK123" s="197">
        <f t="shared" si="309"/>
        <v>1020.7379999999999</v>
      </c>
      <c r="AL123" s="196">
        <f t="shared" si="330"/>
        <v>698.90491085872986</v>
      </c>
      <c r="AM123" s="197">
        <f t="shared" si="331"/>
        <v>148.62411714167567</v>
      </c>
      <c r="AN123" s="197">
        <f t="shared" si="332"/>
        <v>157.95500944149762</v>
      </c>
      <c r="AO123" s="197">
        <f t="shared" si="333"/>
        <v>540.94990141723224</v>
      </c>
      <c r="AP123" s="199">
        <f t="shared" si="334"/>
        <v>689.57401855890794</v>
      </c>
      <c r="AQ123" s="196">
        <f t="shared" si="360"/>
        <v>7647.3885081175413</v>
      </c>
      <c r="AR123" s="197">
        <f t="shared" si="335"/>
        <v>2004.397071458106</v>
      </c>
      <c r="AS123" s="197">
        <f t="shared" si="335"/>
        <v>4079.4120598205454</v>
      </c>
      <c r="AT123" s="197">
        <f t="shared" si="335"/>
        <v>3567.9764482969958</v>
      </c>
      <c r="AU123" s="199">
        <f t="shared" si="335"/>
        <v>5572.3735197551014</v>
      </c>
      <c r="AX123" s="881">
        <v>11</v>
      </c>
      <c r="AY123" s="747">
        <f t="shared" si="310"/>
        <v>12.54</v>
      </c>
      <c r="AZ123" s="197">
        <f>'Energy Inputs'!$E$58*$AZ$109</f>
        <v>27.5</v>
      </c>
      <c r="BA123" s="197">
        <f t="shared" si="361"/>
        <v>344.84999999999997</v>
      </c>
      <c r="BB123" s="197">
        <f>'Margins summary'!$S$14</f>
        <v>220</v>
      </c>
      <c r="BC123" s="197">
        <f t="shared" si="336"/>
        <v>564.84999999999991</v>
      </c>
      <c r="BD123" s="197"/>
      <c r="BE123" s="897">
        <f>'Energy NPV'!U49</f>
        <v>233.81200000000001</v>
      </c>
      <c r="BF123" s="197"/>
      <c r="BG123" s="197">
        <f t="shared" si="311"/>
        <v>233.81200000000001</v>
      </c>
      <c r="BH123" s="197">
        <f t="shared" si="312"/>
        <v>111.03799999999995</v>
      </c>
      <c r="BI123" s="197">
        <f t="shared" si="313"/>
        <v>331.0379999999999</v>
      </c>
      <c r="BJ123" s="196">
        <f t="shared" si="337"/>
        <v>232.9683036195766</v>
      </c>
      <c r="BK123" s="197">
        <f t="shared" si="338"/>
        <v>148.62411714167567</v>
      </c>
      <c r="BL123" s="197">
        <f t="shared" si="339"/>
        <v>157.95500944149762</v>
      </c>
      <c r="BM123" s="197">
        <f t="shared" si="340"/>
        <v>75.013294178078993</v>
      </c>
      <c r="BN123" s="199">
        <f t="shared" si="341"/>
        <v>223.63741131975462</v>
      </c>
      <c r="BO123" s="196">
        <f t="shared" si="367"/>
        <v>2549.1295027058472</v>
      </c>
      <c r="BP123" s="197">
        <f t="shared" si="342"/>
        <v>2004.397071458106</v>
      </c>
      <c r="BQ123" s="197">
        <f t="shared" si="342"/>
        <v>4079.4120598205454</v>
      </c>
      <c r="BR123" s="197">
        <f t="shared" si="342"/>
        <v>-1530.2825571146986</v>
      </c>
      <c r="BS123" s="199">
        <f t="shared" si="342"/>
        <v>474.11451434340694</v>
      </c>
      <c r="BV123" s="881">
        <v>11</v>
      </c>
      <c r="BW123" s="747">
        <f t="shared" si="314"/>
        <v>12.54</v>
      </c>
      <c r="BX123" s="197">
        <f>'Energy Inputs'!$E$58*$BX$109</f>
        <v>110</v>
      </c>
      <c r="BY123" s="197">
        <f t="shared" si="362"/>
        <v>1379.3999999999999</v>
      </c>
      <c r="BZ123" s="197">
        <f>'Margins summary'!$S$14</f>
        <v>220</v>
      </c>
      <c r="CA123" s="197">
        <f t="shared" si="343"/>
        <v>1599.3999999999999</v>
      </c>
      <c r="CB123" s="197"/>
      <c r="CC123" s="897">
        <f>'Energy NPV'!U49</f>
        <v>233.81200000000001</v>
      </c>
      <c r="CD123" s="197"/>
      <c r="CE123" s="197">
        <f t="shared" si="315"/>
        <v>233.81200000000001</v>
      </c>
      <c r="CF123" s="197">
        <f t="shared" si="316"/>
        <v>1145.5879999999997</v>
      </c>
      <c r="CG123" s="197">
        <f t="shared" si="317"/>
        <v>1365.5879999999997</v>
      </c>
      <c r="CH123" s="196">
        <f t="shared" si="344"/>
        <v>931.87321447830641</v>
      </c>
      <c r="CI123" s="197">
        <f t="shared" si="345"/>
        <v>148.62411714167567</v>
      </c>
      <c r="CJ123" s="197">
        <f t="shared" si="346"/>
        <v>157.95500944149762</v>
      </c>
      <c r="CK123" s="197">
        <f t="shared" si="347"/>
        <v>773.91820503680879</v>
      </c>
      <c r="CL123" s="199">
        <f t="shared" si="348"/>
        <v>922.54232217848437</v>
      </c>
      <c r="CM123" s="196">
        <f t="shared" si="363"/>
        <v>10196.518010823389</v>
      </c>
      <c r="CN123" s="197">
        <f t="shared" si="349"/>
        <v>2004.397071458106</v>
      </c>
      <c r="CO123" s="197">
        <f t="shared" si="349"/>
        <v>4079.4120598205454</v>
      </c>
      <c r="CP123" s="197">
        <f t="shared" si="349"/>
        <v>6117.1059510028426</v>
      </c>
      <c r="CQ123" s="199">
        <f t="shared" si="349"/>
        <v>8121.5030224609472</v>
      </c>
      <c r="CT123" s="204">
        <f t="shared" si="364"/>
        <v>11</v>
      </c>
      <c r="CU123" s="747">
        <f t="shared" si="318"/>
        <v>12.54</v>
      </c>
      <c r="CV123" s="197">
        <f>'Energy Inputs'!$E$58*$CV$109</f>
        <v>0</v>
      </c>
      <c r="CW123" s="197">
        <f t="shared" si="365"/>
        <v>0</v>
      </c>
      <c r="CX123" s="197">
        <f>'Margins summary'!$S$14</f>
        <v>220</v>
      </c>
      <c r="CY123" s="197">
        <f t="shared" si="350"/>
        <v>220</v>
      </c>
      <c r="CZ123" s="197"/>
      <c r="DA123" s="897">
        <f>'Energy NPV'!U49</f>
        <v>233.81200000000001</v>
      </c>
      <c r="DB123" s="197"/>
      <c r="DC123" s="197">
        <f t="shared" si="319"/>
        <v>233.81200000000001</v>
      </c>
      <c r="DD123" s="197">
        <f t="shared" si="320"/>
        <v>-233.81200000000001</v>
      </c>
      <c r="DE123" s="197">
        <f t="shared" si="321"/>
        <v>-13.812000000000012</v>
      </c>
      <c r="DF123" s="196">
        <f t="shared" si="351"/>
        <v>0</v>
      </c>
      <c r="DG123" s="197">
        <f t="shared" si="352"/>
        <v>148.62411714167567</v>
      </c>
      <c r="DH123" s="197">
        <f t="shared" si="353"/>
        <v>157.95500944149762</v>
      </c>
      <c r="DI123" s="197">
        <f t="shared" si="354"/>
        <v>-157.95500944149762</v>
      </c>
      <c r="DJ123" s="199">
        <f t="shared" si="355"/>
        <v>-9.3308922998219384</v>
      </c>
      <c r="DK123" s="196">
        <f t="shared" si="366"/>
        <v>0</v>
      </c>
      <c r="DL123" s="197">
        <f t="shared" si="356"/>
        <v>2004.397071458106</v>
      </c>
      <c r="DM123" s="197">
        <f t="shared" si="356"/>
        <v>4079.4120598205454</v>
      </c>
      <c r="DN123" s="197">
        <f t="shared" si="356"/>
        <v>-4079.4120598205454</v>
      </c>
      <c r="DO123" s="199">
        <f t="shared" si="356"/>
        <v>-2075.0149883624399</v>
      </c>
    </row>
    <row r="124" spans="2:119" x14ac:dyDescent="0.3">
      <c r="B124" s="881">
        <v>12</v>
      </c>
      <c r="C124" s="747">
        <f>'Energy NPV'!$D50</f>
        <v>12.54</v>
      </c>
      <c r="D124" s="197">
        <f>'Energy Inputs'!$E$58*$E$109</f>
        <v>55</v>
      </c>
      <c r="E124" s="197">
        <f t="shared" si="357"/>
        <v>689.69999999999993</v>
      </c>
      <c r="F124" s="197">
        <f>'Margins summary'!$S$14</f>
        <v>220</v>
      </c>
      <c r="G124" s="197">
        <f t="shared" si="322"/>
        <v>909.69999999999993</v>
      </c>
      <c r="H124" s="197"/>
      <c r="I124" s="897">
        <f>'Energy NPV'!U50</f>
        <v>233.81200000000001</v>
      </c>
      <c r="J124" s="197"/>
      <c r="K124" s="197">
        <f t="shared" si="303"/>
        <v>233.81200000000001</v>
      </c>
      <c r="L124" s="197">
        <f t="shared" si="304"/>
        <v>455.88799999999992</v>
      </c>
      <c r="M124" s="197">
        <f t="shared" si="305"/>
        <v>675.88799999999992</v>
      </c>
      <c r="N124" s="196">
        <f t="shared" si="323"/>
        <v>448.01596849918582</v>
      </c>
      <c r="O124" s="197">
        <f t="shared" si="324"/>
        <v>142.90780494391893</v>
      </c>
      <c r="P124" s="197">
        <f t="shared" si="325"/>
        <v>151.8798167706708</v>
      </c>
      <c r="Q124" s="197">
        <f t="shared" si="326"/>
        <v>296.13615172851502</v>
      </c>
      <c r="R124" s="199">
        <f t="shared" si="327"/>
        <v>439.04395667243398</v>
      </c>
      <c r="S124" s="196">
        <f t="shared" si="358"/>
        <v>5546.2749739108804</v>
      </c>
      <c r="T124" s="197">
        <f t="shared" si="328"/>
        <v>2147.304876402025</v>
      </c>
      <c r="U124" s="197">
        <f t="shared" si="328"/>
        <v>4231.2918765912164</v>
      </c>
      <c r="V124" s="197">
        <f t="shared" si="328"/>
        <v>1314.9830973196636</v>
      </c>
      <c r="W124" s="199">
        <f t="shared" si="328"/>
        <v>3462.2879737216881</v>
      </c>
      <c r="Z124" s="881">
        <v>12</v>
      </c>
      <c r="AA124" s="747">
        <f t="shared" si="306"/>
        <v>12.54</v>
      </c>
      <c r="AB124" s="197">
        <f>'Energy Inputs'!$E$58*$AB$109</f>
        <v>82.5</v>
      </c>
      <c r="AC124" s="197">
        <f t="shared" si="359"/>
        <v>1034.55</v>
      </c>
      <c r="AD124" s="197">
        <f>'Margins summary'!$S$14</f>
        <v>220</v>
      </c>
      <c r="AE124" s="197">
        <f t="shared" si="329"/>
        <v>1254.55</v>
      </c>
      <c r="AF124" s="197"/>
      <c r="AG124" s="897">
        <f>'Energy NPV'!U50</f>
        <v>233.81200000000001</v>
      </c>
      <c r="AH124" s="197"/>
      <c r="AI124" s="197">
        <f t="shared" si="307"/>
        <v>233.81200000000001</v>
      </c>
      <c r="AJ124" s="197">
        <f t="shared" si="308"/>
        <v>800.73799999999994</v>
      </c>
      <c r="AK124" s="197">
        <f t="shared" si="309"/>
        <v>1020.7379999999999</v>
      </c>
      <c r="AL124" s="196">
        <f t="shared" si="330"/>
        <v>672.02395274877881</v>
      </c>
      <c r="AM124" s="197">
        <f t="shared" si="331"/>
        <v>142.90780494391893</v>
      </c>
      <c r="AN124" s="197">
        <f t="shared" si="332"/>
        <v>151.8798167706708</v>
      </c>
      <c r="AO124" s="197">
        <f t="shared" si="333"/>
        <v>520.14413597810801</v>
      </c>
      <c r="AP124" s="199">
        <f t="shared" si="334"/>
        <v>663.05194092202692</v>
      </c>
      <c r="AQ124" s="196">
        <f t="shared" si="360"/>
        <v>8319.4124608663205</v>
      </c>
      <c r="AR124" s="197">
        <f t="shared" si="335"/>
        <v>2147.304876402025</v>
      </c>
      <c r="AS124" s="197">
        <f t="shared" si="335"/>
        <v>4231.2918765912164</v>
      </c>
      <c r="AT124" s="197">
        <f t="shared" si="335"/>
        <v>4088.1205842751037</v>
      </c>
      <c r="AU124" s="199">
        <f t="shared" si="335"/>
        <v>6235.4254606771283</v>
      </c>
      <c r="AX124" s="881">
        <v>12</v>
      </c>
      <c r="AY124" s="747">
        <f t="shared" si="310"/>
        <v>12.54</v>
      </c>
      <c r="AZ124" s="197">
        <f>'Energy Inputs'!$E$58*$AZ$109</f>
        <v>27.5</v>
      </c>
      <c r="BA124" s="197">
        <f t="shared" si="361"/>
        <v>344.84999999999997</v>
      </c>
      <c r="BB124" s="197">
        <f>'Margins summary'!$S$14</f>
        <v>220</v>
      </c>
      <c r="BC124" s="197">
        <f t="shared" si="336"/>
        <v>564.84999999999991</v>
      </c>
      <c r="BD124" s="197"/>
      <c r="BE124" s="897">
        <f>'Energy NPV'!U50</f>
        <v>233.81200000000001</v>
      </c>
      <c r="BF124" s="197"/>
      <c r="BG124" s="197">
        <f t="shared" si="311"/>
        <v>233.81200000000001</v>
      </c>
      <c r="BH124" s="197">
        <f t="shared" si="312"/>
        <v>111.03799999999995</v>
      </c>
      <c r="BI124" s="197">
        <f t="shared" si="313"/>
        <v>331.0379999999999</v>
      </c>
      <c r="BJ124" s="196">
        <f t="shared" si="337"/>
        <v>224.00798424959291</v>
      </c>
      <c r="BK124" s="197">
        <f t="shared" si="338"/>
        <v>142.90780494391893</v>
      </c>
      <c r="BL124" s="197">
        <f t="shared" si="339"/>
        <v>151.8798167706708</v>
      </c>
      <c r="BM124" s="197">
        <f t="shared" si="340"/>
        <v>72.128167478922109</v>
      </c>
      <c r="BN124" s="199">
        <f t="shared" si="341"/>
        <v>215.03597242284101</v>
      </c>
      <c r="BO124" s="196">
        <f t="shared" si="367"/>
        <v>2773.1374869554402</v>
      </c>
      <c r="BP124" s="197">
        <f t="shared" si="342"/>
        <v>2147.304876402025</v>
      </c>
      <c r="BQ124" s="197">
        <f t="shared" si="342"/>
        <v>4231.2918765912164</v>
      </c>
      <c r="BR124" s="197">
        <f t="shared" si="342"/>
        <v>-1458.1543896357766</v>
      </c>
      <c r="BS124" s="199">
        <f t="shared" si="342"/>
        <v>689.15048676624792</v>
      </c>
      <c r="BV124" s="881">
        <v>12</v>
      </c>
      <c r="BW124" s="747">
        <f t="shared" si="314"/>
        <v>12.54</v>
      </c>
      <c r="BX124" s="197">
        <f>'Energy Inputs'!$E$58*$BX$109</f>
        <v>110</v>
      </c>
      <c r="BY124" s="197">
        <f t="shared" si="362"/>
        <v>1379.3999999999999</v>
      </c>
      <c r="BZ124" s="197">
        <f>'Margins summary'!$S$14</f>
        <v>220</v>
      </c>
      <c r="CA124" s="197">
        <f t="shared" si="343"/>
        <v>1599.3999999999999</v>
      </c>
      <c r="CB124" s="197"/>
      <c r="CC124" s="897">
        <f>'Energy NPV'!U50</f>
        <v>233.81200000000001</v>
      </c>
      <c r="CD124" s="197"/>
      <c r="CE124" s="197">
        <f t="shared" si="315"/>
        <v>233.81200000000001</v>
      </c>
      <c r="CF124" s="197">
        <f t="shared" si="316"/>
        <v>1145.5879999999997</v>
      </c>
      <c r="CG124" s="197">
        <f t="shared" si="317"/>
        <v>1365.5879999999997</v>
      </c>
      <c r="CH124" s="196">
        <f t="shared" si="344"/>
        <v>896.03193699837163</v>
      </c>
      <c r="CI124" s="197">
        <f t="shared" si="345"/>
        <v>142.90780494391893</v>
      </c>
      <c r="CJ124" s="197">
        <f t="shared" si="346"/>
        <v>151.8798167706708</v>
      </c>
      <c r="CK124" s="197">
        <f t="shared" si="347"/>
        <v>744.15212022770072</v>
      </c>
      <c r="CL124" s="199">
        <f t="shared" si="348"/>
        <v>887.05992517161974</v>
      </c>
      <c r="CM124" s="196">
        <f t="shared" si="363"/>
        <v>11092.549947821761</v>
      </c>
      <c r="CN124" s="197">
        <f t="shared" si="349"/>
        <v>2147.304876402025</v>
      </c>
      <c r="CO124" s="197">
        <f t="shared" si="349"/>
        <v>4231.2918765912164</v>
      </c>
      <c r="CP124" s="197">
        <f t="shared" si="349"/>
        <v>6861.2580712305435</v>
      </c>
      <c r="CQ124" s="199">
        <f t="shared" si="349"/>
        <v>9008.5629476325666</v>
      </c>
      <c r="CT124" s="204">
        <f t="shared" si="364"/>
        <v>12</v>
      </c>
      <c r="CU124" s="747">
        <f t="shared" si="318"/>
        <v>12.54</v>
      </c>
      <c r="CV124" s="197">
        <f>'Energy Inputs'!$E$58*$CV$109</f>
        <v>0</v>
      </c>
      <c r="CW124" s="197">
        <f t="shared" si="365"/>
        <v>0</v>
      </c>
      <c r="CX124" s="197">
        <f>'Margins summary'!$S$14</f>
        <v>220</v>
      </c>
      <c r="CY124" s="197">
        <f t="shared" si="350"/>
        <v>220</v>
      </c>
      <c r="CZ124" s="197"/>
      <c r="DA124" s="897">
        <f>'Energy NPV'!U50</f>
        <v>233.81200000000001</v>
      </c>
      <c r="DB124" s="197"/>
      <c r="DC124" s="197">
        <f t="shared" si="319"/>
        <v>233.81200000000001</v>
      </c>
      <c r="DD124" s="197">
        <f t="shared" si="320"/>
        <v>-233.81200000000001</v>
      </c>
      <c r="DE124" s="197">
        <f t="shared" si="321"/>
        <v>-13.812000000000012</v>
      </c>
      <c r="DF124" s="196">
        <f t="shared" si="351"/>
        <v>0</v>
      </c>
      <c r="DG124" s="197">
        <f t="shared" si="352"/>
        <v>142.90780494391893</v>
      </c>
      <c r="DH124" s="197">
        <f t="shared" si="353"/>
        <v>151.8798167706708</v>
      </c>
      <c r="DI124" s="197">
        <f t="shared" si="354"/>
        <v>-151.8798167706708</v>
      </c>
      <c r="DJ124" s="199">
        <f t="shared" si="355"/>
        <v>-8.9720118267518636</v>
      </c>
      <c r="DK124" s="196">
        <f t="shared" si="366"/>
        <v>0</v>
      </c>
      <c r="DL124" s="197">
        <f t="shared" si="356"/>
        <v>2147.304876402025</v>
      </c>
      <c r="DM124" s="197">
        <f t="shared" si="356"/>
        <v>4231.2918765912164</v>
      </c>
      <c r="DN124" s="197">
        <f t="shared" si="356"/>
        <v>-4231.2918765912164</v>
      </c>
      <c r="DO124" s="199">
        <f t="shared" si="356"/>
        <v>-2083.9870001891918</v>
      </c>
    </row>
    <row r="125" spans="2:119" x14ac:dyDescent="0.3">
      <c r="B125" s="881">
        <v>13</v>
      </c>
      <c r="C125" s="747">
        <f>'Energy NPV'!$D51</f>
        <v>12.54</v>
      </c>
      <c r="D125" s="197">
        <f>'Energy Inputs'!$E$58*$E$109</f>
        <v>55</v>
      </c>
      <c r="E125" s="197">
        <f t="shared" si="357"/>
        <v>689.69999999999993</v>
      </c>
      <c r="F125" s="197">
        <f>'Margins summary'!$S$14</f>
        <v>220</v>
      </c>
      <c r="G125" s="197">
        <f t="shared" si="322"/>
        <v>909.69999999999993</v>
      </c>
      <c r="H125" s="197"/>
      <c r="I125" s="897">
        <f>'Energy NPV'!U51</f>
        <v>233.81200000000001</v>
      </c>
      <c r="J125" s="197"/>
      <c r="K125" s="197">
        <f t="shared" si="303"/>
        <v>233.81200000000001</v>
      </c>
      <c r="L125" s="197">
        <f t="shared" si="304"/>
        <v>455.88799999999992</v>
      </c>
      <c r="M125" s="197">
        <f t="shared" si="305"/>
        <v>675.88799999999992</v>
      </c>
      <c r="N125" s="196">
        <f t="shared" si="323"/>
        <v>430.78458509537086</v>
      </c>
      <c r="O125" s="197">
        <f t="shared" si="324"/>
        <v>137.41135090761432</v>
      </c>
      <c r="P125" s="197">
        <f t="shared" si="325"/>
        <v>146.03828535641421</v>
      </c>
      <c r="Q125" s="197">
        <f t="shared" si="326"/>
        <v>284.74629973895668</v>
      </c>
      <c r="R125" s="199">
        <f t="shared" si="327"/>
        <v>422.15765064657103</v>
      </c>
      <c r="S125" s="196">
        <f t="shared" si="358"/>
        <v>5977.0595590062512</v>
      </c>
      <c r="T125" s="197">
        <f t="shared" si="328"/>
        <v>2284.7162273096392</v>
      </c>
      <c r="U125" s="197">
        <f t="shared" si="328"/>
        <v>4377.3301619476306</v>
      </c>
      <c r="V125" s="197">
        <f t="shared" si="328"/>
        <v>1599.7293970586202</v>
      </c>
      <c r="W125" s="199">
        <f t="shared" si="328"/>
        <v>3884.4456243682589</v>
      </c>
      <c r="Z125" s="881">
        <v>13</v>
      </c>
      <c r="AA125" s="747">
        <f t="shared" si="306"/>
        <v>12.54</v>
      </c>
      <c r="AB125" s="197">
        <f>'Energy Inputs'!$E$58*$AB$109</f>
        <v>82.5</v>
      </c>
      <c r="AC125" s="197">
        <f t="shared" si="359"/>
        <v>1034.55</v>
      </c>
      <c r="AD125" s="197">
        <f>'Margins summary'!$S$14</f>
        <v>220</v>
      </c>
      <c r="AE125" s="197">
        <f t="shared" si="329"/>
        <v>1254.55</v>
      </c>
      <c r="AF125" s="197"/>
      <c r="AG125" s="897">
        <f>'Energy NPV'!U51</f>
        <v>233.81200000000001</v>
      </c>
      <c r="AH125" s="197"/>
      <c r="AI125" s="197">
        <f t="shared" si="307"/>
        <v>233.81200000000001</v>
      </c>
      <c r="AJ125" s="197">
        <f t="shared" si="308"/>
        <v>800.73799999999994</v>
      </c>
      <c r="AK125" s="197">
        <f t="shared" si="309"/>
        <v>1020.7379999999999</v>
      </c>
      <c r="AL125" s="196">
        <f t="shared" si="330"/>
        <v>646.1768776430564</v>
      </c>
      <c r="AM125" s="197">
        <f t="shared" si="331"/>
        <v>137.41135090761432</v>
      </c>
      <c r="AN125" s="197">
        <f t="shared" si="332"/>
        <v>146.03828535641421</v>
      </c>
      <c r="AO125" s="197">
        <f t="shared" si="333"/>
        <v>500.13859228664217</v>
      </c>
      <c r="AP125" s="199">
        <f t="shared" si="334"/>
        <v>637.54994319425646</v>
      </c>
      <c r="AQ125" s="196">
        <f t="shared" si="360"/>
        <v>8965.5893385093768</v>
      </c>
      <c r="AR125" s="197">
        <f t="shared" si="335"/>
        <v>2284.7162273096392</v>
      </c>
      <c r="AS125" s="197">
        <f t="shared" si="335"/>
        <v>4377.3301619476306</v>
      </c>
      <c r="AT125" s="197">
        <f t="shared" si="335"/>
        <v>4588.2591765617462</v>
      </c>
      <c r="AU125" s="199">
        <f t="shared" si="335"/>
        <v>6872.9754038713845</v>
      </c>
      <c r="AX125" s="881">
        <v>13</v>
      </c>
      <c r="AY125" s="747">
        <f t="shared" si="310"/>
        <v>12.54</v>
      </c>
      <c r="AZ125" s="197">
        <f>'Energy Inputs'!$E$58*$AZ$109</f>
        <v>27.5</v>
      </c>
      <c r="BA125" s="197">
        <f t="shared" si="361"/>
        <v>344.84999999999997</v>
      </c>
      <c r="BB125" s="197">
        <f>'Margins summary'!$S$14</f>
        <v>220</v>
      </c>
      <c r="BC125" s="197">
        <f t="shared" si="336"/>
        <v>564.84999999999991</v>
      </c>
      <c r="BD125" s="197"/>
      <c r="BE125" s="897">
        <f>'Energy NPV'!U51</f>
        <v>233.81200000000001</v>
      </c>
      <c r="BF125" s="197"/>
      <c r="BG125" s="197">
        <f t="shared" si="311"/>
        <v>233.81200000000001</v>
      </c>
      <c r="BH125" s="197">
        <f t="shared" si="312"/>
        <v>111.03799999999995</v>
      </c>
      <c r="BI125" s="197">
        <f t="shared" si="313"/>
        <v>331.0379999999999</v>
      </c>
      <c r="BJ125" s="196">
        <f t="shared" si="337"/>
        <v>215.39229254768543</v>
      </c>
      <c r="BK125" s="197">
        <f t="shared" si="338"/>
        <v>137.41135090761432</v>
      </c>
      <c r="BL125" s="197">
        <f t="shared" si="339"/>
        <v>146.03828535641421</v>
      </c>
      <c r="BM125" s="197">
        <f t="shared" si="340"/>
        <v>69.354007191271251</v>
      </c>
      <c r="BN125" s="199">
        <f t="shared" si="341"/>
        <v>206.76535809888554</v>
      </c>
      <c r="BO125" s="196">
        <f t="shared" si="367"/>
        <v>2988.5297795031256</v>
      </c>
      <c r="BP125" s="197">
        <f t="shared" si="342"/>
        <v>2284.7162273096392</v>
      </c>
      <c r="BQ125" s="197">
        <f t="shared" si="342"/>
        <v>4377.3301619476306</v>
      </c>
      <c r="BR125" s="197">
        <f t="shared" si="342"/>
        <v>-1388.8003824445054</v>
      </c>
      <c r="BS125" s="199">
        <f t="shared" si="342"/>
        <v>895.91584486513352</v>
      </c>
      <c r="BV125" s="881">
        <v>13</v>
      </c>
      <c r="BW125" s="747">
        <f t="shared" si="314"/>
        <v>12.54</v>
      </c>
      <c r="BX125" s="197">
        <f>'Energy Inputs'!$E$58*$BX$109</f>
        <v>110</v>
      </c>
      <c r="BY125" s="197">
        <f t="shared" si="362"/>
        <v>1379.3999999999999</v>
      </c>
      <c r="BZ125" s="197">
        <f>'Margins summary'!$S$14</f>
        <v>220</v>
      </c>
      <c r="CA125" s="197">
        <f t="shared" si="343"/>
        <v>1599.3999999999999</v>
      </c>
      <c r="CB125" s="197"/>
      <c r="CC125" s="897">
        <f>'Energy NPV'!U51</f>
        <v>233.81200000000001</v>
      </c>
      <c r="CD125" s="197"/>
      <c r="CE125" s="197">
        <f t="shared" si="315"/>
        <v>233.81200000000001</v>
      </c>
      <c r="CF125" s="197">
        <f t="shared" si="316"/>
        <v>1145.5879999999997</v>
      </c>
      <c r="CG125" s="197">
        <f t="shared" si="317"/>
        <v>1365.5879999999997</v>
      </c>
      <c r="CH125" s="196">
        <f t="shared" si="344"/>
        <v>861.56917019074172</v>
      </c>
      <c r="CI125" s="197">
        <f t="shared" si="345"/>
        <v>137.41135090761432</v>
      </c>
      <c r="CJ125" s="197">
        <f t="shared" si="346"/>
        <v>146.03828535641421</v>
      </c>
      <c r="CK125" s="197">
        <f t="shared" si="347"/>
        <v>715.53088483432748</v>
      </c>
      <c r="CL125" s="199">
        <f t="shared" si="348"/>
        <v>852.94223574194189</v>
      </c>
      <c r="CM125" s="196">
        <f t="shared" si="363"/>
        <v>11954.119118012502</v>
      </c>
      <c r="CN125" s="197">
        <f t="shared" si="349"/>
        <v>2284.7162273096392</v>
      </c>
      <c r="CO125" s="197">
        <f t="shared" si="349"/>
        <v>4377.3301619476306</v>
      </c>
      <c r="CP125" s="197">
        <f t="shared" si="349"/>
        <v>7576.7889560648709</v>
      </c>
      <c r="CQ125" s="199">
        <f t="shared" si="349"/>
        <v>9861.5051833745092</v>
      </c>
      <c r="CT125" s="204">
        <f t="shared" si="364"/>
        <v>13</v>
      </c>
      <c r="CU125" s="747">
        <f t="shared" si="318"/>
        <v>12.54</v>
      </c>
      <c r="CV125" s="197">
        <f>'Energy Inputs'!$E$58*$CV$109</f>
        <v>0</v>
      </c>
      <c r="CW125" s="197">
        <f t="shared" si="365"/>
        <v>0</v>
      </c>
      <c r="CX125" s="197">
        <f>'Margins summary'!$S$14</f>
        <v>220</v>
      </c>
      <c r="CY125" s="197">
        <f t="shared" si="350"/>
        <v>220</v>
      </c>
      <c r="CZ125" s="197"/>
      <c r="DA125" s="897">
        <f>'Energy NPV'!U51</f>
        <v>233.81200000000001</v>
      </c>
      <c r="DB125" s="197"/>
      <c r="DC125" s="197">
        <f t="shared" si="319"/>
        <v>233.81200000000001</v>
      </c>
      <c r="DD125" s="197">
        <f t="shared" si="320"/>
        <v>-233.81200000000001</v>
      </c>
      <c r="DE125" s="197">
        <f t="shared" si="321"/>
        <v>-13.812000000000012</v>
      </c>
      <c r="DF125" s="196">
        <f t="shared" si="351"/>
        <v>0</v>
      </c>
      <c r="DG125" s="197">
        <f t="shared" si="352"/>
        <v>137.41135090761432</v>
      </c>
      <c r="DH125" s="197">
        <f t="shared" si="353"/>
        <v>146.03828535641421</v>
      </c>
      <c r="DI125" s="197">
        <f t="shared" si="354"/>
        <v>-146.03828535641421</v>
      </c>
      <c r="DJ125" s="199">
        <f t="shared" si="355"/>
        <v>-8.6269344487998669</v>
      </c>
      <c r="DK125" s="196">
        <f t="shared" si="366"/>
        <v>0</v>
      </c>
      <c r="DL125" s="197">
        <f t="shared" si="356"/>
        <v>2284.7162273096392</v>
      </c>
      <c r="DM125" s="197">
        <f t="shared" si="356"/>
        <v>4377.3301619476306</v>
      </c>
      <c r="DN125" s="197">
        <f t="shared" si="356"/>
        <v>-4377.3301619476306</v>
      </c>
      <c r="DO125" s="199">
        <f t="shared" si="356"/>
        <v>-2092.6139346379919</v>
      </c>
    </row>
    <row r="126" spans="2:119" x14ac:dyDescent="0.3">
      <c r="B126" s="881">
        <v>14</v>
      </c>
      <c r="C126" s="747">
        <f>'Energy NPV'!$D52</f>
        <v>12.54</v>
      </c>
      <c r="D126" s="197">
        <f>'Energy Inputs'!$E$58*$E$109</f>
        <v>55</v>
      </c>
      <c r="E126" s="197">
        <f t="shared" si="357"/>
        <v>689.69999999999993</v>
      </c>
      <c r="F126" s="197">
        <f>'Margins summary'!$S$14</f>
        <v>220</v>
      </c>
      <c r="G126" s="197">
        <f t="shared" si="322"/>
        <v>909.69999999999993</v>
      </c>
      <c r="H126" s="197"/>
      <c r="I126" s="897">
        <f>'Energy NPV'!U52</f>
        <v>233.81200000000001</v>
      </c>
      <c r="J126" s="197"/>
      <c r="K126" s="197">
        <f t="shared" si="303"/>
        <v>233.81200000000001</v>
      </c>
      <c r="L126" s="197">
        <f t="shared" si="304"/>
        <v>455.88799999999992</v>
      </c>
      <c r="M126" s="197">
        <f t="shared" si="305"/>
        <v>675.88799999999992</v>
      </c>
      <c r="N126" s="196">
        <f t="shared" si="323"/>
        <v>414.21594720708737</v>
      </c>
      <c r="O126" s="197">
        <f t="shared" si="324"/>
        <v>132.12629894962916</v>
      </c>
      <c r="P126" s="197">
        <f t="shared" si="325"/>
        <v>140.42142822732134</v>
      </c>
      <c r="Q126" s="197">
        <f t="shared" si="326"/>
        <v>273.79451897976605</v>
      </c>
      <c r="R126" s="199">
        <f t="shared" si="327"/>
        <v>405.92081792939518</v>
      </c>
      <c r="S126" s="196">
        <f t="shared" si="358"/>
        <v>6391.2755062133383</v>
      </c>
      <c r="T126" s="197">
        <f t="shared" si="328"/>
        <v>2416.8425262592682</v>
      </c>
      <c r="U126" s="197">
        <f t="shared" si="328"/>
        <v>4517.7515901749521</v>
      </c>
      <c r="V126" s="197">
        <f t="shared" si="328"/>
        <v>1873.5239160383862</v>
      </c>
      <c r="W126" s="199">
        <f t="shared" si="328"/>
        <v>4290.3664422976544</v>
      </c>
      <c r="Z126" s="881">
        <v>14</v>
      </c>
      <c r="AA126" s="747">
        <f t="shared" si="306"/>
        <v>12.54</v>
      </c>
      <c r="AB126" s="197">
        <f>'Energy Inputs'!$E$58*$AB$109</f>
        <v>82.5</v>
      </c>
      <c r="AC126" s="197">
        <f t="shared" si="359"/>
        <v>1034.55</v>
      </c>
      <c r="AD126" s="197">
        <f>'Margins summary'!$S$14</f>
        <v>220</v>
      </c>
      <c r="AE126" s="197">
        <f t="shared" si="329"/>
        <v>1254.55</v>
      </c>
      <c r="AF126" s="197"/>
      <c r="AG126" s="897">
        <f>'Energy NPV'!U52</f>
        <v>233.81200000000001</v>
      </c>
      <c r="AH126" s="197"/>
      <c r="AI126" s="197">
        <f t="shared" si="307"/>
        <v>233.81200000000001</v>
      </c>
      <c r="AJ126" s="197">
        <f t="shared" si="308"/>
        <v>800.73799999999994</v>
      </c>
      <c r="AK126" s="197">
        <f t="shared" si="309"/>
        <v>1020.7379999999999</v>
      </c>
      <c r="AL126" s="196">
        <f t="shared" si="330"/>
        <v>621.32392081063108</v>
      </c>
      <c r="AM126" s="197">
        <f t="shared" si="331"/>
        <v>132.12629894962916</v>
      </c>
      <c r="AN126" s="197">
        <f t="shared" si="332"/>
        <v>140.42142822732134</v>
      </c>
      <c r="AO126" s="197">
        <f t="shared" si="333"/>
        <v>480.90249258330977</v>
      </c>
      <c r="AP126" s="199">
        <f t="shared" si="334"/>
        <v>613.02879153293895</v>
      </c>
      <c r="AQ126" s="196">
        <f t="shared" si="360"/>
        <v>9586.9132593200084</v>
      </c>
      <c r="AR126" s="197">
        <f t="shared" si="335"/>
        <v>2416.8425262592682</v>
      </c>
      <c r="AS126" s="197">
        <f t="shared" si="335"/>
        <v>4517.7515901749521</v>
      </c>
      <c r="AT126" s="197">
        <f t="shared" si="335"/>
        <v>5069.1616691450563</v>
      </c>
      <c r="AU126" s="199">
        <f t="shared" si="335"/>
        <v>7486.0041954043236</v>
      </c>
      <c r="AX126" s="881">
        <v>14</v>
      </c>
      <c r="AY126" s="747">
        <f t="shared" si="310"/>
        <v>12.54</v>
      </c>
      <c r="AZ126" s="197">
        <f>'Energy Inputs'!$E$58*$AZ$109</f>
        <v>27.5</v>
      </c>
      <c r="BA126" s="197">
        <f t="shared" si="361"/>
        <v>344.84999999999997</v>
      </c>
      <c r="BB126" s="197">
        <f>'Margins summary'!$S$14</f>
        <v>220</v>
      </c>
      <c r="BC126" s="197">
        <f t="shared" si="336"/>
        <v>564.84999999999991</v>
      </c>
      <c r="BD126" s="197"/>
      <c r="BE126" s="897">
        <f>'Energy NPV'!U52</f>
        <v>233.81200000000001</v>
      </c>
      <c r="BF126" s="197"/>
      <c r="BG126" s="197">
        <f t="shared" si="311"/>
        <v>233.81200000000001</v>
      </c>
      <c r="BH126" s="197">
        <f t="shared" si="312"/>
        <v>111.03799999999995</v>
      </c>
      <c r="BI126" s="197">
        <f t="shared" si="313"/>
        <v>331.0379999999999</v>
      </c>
      <c r="BJ126" s="196">
        <f t="shared" si="337"/>
        <v>207.10797360354368</v>
      </c>
      <c r="BK126" s="197">
        <f t="shared" si="338"/>
        <v>132.12629894962916</v>
      </c>
      <c r="BL126" s="197">
        <f t="shared" si="339"/>
        <v>140.42142822732134</v>
      </c>
      <c r="BM126" s="197">
        <f t="shared" si="340"/>
        <v>66.686545376222355</v>
      </c>
      <c r="BN126" s="199">
        <f t="shared" si="341"/>
        <v>198.81284432585147</v>
      </c>
      <c r="BO126" s="196">
        <f t="shared" si="367"/>
        <v>3195.6377531066692</v>
      </c>
      <c r="BP126" s="197">
        <f t="shared" si="342"/>
        <v>2416.8425262592682</v>
      </c>
      <c r="BQ126" s="197">
        <f t="shared" si="342"/>
        <v>4517.7515901749521</v>
      </c>
      <c r="BR126" s="197">
        <f t="shared" si="342"/>
        <v>-1322.1138370682831</v>
      </c>
      <c r="BS126" s="199">
        <f t="shared" si="342"/>
        <v>1094.7286891909851</v>
      </c>
      <c r="BV126" s="881">
        <v>14</v>
      </c>
      <c r="BW126" s="747">
        <f t="shared" si="314"/>
        <v>12.54</v>
      </c>
      <c r="BX126" s="197">
        <f>'Energy Inputs'!$E$58*$BX$109</f>
        <v>110</v>
      </c>
      <c r="BY126" s="197">
        <f t="shared" si="362"/>
        <v>1379.3999999999999</v>
      </c>
      <c r="BZ126" s="197">
        <f>'Margins summary'!$S$14</f>
        <v>220</v>
      </c>
      <c r="CA126" s="197">
        <f t="shared" si="343"/>
        <v>1599.3999999999999</v>
      </c>
      <c r="CB126" s="197"/>
      <c r="CC126" s="897">
        <f>'Energy NPV'!U52</f>
        <v>233.81200000000001</v>
      </c>
      <c r="CD126" s="197"/>
      <c r="CE126" s="197">
        <f t="shared" si="315"/>
        <v>233.81200000000001</v>
      </c>
      <c r="CF126" s="197">
        <f t="shared" si="316"/>
        <v>1145.5879999999997</v>
      </c>
      <c r="CG126" s="197">
        <f t="shared" si="317"/>
        <v>1365.5879999999997</v>
      </c>
      <c r="CH126" s="196">
        <f t="shared" si="344"/>
        <v>828.43189441417474</v>
      </c>
      <c r="CI126" s="197">
        <f t="shared" si="345"/>
        <v>132.12629894962916</v>
      </c>
      <c r="CJ126" s="197">
        <f t="shared" si="346"/>
        <v>140.42142822732134</v>
      </c>
      <c r="CK126" s="197">
        <f t="shared" si="347"/>
        <v>688.01046618685336</v>
      </c>
      <c r="CL126" s="199">
        <f t="shared" si="348"/>
        <v>820.1367651364825</v>
      </c>
      <c r="CM126" s="196">
        <f t="shared" si="363"/>
        <v>12782.551012426677</v>
      </c>
      <c r="CN126" s="197">
        <f t="shared" si="349"/>
        <v>2416.8425262592682</v>
      </c>
      <c r="CO126" s="197">
        <f t="shared" si="349"/>
        <v>4517.7515901749521</v>
      </c>
      <c r="CP126" s="197">
        <f t="shared" si="349"/>
        <v>8264.7994222517245</v>
      </c>
      <c r="CQ126" s="199">
        <f t="shared" si="349"/>
        <v>10681.641948510991</v>
      </c>
      <c r="CT126" s="204">
        <f t="shared" si="364"/>
        <v>14</v>
      </c>
      <c r="CU126" s="747">
        <f t="shared" si="318"/>
        <v>12.54</v>
      </c>
      <c r="CV126" s="197">
        <f>'Energy Inputs'!$E$58*$CV$109</f>
        <v>0</v>
      </c>
      <c r="CW126" s="197">
        <f t="shared" si="365"/>
        <v>0</v>
      </c>
      <c r="CX126" s="197">
        <f>'Margins summary'!$S$14</f>
        <v>220</v>
      </c>
      <c r="CY126" s="197">
        <f t="shared" si="350"/>
        <v>220</v>
      </c>
      <c r="CZ126" s="197"/>
      <c r="DA126" s="897">
        <f>'Energy NPV'!U52</f>
        <v>233.81200000000001</v>
      </c>
      <c r="DB126" s="197"/>
      <c r="DC126" s="197">
        <f t="shared" si="319"/>
        <v>233.81200000000001</v>
      </c>
      <c r="DD126" s="197">
        <f t="shared" si="320"/>
        <v>-233.81200000000001</v>
      </c>
      <c r="DE126" s="197">
        <f t="shared" si="321"/>
        <v>-13.812000000000012</v>
      </c>
      <c r="DF126" s="196">
        <f t="shared" si="351"/>
        <v>0</v>
      </c>
      <c r="DG126" s="197">
        <f t="shared" si="352"/>
        <v>132.12629894962916</v>
      </c>
      <c r="DH126" s="197">
        <f t="shared" si="353"/>
        <v>140.42142822732134</v>
      </c>
      <c r="DI126" s="197">
        <f t="shared" si="354"/>
        <v>-140.42142822732134</v>
      </c>
      <c r="DJ126" s="199">
        <f t="shared" si="355"/>
        <v>-8.2951292776921797</v>
      </c>
      <c r="DK126" s="196">
        <f t="shared" si="366"/>
        <v>0</v>
      </c>
      <c r="DL126" s="197">
        <f t="shared" si="356"/>
        <v>2416.8425262592682</v>
      </c>
      <c r="DM126" s="197">
        <f t="shared" si="356"/>
        <v>4517.7515901749521</v>
      </c>
      <c r="DN126" s="197">
        <f t="shared" si="356"/>
        <v>-4517.7515901749521</v>
      </c>
      <c r="DO126" s="199">
        <f t="shared" si="356"/>
        <v>-2100.9090639156839</v>
      </c>
    </row>
    <row r="127" spans="2:119" x14ac:dyDescent="0.3">
      <c r="B127" s="881">
        <v>15</v>
      </c>
      <c r="C127" s="747">
        <f>'Energy NPV'!$D53</f>
        <v>12.54</v>
      </c>
      <c r="D127" s="197">
        <f>'Energy Inputs'!$E$58*$E$109</f>
        <v>55</v>
      </c>
      <c r="E127" s="197">
        <f t="shared" si="357"/>
        <v>689.69999999999993</v>
      </c>
      <c r="F127" s="197">
        <f>'Margins summary'!$S$14</f>
        <v>220</v>
      </c>
      <c r="G127" s="197">
        <f t="shared" si="322"/>
        <v>909.69999999999993</v>
      </c>
      <c r="H127" s="197"/>
      <c r="I127" s="897">
        <f>'Energy NPV'!U53</f>
        <v>233.81200000000001</v>
      </c>
      <c r="J127" s="197"/>
      <c r="K127" s="197">
        <f t="shared" si="303"/>
        <v>233.81200000000001</v>
      </c>
      <c r="L127" s="197">
        <f t="shared" si="304"/>
        <v>455.88799999999992</v>
      </c>
      <c r="M127" s="197">
        <f t="shared" si="305"/>
        <v>675.88799999999992</v>
      </c>
      <c r="N127" s="196">
        <f t="shared" si="323"/>
        <v>398.28456462219941</v>
      </c>
      <c r="O127" s="197">
        <f t="shared" si="324"/>
        <v>127.04451822079727</v>
      </c>
      <c r="P127" s="197">
        <f t="shared" si="325"/>
        <v>135.02060406473205</v>
      </c>
      <c r="Q127" s="197">
        <f t="shared" si="326"/>
        <v>263.26396055746733</v>
      </c>
      <c r="R127" s="199">
        <f t="shared" si="327"/>
        <v>390.3084787782646</v>
      </c>
      <c r="S127" s="196">
        <f t="shared" si="358"/>
        <v>6789.5600708355378</v>
      </c>
      <c r="T127" s="197">
        <f t="shared" si="328"/>
        <v>2543.8870444800655</v>
      </c>
      <c r="U127" s="197">
        <f t="shared" si="328"/>
        <v>4652.7721942396838</v>
      </c>
      <c r="V127" s="197">
        <f t="shared" si="328"/>
        <v>2136.7878765958535</v>
      </c>
      <c r="W127" s="199">
        <f t="shared" si="328"/>
        <v>4680.674921075919</v>
      </c>
      <c r="Z127" s="881">
        <v>15</v>
      </c>
      <c r="AA127" s="747">
        <f t="shared" si="306"/>
        <v>12.54</v>
      </c>
      <c r="AB127" s="197">
        <f>'Energy Inputs'!$E$58*$AB$109</f>
        <v>82.5</v>
      </c>
      <c r="AC127" s="197">
        <f t="shared" si="359"/>
        <v>1034.55</v>
      </c>
      <c r="AD127" s="197">
        <f>'Margins summary'!$S$14</f>
        <v>220</v>
      </c>
      <c r="AE127" s="197">
        <f t="shared" si="329"/>
        <v>1254.55</v>
      </c>
      <c r="AF127" s="197"/>
      <c r="AG127" s="897">
        <f>'Energy NPV'!U53</f>
        <v>233.81200000000001</v>
      </c>
      <c r="AH127" s="197"/>
      <c r="AI127" s="197">
        <f t="shared" si="307"/>
        <v>233.81200000000001</v>
      </c>
      <c r="AJ127" s="197">
        <f t="shared" si="308"/>
        <v>800.73799999999994</v>
      </c>
      <c r="AK127" s="197">
        <f t="shared" si="309"/>
        <v>1020.7379999999999</v>
      </c>
      <c r="AL127" s="196">
        <f t="shared" si="330"/>
        <v>597.42684693329909</v>
      </c>
      <c r="AM127" s="197">
        <f t="shared" si="331"/>
        <v>127.04451822079727</v>
      </c>
      <c r="AN127" s="197">
        <f t="shared" si="332"/>
        <v>135.02060406473205</v>
      </c>
      <c r="AO127" s="197">
        <f t="shared" si="333"/>
        <v>462.40624286856706</v>
      </c>
      <c r="AP127" s="199">
        <f t="shared" si="334"/>
        <v>589.45076108936439</v>
      </c>
      <c r="AQ127" s="196">
        <f t="shared" si="360"/>
        <v>10184.340106253307</v>
      </c>
      <c r="AR127" s="197">
        <f>AR126+AM127</f>
        <v>2543.8870444800655</v>
      </c>
      <c r="AS127" s="197">
        <f t="shared" si="335"/>
        <v>4652.7721942396838</v>
      </c>
      <c r="AT127" s="197">
        <f t="shared" si="335"/>
        <v>5531.5679120136238</v>
      </c>
      <c r="AU127" s="199">
        <f t="shared" si="335"/>
        <v>8075.4549564936879</v>
      </c>
      <c r="AX127" s="881">
        <v>15</v>
      </c>
      <c r="AY127" s="747">
        <f t="shared" si="310"/>
        <v>12.54</v>
      </c>
      <c r="AZ127" s="197">
        <f>'Energy Inputs'!$E$58*$AZ$109</f>
        <v>27.5</v>
      </c>
      <c r="BA127" s="197">
        <f t="shared" si="361"/>
        <v>344.84999999999997</v>
      </c>
      <c r="BB127" s="197">
        <f>'Margins summary'!$S$14</f>
        <v>220</v>
      </c>
      <c r="BC127" s="197">
        <f t="shared" si="336"/>
        <v>564.84999999999991</v>
      </c>
      <c r="BD127" s="197"/>
      <c r="BE127" s="897">
        <f>'Energy NPV'!U53</f>
        <v>233.81200000000001</v>
      </c>
      <c r="BF127" s="197"/>
      <c r="BG127" s="197">
        <f t="shared" si="311"/>
        <v>233.81200000000001</v>
      </c>
      <c r="BH127" s="197">
        <f t="shared" si="312"/>
        <v>111.03799999999995</v>
      </c>
      <c r="BI127" s="197">
        <f t="shared" si="313"/>
        <v>331.0379999999999</v>
      </c>
      <c r="BJ127" s="196">
        <f t="shared" si="337"/>
        <v>199.14228231109971</v>
      </c>
      <c r="BK127" s="197">
        <f t="shared" si="338"/>
        <v>127.04451822079727</v>
      </c>
      <c r="BL127" s="197">
        <f t="shared" si="339"/>
        <v>135.02060406473205</v>
      </c>
      <c r="BM127" s="197">
        <f t="shared" si="340"/>
        <v>64.121678246367637</v>
      </c>
      <c r="BN127" s="199">
        <f t="shared" si="341"/>
        <v>191.16619646716489</v>
      </c>
      <c r="BO127" s="196">
        <f t="shared" si="367"/>
        <v>3394.7800354177689</v>
      </c>
      <c r="BP127" s="197">
        <f>BP126+BK127</f>
        <v>2543.8870444800655</v>
      </c>
      <c r="BQ127" s="197">
        <f t="shared" si="342"/>
        <v>4652.7721942396838</v>
      </c>
      <c r="BR127" s="197">
        <f t="shared" si="342"/>
        <v>-1257.9921588219156</v>
      </c>
      <c r="BS127" s="199">
        <f t="shared" si="342"/>
        <v>1285.8948856581499</v>
      </c>
      <c r="BV127" s="881">
        <v>15</v>
      </c>
      <c r="BW127" s="747">
        <f t="shared" si="314"/>
        <v>12.54</v>
      </c>
      <c r="BX127" s="197">
        <f>'Energy Inputs'!$E$58*$BX$109</f>
        <v>110</v>
      </c>
      <c r="BY127" s="197">
        <f t="shared" si="362"/>
        <v>1379.3999999999999</v>
      </c>
      <c r="BZ127" s="197">
        <f>'Margins summary'!$S$14</f>
        <v>220</v>
      </c>
      <c r="CA127" s="197">
        <f t="shared" si="343"/>
        <v>1599.3999999999999</v>
      </c>
      <c r="CB127" s="197"/>
      <c r="CC127" s="897">
        <f>'Energy NPV'!U53</f>
        <v>233.81200000000001</v>
      </c>
      <c r="CD127" s="197"/>
      <c r="CE127" s="197">
        <f t="shared" si="315"/>
        <v>233.81200000000001</v>
      </c>
      <c r="CF127" s="197">
        <f t="shared" si="316"/>
        <v>1145.5879999999997</v>
      </c>
      <c r="CG127" s="197">
        <f t="shared" si="317"/>
        <v>1365.5879999999997</v>
      </c>
      <c r="CH127" s="196">
        <f t="shared" si="344"/>
        <v>796.56912924439882</v>
      </c>
      <c r="CI127" s="197">
        <f t="shared" si="345"/>
        <v>127.04451822079727</v>
      </c>
      <c r="CJ127" s="197">
        <f t="shared" si="346"/>
        <v>135.02060406473205</v>
      </c>
      <c r="CK127" s="197">
        <f t="shared" si="347"/>
        <v>661.54852517966674</v>
      </c>
      <c r="CL127" s="199">
        <f t="shared" si="348"/>
        <v>788.59304340046401</v>
      </c>
      <c r="CM127" s="196">
        <f t="shared" si="363"/>
        <v>13579.120141671076</v>
      </c>
      <c r="CN127" s="197">
        <f t="shared" si="349"/>
        <v>2543.8870444800655</v>
      </c>
      <c r="CO127" s="197">
        <f t="shared" si="349"/>
        <v>4652.7721942396838</v>
      </c>
      <c r="CP127" s="197">
        <f t="shared" si="349"/>
        <v>8926.3479474313917</v>
      </c>
      <c r="CQ127" s="199">
        <f t="shared" si="349"/>
        <v>11470.234991911455</v>
      </c>
      <c r="CT127" s="204">
        <f t="shared" si="364"/>
        <v>15</v>
      </c>
      <c r="CU127" s="747">
        <f t="shared" si="318"/>
        <v>12.54</v>
      </c>
      <c r="CV127" s="197">
        <f>'Energy Inputs'!$E$58*$CV$109</f>
        <v>0</v>
      </c>
      <c r="CW127" s="197">
        <f t="shared" si="365"/>
        <v>0</v>
      </c>
      <c r="CX127" s="197">
        <f>'Margins summary'!$S$14</f>
        <v>220</v>
      </c>
      <c r="CY127" s="197">
        <f t="shared" si="350"/>
        <v>220</v>
      </c>
      <c r="CZ127" s="197"/>
      <c r="DA127" s="897">
        <f>'Energy NPV'!U53</f>
        <v>233.81200000000001</v>
      </c>
      <c r="DB127" s="197"/>
      <c r="DC127" s="197">
        <f t="shared" si="319"/>
        <v>233.81200000000001</v>
      </c>
      <c r="DD127" s="197">
        <f t="shared" si="320"/>
        <v>-233.81200000000001</v>
      </c>
      <c r="DE127" s="197">
        <f t="shared" si="321"/>
        <v>-13.812000000000012</v>
      </c>
      <c r="DF127" s="196">
        <f t="shared" si="351"/>
        <v>0</v>
      </c>
      <c r="DG127" s="197">
        <f t="shared" si="352"/>
        <v>127.04451822079727</v>
      </c>
      <c r="DH127" s="197">
        <f t="shared" si="353"/>
        <v>135.02060406473205</v>
      </c>
      <c r="DI127" s="197">
        <f t="shared" si="354"/>
        <v>-135.02060406473205</v>
      </c>
      <c r="DJ127" s="199">
        <f t="shared" si="355"/>
        <v>-7.9760858439347881</v>
      </c>
      <c r="DK127" s="196">
        <f t="shared" si="366"/>
        <v>0</v>
      </c>
      <c r="DL127" s="197">
        <f t="shared" si="356"/>
        <v>2543.8870444800655</v>
      </c>
      <c r="DM127" s="197">
        <f t="shared" si="356"/>
        <v>4652.7721942396838</v>
      </c>
      <c r="DN127" s="197">
        <f t="shared" si="356"/>
        <v>-4652.7721942396838</v>
      </c>
      <c r="DO127" s="199">
        <f t="shared" si="356"/>
        <v>-2108.8851497596188</v>
      </c>
    </row>
    <row r="128" spans="2:119" x14ac:dyDescent="0.3">
      <c r="B128" s="882">
        <v>16</v>
      </c>
      <c r="C128" s="748">
        <f>'Energy NPV'!$D54</f>
        <v>12.54</v>
      </c>
      <c r="D128" s="207">
        <f>'Energy Inputs'!$E$58*$E$109</f>
        <v>55</v>
      </c>
      <c r="E128" s="207">
        <f t="shared" si="357"/>
        <v>689.69999999999993</v>
      </c>
      <c r="F128" s="207">
        <f>'Margins summary'!$S$14</f>
        <v>220</v>
      </c>
      <c r="G128" s="207">
        <f t="shared" si="322"/>
        <v>909.69999999999993</v>
      </c>
      <c r="H128" s="207"/>
      <c r="I128" s="898">
        <f>'Energy NPV'!U54</f>
        <v>233.81200000000001</v>
      </c>
      <c r="J128" s="207">
        <f>'Energy margins'!$Q$67</f>
        <v>170</v>
      </c>
      <c r="K128" s="207">
        <f t="shared" si="303"/>
        <v>403.81200000000001</v>
      </c>
      <c r="L128" s="207">
        <f t="shared" si="304"/>
        <v>285.88799999999992</v>
      </c>
      <c r="M128" s="207">
        <f t="shared" si="305"/>
        <v>505.88799999999992</v>
      </c>
      <c r="N128" s="208">
        <f t="shared" si="323"/>
        <v>382.96592752134558</v>
      </c>
      <c r="O128" s="207">
        <f t="shared" si="324"/>
        <v>122.15819059692046</v>
      </c>
      <c r="P128" s="207">
        <f t="shared" si="325"/>
        <v>224.22246936965294</v>
      </c>
      <c r="Q128" s="207">
        <f>L128/((1+$B$4)^($B128-1))</f>
        <v>158.74345815169266</v>
      </c>
      <c r="R128" s="209">
        <f>M128/((1+$B$4)^($B128-1))</f>
        <v>280.90164874861313</v>
      </c>
      <c r="S128" s="208">
        <f t="shared" si="358"/>
        <v>7172.5259983568831</v>
      </c>
      <c r="T128" s="207">
        <f t="shared" si="328"/>
        <v>2666.045235076986</v>
      </c>
      <c r="U128" s="207">
        <f t="shared" si="328"/>
        <v>4876.9946636093364</v>
      </c>
      <c r="V128" s="207">
        <f t="shared" si="328"/>
        <v>2295.5313347475462</v>
      </c>
      <c r="W128" s="209">
        <f t="shared" si="328"/>
        <v>4961.5765698245323</v>
      </c>
      <c r="Z128" s="882">
        <v>16</v>
      </c>
      <c r="AA128" s="748">
        <f t="shared" si="306"/>
        <v>12.54</v>
      </c>
      <c r="AB128" s="207">
        <f>'Energy Inputs'!$E$58*$AB$109</f>
        <v>82.5</v>
      </c>
      <c r="AC128" s="207">
        <f t="shared" si="359"/>
        <v>1034.55</v>
      </c>
      <c r="AD128" s="207">
        <f>'Margins summary'!$S$14</f>
        <v>220</v>
      </c>
      <c r="AE128" s="207">
        <f t="shared" si="329"/>
        <v>1254.55</v>
      </c>
      <c r="AF128" s="207"/>
      <c r="AG128" s="898">
        <f>'Energy NPV'!U54</f>
        <v>233.81200000000001</v>
      </c>
      <c r="AH128" s="207">
        <f>J128</f>
        <v>170</v>
      </c>
      <c r="AI128" s="207">
        <f>AF128+AG128+AH128</f>
        <v>403.81200000000001</v>
      </c>
      <c r="AJ128" s="207">
        <f t="shared" si="308"/>
        <v>630.73799999999994</v>
      </c>
      <c r="AK128" s="207">
        <f t="shared" si="309"/>
        <v>850.73799999999994</v>
      </c>
      <c r="AL128" s="208">
        <f t="shared" si="330"/>
        <v>574.44889128201839</v>
      </c>
      <c r="AM128" s="207">
        <f t="shared" si="331"/>
        <v>122.15819059692046</v>
      </c>
      <c r="AN128" s="207">
        <f t="shared" si="332"/>
        <v>224.22246936965294</v>
      </c>
      <c r="AO128" s="207">
        <f t="shared" si="333"/>
        <v>350.22642191236548</v>
      </c>
      <c r="AP128" s="209">
        <f t="shared" si="334"/>
        <v>472.38461250928594</v>
      </c>
      <c r="AQ128" s="208">
        <f>AQ127+AL128</f>
        <v>10758.788997535325</v>
      </c>
      <c r="AR128" s="207">
        <f t="shared" si="335"/>
        <v>2666.045235076986</v>
      </c>
      <c r="AS128" s="207">
        <f t="shared" si="335"/>
        <v>4876.9946636093364</v>
      </c>
      <c r="AT128" s="207">
        <f t="shared" si="335"/>
        <v>5881.7943339259891</v>
      </c>
      <c r="AU128" s="209">
        <f>AU127+AP128</f>
        <v>8547.8395690029738</v>
      </c>
      <c r="AX128" s="882">
        <v>16</v>
      </c>
      <c r="AY128" s="748">
        <f t="shared" si="310"/>
        <v>12.54</v>
      </c>
      <c r="AZ128" s="207">
        <f>'Energy Inputs'!$E$58*$AZ$109</f>
        <v>27.5</v>
      </c>
      <c r="BA128" s="207">
        <f t="shared" si="361"/>
        <v>344.84999999999997</v>
      </c>
      <c r="BB128" s="207">
        <f>'Margins summary'!$S$14</f>
        <v>220</v>
      </c>
      <c r="BC128" s="207">
        <f t="shared" si="336"/>
        <v>564.84999999999991</v>
      </c>
      <c r="BD128" s="207"/>
      <c r="BE128" s="898">
        <f>'Energy NPV'!U54</f>
        <v>233.81200000000001</v>
      </c>
      <c r="BF128" s="207">
        <f>'Energy margins'!$Q$67</f>
        <v>170</v>
      </c>
      <c r="BG128" s="207">
        <f t="shared" si="311"/>
        <v>403.81200000000001</v>
      </c>
      <c r="BH128" s="207">
        <f t="shared" si="312"/>
        <v>-58.962000000000046</v>
      </c>
      <c r="BI128" s="207">
        <f t="shared" si="313"/>
        <v>161.0379999999999</v>
      </c>
      <c r="BJ128" s="208">
        <f t="shared" si="337"/>
        <v>191.48296376067279</v>
      </c>
      <c r="BK128" s="207">
        <f t="shared" si="338"/>
        <v>122.15819059692046</v>
      </c>
      <c r="BL128" s="207">
        <f t="shared" si="339"/>
        <v>224.22246936965294</v>
      </c>
      <c r="BM128" s="207">
        <f t="shared" si="340"/>
        <v>-32.739505608980132</v>
      </c>
      <c r="BN128" s="209">
        <f t="shared" si="341"/>
        <v>89.418684987940296</v>
      </c>
      <c r="BO128" s="208">
        <f t="shared" si="367"/>
        <v>3586.2629991784415</v>
      </c>
      <c r="BP128" s="207">
        <f t="shared" si="342"/>
        <v>2666.045235076986</v>
      </c>
      <c r="BQ128" s="207">
        <f t="shared" si="342"/>
        <v>4876.9946636093364</v>
      </c>
      <c r="BR128" s="207">
        <f t="shared" si="342"/>
        <v>-1290.7316644308958</v>
      </c>
      <c r="BS128" s="209">
        <f t="shared" si="342"/>
        <v>1375.3135706460901</v>
      </c>
      <c r="BV128" s="882">
        <v>16</v>
      </c>
      <c r="BW128" s="748">
        <f t="shared" si="314"/>
        <v>12.54</v>
      </c>
      <c r="BX128" s="207">
        <f>'Energy Inputs'!$E$58*$BX$109</f>
        <v>110</v>
      </c>
      <c r="BY128" s="207">
        <f t="shared" si="362"/>
        <v>1379.3999999999999</v>
      </c>
      <c r="BZ128" s="207">
        <f>'Margins summary'!$S$14</f>
        <v>220</v>
      </c>
      <c r="CA128" s="207">
        <f t="shared" si="343"/>
        <v>1599.3999999999999</v>
      </c>
      <c r="CB128" s="207"/>
      <c r="CC128" s="898">
        <f>'Energy NPV'!U54</f>
        <v>233.81200000000001</v>
      </c>
      <c r="CD128" s="207">
        <f>'Energy margins'!$Q$67</f>
        <v>170</v>
      </c>
      <c r="CE128" s="207">
        <f t="shared" si="315"/>
        <v>403.81200000000001</v>
      </c>
      <c r="CF128" s="207">
        <f t="shared" si="316"/>
        <v>975.58799999999985</v>
      </c>
      <c r="CG128" s="207">
        <f t="shared" si="317"/>
        <v>1195.5879999999997</v>
      </c>
      <c r="CH128" s="208">
        <f t="shared" si="344"/>
        <v>765.93185504269115</v>
      </c>
      <c r="CI128" s="207">
        <f t="shared" si="345"/>
        <v>122.15819059692046</v>
      </c>
      <c r="CJ128" s="207">
        <f t="shared" si="346"/>
        <v>224.22246936965294</v>
      </c>
      <c r="CK128" s="207">
        <f t="shared" si="347"/>
        <v>541.70938567303824</v>
      </c>
      <c r="CL128" s="209">
        <f t="shared" si="348"/>
        <v>663.8675762699587</v>
      </c>
      <c r="CM128" s="208">
        <f t="shared" si="363"/>
        <v>14345.051996713766</v>
      </c>
      <c r="CN128" s="207">
        <f t="shared" si="349"/>
        <v>2666.045235076986</v>
      </c>
      <c r="CO128" s="207">
        <f t="shared" si="349"/>
        <v>4876.9946636093364</v>
      </c>
      <c r="CP128" s="207">
        <f t="shared" si="349"/>
        <v>9468.0573331044307</v>
      </c>
      <c r="CQ128" s="209">
        <f t="shared" si="349"/>
        <v>12134.102568181414</v>
      </c>
      <c r="CT128" s="206">
        <f t="shared" si="364"/>
        <v>16</v>
      </c>
      <c r="CU128" s="748">
        <f t="shared" si="318"/>
        <v>12.54</v>
      </c>
      <c r="CV128" s="207">
        <f>'Energy Inputs'!$E$58*$CV$109</f>
        <v>0</v>
      </c>
      <c r="CW128" s="207">
        <f t="shared" si="365"/>
        <v>0</v>
      </c>
      <c r="CX128" s="207">
        <f>'Margins summary'!$S$14</f>
        <v>220</v>
      </c>
      <c r="CY128" s="207">
        <f t="shared" si="350"/>
        <v>220</v>
      </c>
      <c r="CZ128" s="207"/>
      <c r="DA128" s="898">
        <f>'Energy NPV'!U54</f>
        <v>233.81200000000001</v>
      </c>
      <c r="DB128" s="207">
        <f>'Energy margins'!$Q$67</f>
        <v>170</v>
      </c>
      <c r="DC128" s="207">
        <f t="shared" si="319"/>
        <v>403.81200000000001</v>
      </c>
      <c r="DD128" s="207">
        <f t="shared" si="320"/>
        <v>-403.81200000000001</v>
      </c>
      <c r="DE128" s="207">
        <f t="shared" si="321"/>
        <v>-183.81200000000001</v>
      </c>
      <c r="DF128" s="208">
        <f t="shared" si="351"/>
        <v>0</v>
      </c>
      <c r="DG128" s="207">
        <f t="shared" si="352"/>
        <v>122.15819059692046</v>
      </c>
      <c r="DH128" s="207">
        <f t="shared" si="353"/>
        <v>224.22246936965294</v>
      </c>
      <c r="DI128" s="207">
        <f t="shared" si="354"/>
        <v>-224.22246936965294</v>
      </c>
      <c r="DJ128" s="209">
        <f>DE128/((1+$B$4)^($CT128-1))</f>
        <v>-102.06427877273248</v>
      </c>
      <c r="DK128" s="208">
        <f t="shared" si="366"/>
        <v>0</v>
      </c>
      <c r="DL128" s="207">
        <f t="shared" si="356"/>
        <v>2666.045235076986</v>
      </c>
      <c r="DM128" s="207">
        <f t="shared" si="356"/>
        <v>4876.9946636093364</v>
      </c>
      <c r="DN128" s="207">
        <f t="shared" si="356"/>
        <v>-4876.9946636093364</v>
      </c>
      <c r="DO128" s="209">
        <f t="shared" si="356"/>
        <v>-2210.9494285323512</v>
      </c>
    </row>
    <row r="134" spans="2:174" x14ac:dyDescent="0.3">
      <c r="B134" s="212" t="s">
        <v>260</v>
      </c>
      <c r="C134" s="750" t="s">
        <v>407</v>
      </c>
      <c r="D134" s="269" t="s">
        <v>418</v>
      </c>
      <c r="E134" s="894">
        <v>1</v>
      </c>
      <c r="F134" s="102"/>
      <c r="G134" s="102"/>
      <c r="H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212" t="s">
        <v>260</v>
      </c>
      <c r="AA134" s="750" t="s">
        <v>408</v>
      </c>
      <c r="AB134" s="269" t="s">
        <v>418</v>
      </c>
      <c r="AC134" s="894">
        <v>1.5</v>
      </c>
      <c r="AD134" s="102"/>
      <c r="AE134" s="102"/>
      <c r="AF134" s="102"/>
      <c r="AG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X134" s="212" t="s">
        <v>260</v>
      </c>
      <c r="AY134" s="750" t="s">
        <v>409</v>
      </c>
      <c r="AZ134" s="269" t="s">
        <v>418</v>
      </c>
      <c r="BA134" s="894">
        <v>0.5</v>
      </c>
      <c r="BB134" s="102"/>
      <c r="BC134" s="102"/>
      <c r="BD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V134" s="212" t="s">
        <v>260</v>
      </c>
      <c r="BW134" s="750" t="s">
        <v>410</v>
      </c>
      <c r="BX134" s="269" t="s">
        <v>418</v>
      </c>
      <c r="BY134" s="894">
        <v>2</v>
      </c>
      <c r="BZ134" s="102"/>
      <c r="CA134" s="102"/>
      <c r="CB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T134" s="212" t="s">
        <v>260</v>
      </c>
      <c r="CU134" s="750" t="s">
        <v>411</v>
      </c>
      <c r="CV134" s="269" t="s">
        <v>418</v>
      </c>
      <c r="CW134" s="894">
        <v>0</v>
      </c>
      <c r="CX134" s="102"/>
      <c r="CY134" s="102"/>
      <c r="CZ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/>
      <c r="DN134" s="102"/>
      <c r="DZ134" s="102"/>
      <c r="EA134" s="102"/>
      <c r="EB134" s="102"/>
      <c r="EC134" s="102"/>
      <c r="ED134" s="102"/>
      <c r="EE134" s="102"/>
      <c r="EF134" s="102"/>
      <c r="EG134" s="102"/>
      <c r="EH134" s="102"/>
      <c r="EI134" s="102"/>
      <c r="FI134" s="102"/>
      <c r="FJ134" s="102"/>
      <c r="FK134" s="102"/>
      <c r="FL134" s="102"/>
      <c r="FM134" s="102"/>
      <c r="FN134" s="102"/>
      <c r="FO134" s="102"/>
      <c r="FP134" s="102"/>
      <c r="FQ134" s="102"/>
      <c r="FR134" s="102"/>
    </row>
    <row r="135" spans="2:174" x14ac:dyDescent="0.3">
      <c r="B135" s="203"/>
      <c r="D135" s="158"/>
      <c r="E135" s="745"/>
      <c r="F135" s="745"/>
      <c r="G135" s="745"/>
      <c r="H135" s="148"/>
      <c r="I135" s="148"/>
      <c r="J135" s="745"/>
      <c r="K135" s="148"/>
      <c r="L135" s="148"/>
      <c r="M135" s="875" t="s">
        <v>279</v>
      </c>
      <c r="N135" s="876"/>
      <c r="O135" s="876"/>
      <c r="P135" s="876"/>
      <c r="Q135" s="877"/>
      <c r="R135" s="875" t="s">
        <v>280</v>
      </c>
      <c r="S135" s="876"/>
      <c r="T135" s="876"/>
      <c r="U135" s="876"/>
      <c r="V135" s="877"/>
      <c r="Z135" s="203"/>
      <c r="AB135" s="158"/>
      <c r="AC135" s="745"/>
      <c r="AD135" s="745"/>
      <c r="AE135" s="745"/>
      <c r="AF135" s="148"/>
      <c r="AG135" s="148"/>
      <c r="AH135" s="745"/>
      <c r="AI135" s="148"/>
      <c r="AJ135" s="148"/>
      <c r="AK135" s="875" t="s">
        <v>279</v>
      </c>
      <c r="AL135" s="876"/>
      <c r="AM135" s="876"/>
      <c r="AN135" s="876"/>
      <c r="AO135" s="877"/>
      <c r="AP135" s="875" t="s">
        <v>280</v>
      </c>
      <c r="AQ135" s="876"/>
      <c r="AR135" s="876"/>
      <c r="AS135" s="876"/>
      <c r="AT135" s="877"/>
      <c r="AX135" s="203"/>
      <c r="AZ135" s="158"/>
      <c r="BA135" s="745"/>
      <c r="BB135" s="745"/>
      <c r="BC135" s="745"/>
      <c r="BD135" s="148"/>
      <c r="BE135" s="148"/>
      <c r="BF135" s="745"/>
      <c r="BG135" s="148"/>
      <c r="BH135" s="148"/>
      <c r="BI135" s="875" t="s">
        <v>279</v>
      </c>
      <c r="BJ135" s="876"/>
      <c r="BK135" s="876"/>
      <c r="BL135" s="876"/>
      <c r="BM135" s="877"/>
      <c r="BN135" s="875" t="s">
        <v>280</v>
      </c>
      <c r="BO135" s="876"/>
      <c r="BP135" s="876"/>
      <c r="BQ135" s="876"/>
      <c r="BR135" s="877"/>
      <c r="BV135" s="203"/>
      <c r="BX135" s="158"/>
      <c r="BY135" s="745"/>
      <c r="BZ135" s="745"/>
      <c r="CA135" s="745"/>
      <c r="CB135" s="148"/>
      <c r="CC135" s="148"/>
      <c r="CD135" s="745"/>
      <c r="CE135" s="148"/>
      <c r="CF135" s="148"/>
      <c r="CG135" s="875" t="s">
        <v>279</v>
      </c>
      <c r="CH135" s="876"/>
      <c r="CI135" s="876"/>
      <c r="CJ135" s="876"/>
      <c r="CK135" s="877"/>
      <c r="CL135" s="875" t="s">
        <v>280</v>
      </c>
      <c r="CM135" s="876"/>
      <c r="CN135" s="876"/>
      <c r="CO135" s="876"/>
      <c r="CP135" s="877"/>
      <c r="CT135" s="203"/>
      <c r="CV135" s="158"/>
      <c r="CW135" s="745"/>
      <c r="CX135" s="745"/>
      <c r="CY135" s="745"/>
      <c r="CZ135" s="148"/>
      <c r="DA135" s="148"/>
      <c r="DB135" s="745"/>
      <c r="DC135" s="148"/>
      <c r="DD135" s="148"/>
      <c r="DE135" s="875" t="s">
        <v>279</v>
      </c>
      <c r="DF135" s="876"/>
      <c r="DG135" s="876"/>
      <c r="DH135" s="876"/>
      <c r="DI135" s="877"/>
      <c r="DJ135" s="875" t="s">
        <v>280</v>
      </c>
      <c r="DK135" s="876"/>
      <c r="DL135" s="876"/>
      <c r="DM135" s="876"/>
      <c r="DN135" s="877"/>
    </row>
    <row r="136" spans="2:174" ht="51" x14ac:dyDescent="0.3">
      <c r="B136" s="204" t="s">
        <v>281</v>
      </c>
      <c r="C136" s="205" t="s">
        <v>307</v>
      </c>
      <c r="D136" s="205" t="s">
        <v>308</v>
      </c>
      <c r="E136" s="171" t="s">
        <v>283</v>
      </c>
      <c r="F136" s="171" t="s">
        <v>10</v>
      </c>
      <c r="G136" s="171" t="s">
        <v>284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287</v>
      </c>
      <c r="K136" s="171" t="s">
        <v>288</v>
      </c>
      <c r="L136" s="171" t="s">
        <v>289</v>
      </c>
      <c r="M136" s="195" t="s">
        <v>290</v>
      </c>
      <c r="N136" s="171" t="s">
        <v>291</v>
      </c>
      <c r="O136" s="171" t="s">
        <v>292</v>
      </c>
      <c r="P136" s="171" t="s">
        <v>293</v>
      </c>
      <c r="Q136" s="198" t="s">
        <v>294</v>
      </c>
      <c r="R136" s="195" t="s">
        <v>295</v>
      </c>
      <c r="S136" s="171" t="s">
        <v>296</v>
      </c>
      <c r="T136" s="171" t="s">
        <v>297</v>
      </c>
      <c r="U136" s="171" t="s">
        <v>298</v>
      </c>
      <c r="V136" s="198" t="s">
        <v>299</v>
      </c>
      <c r="Z136" s="204" t="s">
        <v>281</v>
      </c>
      <c r="AA136" s="205" t="s">
        <v>307</v>
      </c>
      <c r="AB136" s="205" t="s">
        <v>308</v>
      </c>
      <c r="AC136" s="171" t="s">
        <v>283</v>
      </c>
      <c r="AD136" s="171" t="s">
        <v>10</v>
      </c>
      <c r="AE136" s="171" t="s">
        <v>284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287</v>
      </c>
      <c r="AI136" s="171" t="s">
        <v>288</v>
      </c>
      <c r="AJ136" s="171" t="s">
        <v>289</v>
      </c>
      <c r="AK136" s="195" t="s">
        <v>290</v>
      </c>
      <c r="AL136" s="171" t="s">
        <v>291</v>
      </c>
      <c r="AM136" s="171" t="s">
        <v>292</v>
      </c>
      <c r="AN136" s="171" t="s">
        <v>293</v>
      </c>
      <c r="AO136" s="198" t="s">
        <v>294</v>
      </c>
      <c r="AP136" s="195" t="s">
        <v>295</v>
      </c>
      <c r="AQ136" s="171" t="s">
        <v>296</v>
      </c>
      <c r="AR136" s="171" t="s">
        <v>297</v>
      </c>
      <c r="AS136" s="171" t="s">
        <v>298</v>
      </c>
      <c r="AT136" s="198" t="s">
        <v>299</v>
      </c>
      <c r="AX136" s="204" t="s">
        <v>281</v>
      </c>
      <c r="AY136" s="205" t="s">
        <v>307</v>
      </c>
      <c r="AZ136" s="205" t="s">
        <v>308</v>
      </c>
      <c r="BA136" s="171" t="s">
        <v>283</v>
      </c>
      <c r="BB136" s="171" t="s">
        <v>10</v>
      </c>
      <c r="BC136" s="171" t="s">
        <v>284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287</v>
      </c>
      <c r="BG136" s="171" t="s">
        <v>288</v>
      </c>
      <c r="BH136" s="171" t="s">
        <v>289</v>
      </c>
      <c r="BI136" s="195" t="s">
        <v>290</v>
      </c>
      <c r="BJ136" s="171" t="s">
        <v>291</v>
      </c>
      <c r="BK136" s="171" t="s">
        <v>292</v>
      </c>
      <c r="BL136" s="171" t="s">
        <v>293</v>
      </c>
      <c r="BM136" s="198" t="s">
        <v>294</v>
      </c>
      <c r="BN136" s="195" t="s">
        <v>295</v>
      </c>
      <c r="BO136" s="171" t="s">
        <v>296</v>
      </c>
      <c r="BP136" s="171" t="s">
        <v>297</v>
      </c>
      <c r="BQ136" s="171" t="s">
        <v>298</v>
      </c>
      <c r="BR136" s="198" t="s">
        <v>299</v>
      </c>
      <c r="BV136" s="204" t="s">
        <v>281</v>
      </c>
      <c r="BW136" s="205" t="s">
        <v>307</v>
      </c>
      <c r="BX136" s="205" t="s">
        <v>308</v>
      </c>
      <c r="BY136" s="171" t="s">
        <v>283</v>
      </c>
      <c r="BZ136" s="171" t="s">
        <v>10</v>
      </c>
      <c r="CA136" s="171" t="s">
        <v>284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287</v>
      </c>
      <c r="CE136" s="171" t="s">
        <v>288</v>
      </c>
      <c r="CF136" s="171" t="s">
        <v>289</v>
      </c>
      <c r="CG136" s="195" t="s">
        <v>290</v>
      </c>
      <c r="CH136" s="171" t="s">
        <v>291</v>
      </c>
      <c r="CI136" s="171" t="s">
        <v>292</v>
      </c>
      <c r="CJ136" s="171" t="s">
        <v>293</v>
      </c>
      <c r="CK136" s="198" t="s">
        <v>294</v>
      </c>
      <c r="CL136" s="195" t="s">
        <v>295</v>
      </c>
      <c r="CM136" s="171" t="s">
        <v>296</v>
      </c>
      <c r="CN136" s="171" t="s">
        <v>297</v>
      </c>
      <c r="CO136" s="171" t="s">
        <v>298</v>
      </c>
      <c r="CP136" s="198" t="s">
        <v>299</v>
      </c>
      <c r="CT136" s="204" t="s">
        <v>281</v>
      </c>
      <c r="CU136" s="205" t="s">
        <v>307</v>
      </c>
      <c r="CV136" s="205" t="s">
        <v>308</v>
      </c>
      <c r="CW136" s="171" t="s">
        <v>283</v>
      </c>
      <c r="CX136" s="171" t="s">
        <v>10</v>
      </c>
      <c r="CY136" s="171" t="s">
        <v>284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287</v>
      </c>
      <c r="DC136" s="171" t="s">
        <v>288</v>
      </c>
      <c r="DD136" s="171" t="s">
        <v>289</v>
      </c>
      <c r="DE136" s="195" t="s">
        <v>290</v>
      </c>
      <c r="DF136" s="171" t="s">
        <v>291</v>
      </c>
      <c r="DG136" s="171" t="s">
        <v>292</v>
      </c>
      <c r="DH136" s="171" t="s">
        <v>293</v>
      </c>
      <c r="DI136" s="198" t="s">
        <v>294</v>
      </c>
      <c r="DJ136" s="195" t="s">
        <v>295</v>
      </c>
      <c r="DK136" s="171" t="s">
        <v>296</v>
      </c>
      <c r="DL136" s="171" t="s">
        <v>297</v>
      </c>
      <c r="DM136" s="171" t="s">
        <v>298</v>
      </c>
      <c r="DN136" s="198" t="s">
        <v>299</v>
      </c>
    </row>
    <row r="137" spans="2:174" x14ac:dyDescent="0.3">
      <c r="B137" s="173"/>
      <c r="C137" s="226" t="s">
        <v>356</v>
      </c>
      <c r="D137" s="226" t="s">
        <v>476</v>
      </c>
      <c r="E137" s="201" t="s">
        <v>474</v>
      </c>
      <c r="F137" s="201" t="s">
        <v>474</v>
      </c>
      <c r="G137" s="201" t="s">
        <v>474</v>
      </c>
      <c r="H137" s="201" t="s">
        <v>474</v>
      </c>
      <c r="I137" s="201" t="s">
        <v>474</v>
      </c>
      <c r="J137" s="201" t="s">
        <v>474</v>
      </c>
      <c r="K137" s="201" t="s">
        <v>474</v>
      </c>
      <c r="L137" s="202" t="s">
        <v>474</v>
      </c>
      <c r="M137" s="201" t="s">
        <v>474</v>
      </c>
      <c r="N137" s="201" t="s">
        <v>474</v>
      </c>
      <c r="O137" s="201" t="s">
        <v>474</v>
      </c>
      <c r="P137" s="201" t="s">
        <v>474</v>
      </c>
      <c r="Q137" s="202" t="s">
        <v>474</v>
      </c>
      <c r="R137" s="201" t="s">
        <v>474</v>
      </c>
      <c r="S137" s="201" t="s">
        <v>474</v>
      </c>
      <c r="T137" s="201" t="s">
        <v>474</v>
      </c>
      <c r="U137" s="201" t="s">
        <v>474</v>
      </c>
      <c r="V137" s="202" t="s">
        <v>474</v>
      </c>
      <c r="Z137" s="173"/>
      <c r="AA137" s="226" t="s">
        <v>356</v>
      </c>
      <c r="AB137" s="226" t="s">
        <v>476</v>
      </c>
      <c r="AC137" s="201" t="s">
        <v>474</v>
      </c>
      <c r="AD137" s="201" t="s">
        <v>474</v>
      </c>
      <c r="AE137" s="201" t="s">
        <v>474</v>
      </c>
      <c r="AF137" s="201" t="s">
        <v>474</v>
      </c>
      <c r="AG137" s="201" t="s">
        <v>474</v>
      </c>
      <c r="AH137" s="201" t="s">
        <v>474</v>
      </c>
      <c r="AI137" s="201" t="s">
        <v>474</v>
      </c>
      <c r="AJ137" s="202" t="s">
        <v>474</v>
      </c>
      <c r="AK137" s="201" t="s">
        <v>474</v>
      </c>
      <c r="AL137" s="201" t="s">
        <v>474</v>
      </c>
      <c r="AM137" s="201" t="s">
        <v>474</v>
      </c>
      <c r="AN137" s="201" t="s">
        <v>474</v>
      </c>
      <c r="AO137" s="202" t="s">
        <v>474</v>
      </c>
      <c r="AP137" s="201" t="s">
        <v>474</v>
      </c>
      <c r="AQ137" s="201" t="s">
        <v>474</v>
      </c>
      <c r="AR137" s="201" t="s">
        <v>474</v>
      </c>
      <c r="AS137" s="201" t="s">
        <v>474</v>
      </c>
      <c r="AT137" s="202" t="s">
        <v>474</v>
      </c>
      <c r="AX137" s="173"/>
      <c r="AY137" s="226" t="s">
        <v>356</v>
      </c>
      <c r="AZ137" s="226" t="s">
        <v>476</v>
      </c>
      <c r="BA137" s="201" t="s">
        <v>474</v>
      </c>
      <c r="BB137" s="201" t="s">
        <v>474</v>
      </c>
      <c r="BC137" s="201" t="s">
        <v>474</v>
      </c>
      <c r="BD137" s="201" t="s">
        <v>474</v>
      </c>
      <c r="BE137" s="201" t="s">
        <v>474</v>
      </c>
      <c r="BF137" s="201" t="s">
        <v>474</v>
      </c>
      <c r="BG137" s="201" t="s">
        <v>474</v>
      </c>
      <c r="BH137" s="202" t="s">
        <v>474</v>
      </c>
      <c r="BI137" s="201" t="s">
        <v>474</v>
      </c>
      <c r="BJ137" s="201" t="s">
        <v>474</v>
      </c>
      <c r="BK137" s="201" t="s">
        <v>474</v>
      </c>
      <c r="BL137" s="201" t="s">
        <v>474</v>
      </c>
      <c r="BM137" s="202" t="s">
        <v>474</v>
      </c>
      <c r="BN137" s="201" t="s">
        <v>474</v>
      </c>
      <c r="BO137" s="201" t="s">
        <v>474</v>
      </c>
      <c r="BP137" s="201" t="s">
        <v>474</v>
      </c>
      <c r="BQ137" s="201" t="s">
        <v>474</v>
      </c>
      <c r="BR137" s="202" t="s">
        <v>474</v>
      </c>
      <c r="BV137" s="173"/>
      <c r="BW137" s="226" t="s">
        <v>356</v>
      </c>
      <c r="BX137" s="226" t="s">
        <v>476</v>
      </c>
      <c r="BY137" s="201" t="s">
        <v>474</v>
      </c>
      <c r="BZ137" s="201" t="s">
        <v>474</v>
      </c>
      <c r="CA137" s="201" t="s">
        <v>474</v>
      </c>
      <c r="CB137" s="201" t="s">
        <v>474</v>
      </c>
      <c r="CC137" s="201" t="s">
        <v>474</v>
      </c>
      <c r="CD137" s="201" t="s">
        <v>474</v>
      </c>
      <c r="CE137" s="201" t="s">
        <v>474</v>
      </c>
      <c r="CF137" s="202" t="s">
        <v>474</v>
      </c>
      <c r="CG137" s="201" t="s">
        <v>474</v>
      </c>
      <c r="CH137" s="201" t="s">
        <v>474</v>
      </c>
      <c r="CI137" s="201" t="s">
        <v>474</v>
      </c>
      <c r="CJ137" s="201" t="s">
        <v>474</v>
      </c>
      <c r="CK137" s="202" t="s">
        <v>474</v>
      </c>
      <c r="CL137" s="201" t="s">
        <v>474</v>
      </c>
      <c r="CM137" s="201" t="s">
        <v>474</v>
      </c>
      <c r="CN137" s="201" t="s">
        <v>474</v>
      </c>
      <c r="CO137" s="201" t="s">
        <v>474</v>
      </c>
      <c r="CP137" s="202" t="s">
        <v>474</v>
      </c>
      <c r="CT137" s="173"/>
      <c r="CU137" s="226" t="s">
        <v>356</v>
      </c>
      <c r="CV137" s="226" t="s">
        <v>476</v>
      </c>
      <c r="CW137" s="201" t="s">
        <v>474</v>
      </c>
      <c r="CX137" s="201" t="s">
        <v>474</v>
      </c>
      <c r="CY137" s="201" t="s">
        <v>474</v>
      </c>
      <c r="CZ137" s="201" t="s">
        <v>474</v>
      </c>
      <c r="DA137" s="201" t="s">
        <v>474</v>
      </c>
      <c r="DB137" s="201" t="s">
        <v>474</v>
      </c>
      <c r="DC137" s="201" t="s">
        <v>474</v>
      </c>
      <c r="DD137" s="202" t="s">
        <v>474</v>
      </c>
      <c r="DE137" s="201" t="s">
        <v>474</v>
      </c>
      <c r="DF137" s="201" t="s">
        <v>474</v>
      </c>
      <c r="DG137" s="201" t="s">
        <v>474</v>
      </c>
      <c r="DH137" s="201" t="s">
        <v>474</v>
      </c>
      <c r="DI137" s="202" t="s">
        <v>474</v>
      </c>
      <c r="DJ137" s="201" t="s">
        <v>474</v>
      </c>
      <c r="DK137" s="201" t="s">
        <v>474</v>
      </c>
      <c r="DL137" s="201" t="s">
        <v>474</v>
      </c>
      <c r="DM137" s="201" t="s">
        <v>474</v>
      </c>
      <c r="DN137" s="202" t="s">
        <v>474</v>
      </c>
    </row>
    <row r="138" spans="2:174" x14ac:dyDescent="0.3">
      <c r="B138" s="880">
        <v>1</v>
      </c>
      <c r="C138" s="892">
        <f>'Arable Inputs'!$H$18</f>
        <v>12</v>
      </c>
      <c r="D138" s="747">
        <f>'Arable Inputs'!$H$25*$E$134</f>
        <v>107.1</v>
      </c>
      <c r="E138" s="749">
        <f>C138*D138</f>
        <v>1285.1999999999998</v>
      </c>
      <c r="F138" s="197">
        <f>'Arable NPV'!$D117</f>
        <v>220</v>
      </c>
      <c r="G138" s="197">
        <f>E138+F138</f>
        <v>1505.1999999999998</v>
      </c>
      <c r="H138" s="197">
        <f>'Arable NPV'!$F117</f>
        <v>528.51499999999999</v>
      </c>
      <c r="I138" s="197">
        <f>'Arable NPV'!$G117</f>
        <v>552.40000000000009</v>
      </c>
      <c r="J138" s="197">
        <f t="shared" ref="J138:J153" si="368">H138+I138</f>
        <v>1080.915</v>
      </c>
      <c r="K138" s="197">
        <f t="shared" ref="K138:K153" si="369">E138-J138</f>
        <v>204.28499999999985</v>
      </c>
      <c r="L138" s="197">
        <f t="shared" ref="L138:L153" si="370">G138-J138</f>
        <v>424.28499999999985</v>
      </c>
      <c r="M138" s="1016">
        <f>E138/(1+$B$4)^($B138-1)</f>
        <v>1285.1999999999998</v>
      </c>
      <c r="N138" s="213">
        <f>F138/(1+$B$4)^($B138-1)</f>
        <v>220</v>
      </c>
      <c r="O138" s="213">
        <f>J138/(1+$B$4)^($B138-1)</f>
        <v>1080.915</v>
      </c>
      <c r="P138" s="213">
        <f>K138/(1+$B$4)^($B138-1)</f>
        <v>204.28499999999985</v>
      </c>
      <c r="Q138" s="908">
        <f>L138/(1+$B$4)^($B138-1)</f>
        <v>424.28499999999985</v>
      </c>
      <c r="R138" s="196">
        <f>M138</f>
        <v>1285.1999999999998</v>
      </c>
      <c r="S138" s="197">
        <f>N138</f>
        <v>220</v>
      </c>
      <c r="T138" s="197">
        <f>O138</f>
        <v>1080.915</v>
      </c>
      <c r="U138" s="197">
        <f>P138</f>
        <v>204.28499999999985</v>
      </c>
      <c r="V138" s="199">
        <f>Q138</f>
        <v>424.28499999999985</v>
      </c>
      <c r="Z138" s="880">
        <v>1</v>
      </c>
      <c r="AA138" s="892">
        <f>'Arable Inputs'!$H$18</f>
        <v>12</v>
      </c>
      <c r="AB138" s="747">
        <f>'Arable Inputs'!$H$25*$AC$134</f>
        <v>160.64999999999998</v>
      </c>
      <c r="AC138" s="749">
        <f>AA138*AB138</f>
        <v>1927.7999999999997</v>
      </c>
      <c r="AD138" s="197">
        <f>'Arable NPV'!$D117</f>
        <v>220</v>
      </c>
      <c r="AE138" s="197">
        <f>AC138+AD138</f>
        <v>2147.7999999999997</v>
      </c>
      <c r="AF138" s="197">
        <f>'Arable NPV'!$F117</f>
        <v>528.51499999999999</v>
      </c>
      <c r="AG138" s="197">
        <f>'Arable NPV'!$G117</f>
        <v>552.40000000000009</v>
      </c>
      <c r="AH138" s="197">
        <f t="shared" ref="AH138:AH153" si="371">AF138+AG138</f>
        <v>1080.915</v>
      </c>
      <c r="AI138" s="197">
        <f t="shared" ref="AI138:AI153" si="372">AC138-AH138</f>
        <v>846.88499999999976</v>
      </c>
      <c r="AJ138" s="197">
        <f t="shared" ref="AJ138:AJ153" si="373">AE138-AH138</f>
        <v>1066.8849999999998</v>
      </c>
      <c r="AK138" s="1016">
        <f>AC138/(1+$B$4)^($Z138-1)</f>
        <v>1927.7999999999997</v>
      </c>
      <c r="AL138" s="213">
        <f>AD138/(1+$B$4)^($Z138-1)</f>
        <v>220</v>
      </c>
      <c r="AM138" s="213">
        <f>AH138/(1+$B$4)^($Z138-1)</f>
        <v>1080.915</v>
      </c>
      <c r="AN138" s="213">
        <f>AI138/(1+$B$4)^($Z138-1)</f>
        <v>846.88499999999976</v>
      </c>
      <c r="AO138" s="908">
        <f>AJ138/(1+$B$4)^($Z138-1)</f>
        <v>1066.8849999999998</v>
      </c>
      <c r="AP138" s="196">
        <f>AK138</f>
        <v>1927.7999999999997</v>
      </c>
      <c r="AQ138" s="197">
        <f>AL138</f>
        <v>220</v>
      </c>
      <c r="AR138" s="197">
        <f>AM138</f>
        <v>1080.915</v>
      </c>
      <c r="AS138" s="197">
        <f>AN138</f>
        <v>846.88499999999976</v>
      </c>
      <c r="AT138" s="199">
        <f>AO138</f>
        <v>1066.8849999999998</v>
      </c>
      <c r="AX138" s="880">
        <v>1</v>
      </c>
      <c r="AY138" s="892">
        <f>'Arable Inputs'!$H$18</f>
        <v>12</v>
      </c>
      <c r="AZ138" s="747">
        <f>'Arable Inputs'!$H$25*$BA$134</f>
        <v>53.55</v>
      </c>
      <c r="BA138" s="749">
        <f>AY138*AZ138</f>
        <v>642.59999999999991</v>
      </c>
      <c r="BB138" s="197">
        <f>'Arable NPV'!$D117</f>
        <v>220</v>
      </c>
      <c r="BC138" s="197">
        <f>BA138+BB138</f>
        <v>862.59999999999991</v>
      </c>
      <c r="BD138" s="197">
        <f>'Arable NPV'!$F117</f>
        <v>528.51499999999999</v>
      </c>
      <c r="BE138" s="197">
        <f>'Arable NPV'!$G117</f>
        <v>552.40000000000009</v>
      </c>
      <c r="BF138" s="197">
        <f t="shared" ref="BF138:BF153" si="374">BD138+BE138</f>
        <v>1080.915</v>
      </c>
      <c r="BG138" s="197">
        <f t="shared" ref="BG138:BG153" si="375">BA138-BF138</f>
        <v>-438.31500000000005</v>
      </c>
      <c r="BH138" s="197">
        <f t="shared" ref="BH138:BH153" si="376">BC138-BF138</f>
        <v>-218.31500000000005</v>
      </c>
      <c r="BI138" s="1016">
        <f>BA138/(1+$B$4)^($AX138-1)</f>
        <v>642.59999999999991</v>
      </c>
      <c r="BJ138" s="213">
        <f>BB138/(1+$B$4)^($AX138-1)</f>
        <v>220</v>
      </c>
      <c r="BK138" s="213">
        <f>BF138/(1+$B$4)^($AX138-1)</f>
        <v>1080.915</v>
      </c>
      <c r="BL138" s="213">
        <f>BG138/(1+$B$4)^($AX138-1)</f>
        <v>-438.31500000000005</v>
      </c>
      <c r="BM138" s="908">
        <f>BH138/(1+$B$4)^($AX138-1)</f>
        <v>-218.31500000000005</v>
      </c>
      <c r="BN138" s="196">
        <f>BI138</f>
        <v>642.59999999999991</v>
      </c>
      <c r="BO138" s="197">
        <f>BJ138</f>
        <v>220</v>
      </c>
      <c r="BP138" s="197">
        <f>BK138</f>
        <v>1080.915</v>
      </c>
      <c r="BQ138" s="197">
        <f>BL138</f>
        <v>-438.31500000000005</v>
      </c>
      <c r="BR138" s="199">
        <f>BM138</f>
        <v>-218.31500000000005</v>
      </c>
      <c r="BV138" s="880">
        <v>1</v>
      </c>
      <c r="BW138" s="892">
        <f>'Arable Inputs'!$H$18</f>
        <v>12</v>
      </c>
      <c r="BX138" s="747">
        <f>'Arable Inputs'!$H$25*$BY$134</f>
        <v>214.2</v>
      </c>
      <c r="BY138" s="749">
        <f>BW138*BX138</f>
        <v>2570.3999999999996</v>
      </c>
      <c r="BZ138" s="197">
        <f>'Arable NPV'!$D117</f>
        <v>220</v>
      </c>
      <c r="CA138" s="197">
        <f>BY138+BZ138</f>
        <v>2790.3999999999996</v>
      </c>
      <c r="CB138" s="197">
        <f>'Arable NPV'!$F117</f>
        <v>528.51499999999999</v>
      </c>
      <c r="CC138" s="197">
        <f>'Arable NPV'!$G117</f>
        <v>552.40000000000009</v>
      </c>
      <c r="CD138" s="197">
        <f t="shared" ref="CD138:CD153" si="377">CB138+CC138</f>
        <v>1080.915</v>
      </c>
      <c r="CE138" s="197">
        <f t="shared" ref="CE138:CE153" si="378">BY138-CD138</f>
        <v>1489.4849999999997</v>
      </c>
      <c r="CF138" s="197">
        <f t="shared" ref="CF138:CF153" si="379">CA138-CD138</f>
        <v>1709.4849999999997</v>
      </c>
      <c r="CG138" s="1016">
        <f>BY138/(1+$B$4)^($BV138-1)</f>
        <v>2570.3999999999996</v>
      </c>
      <c r="CH138" s="213">
        <f>BZ138/(1+$B$4)^($BV138-1)</f>
        <v>220</v>
      </c>
      <c r="CI138" s="213">
        <f>CD138/(1+$B$4)^($BV138-1)</f>
        <v>1080.915</v>
      </c>
      <c r="CJ138" s="213">
        <f>CE138/(1+$B$4)^($BV138-1)</f>
        <v>1489.4849999999997</v>
      </c>
      <c r="CK138" s="908">
        <f>CF138/(1+$B$4)^($BV138-1)</f>
        <v>1709.4849999999997</v>
      </c>
      <c r="CL138" s="196">
        <f>CG138</f>
        <v>2570.3999999999996</v>
      </c>
      <c r="CM138" s="197">
        <f>CH138</f>
        <v>220</v>
      </c>
      <c r="CN138" s="197">
        <f>CI138</f>
        <v>1080.915</v>
      </c>
      <c r="CO138" s="197">
        <f>CJ138</f>
        <v>1489.4849999999997</v>
      </c>
      <c r="CP138" s="199">
        <f>CK138</f>
        <v>1709.4849999999997</v>
      </c>
      <c r="CT138" s="880">
        <v>1</v>
      </c>
      <c r="CU138" s="892">
        <f>'Arable Inputs'!$H$18</f>
        <v>12</v>
      </c>
      <c r="CV138" s="747">
        <f>'Arable Inputs'!$H$25*$CW$134</f>
        <v>0</v>
      </c>
      <c r="CW138" s="749">
        <f>CU138*CV138</f>
        <v>0</v>
      </c>
      <c r="CX138" s="197">
        <f>'Arable NPV'!$D117</f>
        <v>220</v>
      </c>
      <c r="CY138" s="197">
        <f>CW138+CX138</f>
        <v>220</v>
      </c>
      <c r="CZ138" s="197">
        <f>'Arable NPV'!$F117</f>
        <v>528.51499999999999</v>
      </c>
      <c r="DA138" s="197">
        <f>'Arable NPV'!$G117</f>
        <v>552.40000000000009</v>
      </c>
      <c r="DB138" s="197">
        <f t="shared" ref="DB138:DB153" si="380">CZ138+DA138</f>
        <v>1080.915</v>
      </c>
      <c r="DC138" s="197">
        <f t="shared" ref="DC138:DC153" si="381">CW138-DB138</f>
        <v>-1080.915</v>
      </c>
      <c r="DD138" s="197">
        <f t="shared" ref="DD138:DD153" si="382">CY138-DB138</f>
        <v>-860.91499999999996</v>
      </c>
      <c r="DE138" s="1016">
        <f>CW138/(1+$B$4)^($CT138-1)</f>
        <v>0</v>
      </c>
      <c r="DF138" s="213">
        <f>CX138/(1+$B$4)^($CT138-1)</f>
        <v>220</v>
      </c>
      <c r="DG138" s="213">
        <f>DB138/(1+$B$4)^($CT138-1)</f>
        <v>1080.915</v>
      </c>
      <c r="DH138" s="213">
        <f>DC138/(1+$B$4)^($CT138-1)</f>
        <v>-1080.915</v>
      </c>
      <c r="DI138" s="908">
        <f>DD138/(1+$B$4)^($CT138-1)</f>
        <v>-860.91499999999996</v>
      </c>
      <c r="DJ138" s="196">
        <f>DE138</f>
        <v>0</v>
      </c>
      <c r="DK138" s="197">
        <f>DF138</f>
        <v>220</v>
      </c>
      <c r="DL138" s="197">
        <f>DG138</f>
        <v>1080.915</v>
      </c>
      <c r="DM138" s="197">
        <f>DH138</f>
        <v>-1080.915</v>
      </c>
      <c r="DN138" s="199">
        <f>DI138</f>
        <v>-860.91499999999996</v>
      </c>
    </row>
    <row r="139" spans="2:174" x14ac:dyDescent="0.3">
      <c r="B139" s="881">
        <v>2</v>
      </c>
      <c r="C139" s="892">
        <f>'Arable Inputs'!$H$18</f>
        <v>12</v>
      </c>
      <c r="D139" s="747">
        <f>'Arable Inputs'!$H$25*$E$134</f>
        <v>107.1</v>
      </c>
      <c r="E139" s="749">
        <f t="shared" ref="E139:E153" si="383">C139*D139</f>
        <v>1285.1999999999998</v>
      </c>
      <c r="F139" s="197">
        <f>'Arable NPV'!$D118</f>
        <v>220</v>
      </c>
      <c r="G139" s="197">
        <f>E139+F139</f>
        <v>1505.1999999999998</v>
      </c>
      <c r="H139" s="197">
        <f>'Arable NPV'!$F118</f>
        <v>528.51499999999999</v>
      </c>
      <c r="I139" s="197">
        <f>'Arable NPV'!$G118</f>
        <v>552.40000000000009</v>
      </c>
      <c r="J139" s="197">
        <f t="shared" si="368"/>
        <v>1080.915</v>
      </c>
      <c r="K139" s="197">
        <f t="shared" si="369"/>
        <v>204.28499999999985</v>
      </c>
      <c r="L139" s="197">
        <f t="shared" si="370"/>
        <v>424.28499999999985</v>
      </c>
      <c r="M139" s="196">
        <f t="shared" ref="M139:M153" si="384">E139/(1+$B$4)^($B139-1)</f>
        <v>1235.7692307692305</v>
      </c>
      <c r="N139" s="197">
        <f t="shared" ref="N139:N153" si="385">F139/(1+$B$4)^($B139-1)</f>
        <v>211.53846153846152</v>
      </c>
      <c r="O139" s="197">
        <f t="shared" ref="O139:O153" si="386">J139/(1+$B$4)^($B139-1)</f>
        <v>1039.3413461538462</v>
      </c>
      <c r="P139" s="197">
        <f t="shared" ref="P139:P153" si="387">K139/(1+$B$4)^($B139-1)</f>
        <v>196.42788461538447</v>
      </c>
      <c r="Q139" s="199">
        <f t="shared" ref="Q139:Q152" si="388">L139/(1+$B$4)^($B139-1)</f>
        <v>407.96634615384602</v>
      </c>
      <c r="R139" s="196">
        <f t="shared" ref="R139:R153" si="389">R138+M139</f>
        <v>2520.9692307692303</v>
      </c>
      <c r="S139" s="197">
        <f t="shared" ref="S139:S153" si="390">S138+N139</f>
        <v>431.53846153846155</v>
      </c>
      <c r="T139" s="197">
        <f t="shared" ref="T139:T153" si="391">T138+O139</f>
        <v>2120.2563461538462</v>
      </c>
      <c r="U139" s="197">
        <f t="shared" ref="U139:U153" si="392">U138+P139</f>
        <v>400.71288461538433</v>
      </c>
      <c r="V139" s="199">
        <f t="shared" ref="V139:V153" si="393">V138+Q139</f>
        <v>832.25134615384582</v>
      </c>
      <c r="Z139" s="881">
        <v>2</v>
      </c>
      <c r="AA139" s="892">
        <f>'Arable Inputs'!$H$18</f>
        <v>12</v>
      </c>
      <c r="AB139" s="747">
        <f>'Arable Inputs'!$H$25*$AC$134</f>
        <v>160.64999999999998</v>
      </c>
      <c r="AC139" s="749">
        <f t="shared" ref="AC139:AC153" si="394">AA139*AB139</f>
        <v>1927.7999999999997</v>
      </c>
      <c r="AD139" s="197">
        <f>'Arable NPV'!$D118</f>
        <v>220</v>
      </c>
      <c r="AE139" s="197">
        <f>AC139+AD139</f>
        <v>2147.7999999999997</v>
      </c>
      <c r="AF139" s="197">
        <f>'Arable NPV'!$F118</f>
        <v>528.51499999999999</v>
      </c>
      <c r="AG139" s="197">
        <f>'Arable NPV'!$G118</f>
        <v>552.40000000000009</v>
      </c>
      <c r="AH139" s="197">
        <f t="shared" si="371"/>
        <v>1080.915</v>
      </c>
      <c r="AI139" s="197">
        <f t="shared" si="372"/>
        <v>846.88499999999976</v>
      </c>
      <c r="AJ139" s="197">
        <f t="shared" si="373"/>
        <v>1066.8849999999998</v>
      </c>
      <c r="AK139" s="196">
        <f t="shared" ref="AK139:AK153" si="395">AC139/(1+$B$4)^($Z139-1)</f>
        <v>1853.6538461538457</v>
      </c>
      <c r="AL139" s="197">
        <f t="shared" ref="AL139:AL153" si="396">AD139/(1+$B$4)^($Z139-1)</f>
        <v>211.53846153846152</v>
      </c>
      <c r="AM139" s="197">
        <f t="shared" ref="AM139:AM153" si="397">AH139/(1+$B$4)^($Z139-1)</f>
        <v>1039.3413461538462</v>
      </c>
      <c r="AN139" s="197">
        <f t="shared" ref="AN139:AN153" si="398">AI139/(1+$B$4)^($Z139-1)</f>
        <v>814.31249999999977</v>
      </c>
      <c r="AO139" s="199">
        <f t="shared" ref="AO139:AO153" si="399">AJ139/(1+$B$4)^($Z139-1)</f>
        <v>1025.8509615384612</v>
      </c>
      <c r="AP139" s="196">
        <f t="shared" ref="AP139:AP153" si="400">AP138+AK139</f>
        <v>3781.4538461538455</v>
      </c>
      <c r="AQ139" s="197">
        <f t="shared" ref="AQ139:AQ153" si="401">AQ138+AL139</f>
        <v>431.53846153846155</v>
      </c>
      <c r="AR139" s="197">
        <f t="shared" ref="AR139:AR153" si="402">AR138+AM139</f>
        <v>2120.2563461538462</v>
      </c>
      <c r="AS139" s="197">
        <f t="shared" ref="AS139:AS153" si="403">AS138+AN139</f>
        <v>1661.1974999999995</v>
      </c>
      <c r="AT139" s="199">
        <f t="shared" ref="AT139:AT153" si="404">AT138+AO139</f>
        <v>2092.7359615384612</v>
      </c>
      <c r="AX139" s="881">
        <v>2</v>
      </c>
      <c r="AY139" s="892">
        <f>'Arable Inputs'!$H$18</f>
        <v>12</v>
      </c>
      <c r="AZ139" s="747">
        <f>'Arable Inputs'!$H$25*$BA$134</f>
        <v>53.55</v>
      </c>
      <c r="BA139" s="749">
        <f t="shared" ref="BA139:BA153" si="405">AY139*AZ139</f>
        <v>642.59999999999991</v>
      </c>
      <c r="BB139" s="197">
        <f>'Arable NPV'!$D118</f>
        <v>220</v>
      </c>
      <c r="BC139" s="197">
        <f>BA139+BB139</f>
        <v>862.59999999999991</v>
      </c>
      <c r="BD139" s="197">
        <f>'Arable NPV'!$F118</f>
        <v>528.51499999999999</v>
      </c>
      <c r="BE139" s="197">
        <f>'Arable NPV'!$G118</f>
        <v>552.40000000000009</v>
      </c>
      <c r="BF139" s="197">
        <f t="shared" si="374"/>
        <v>1080.915</v>
      </c>
      <c r="BG139" s="197">
        <f t="shared" si="375"/>
        <v>-438.31500000000005</v>
      </c>
      <c r="BH139" s="197">
        <f t="shared" si="376"/>
        <v>-218.31500000000005</v>
      </c>
      <c r="BI139" s="196">
        <f t="shared" ref="BI139:BI153" si="406">BA139/(1+$B$4)^($AX139-1)</f>
        <v>617.88461538461524</v>
      </c>
      <c r="BJ139" s="197">
        <f t="shared" ref="BJ139:BJ153" si="407">BB139/(1+$B$4)^($AX139-1)</f>
        <v>211.53846153846152</v>
      </c>
      <c r="BK139" s="197">
        <f t="shared" ref="BK139:BK153" si="408">BF139/(1+$B$4)^($AX139-1)</f>
        <v>1039.3413461538462</v>
      </c>
      <c r="BL139" s="197">
        <f t="shared" ref="BL139:BL153" si="409">BG139/(1+$B$4)^($AX139-1)</f>
        <v>-421.45673076923083</v>
      </c>
      <c r="BM139" s="199">
        <f t="shared" ref="BM139:BM153" si="410">BH139/(1+$B$4)^($AX139-1)</f>
        <v>-209.91826923076928</v>
      </c>
      <c r="BN139" s="196">
        <f t="shared" ref="BN139:BN153" si="411">BN138+BI139</f>
        <v>1260.4846153846152</v>
      </c>
      <c r="BO139" s="197">
        <f t="shared" ref="BO139:BO153" si="412">BO138+BJ139</f>
        <v>431.53846153846155</v>
      </c>
      <c r="BP139" s="197">
        <f t="shared" ref="BP139:BP153" si="413">BP138+BK139</f>
        <v>2120.2563461538462</v>
      </c>
      <c r="BQ139" s="197">
        <f t="shared" ref="BQ139:BQ153" si="414">BQ138+BL139</f>
        <v>-859.77173076923089</v>
      </c>
      <c r="BR139" s="199">
        <f t="shared" ref="BR139:BR153" si="415">BR138+BM139</f>
        <v>-428.23326923076934</v>
      </c>
      <c r="BV139" s="881">
        <v>2</v>
      </c>
      <c r="BW139" s="892">
        <f>'Arable Inputs'!$H$18</f>
        <v>12</v>
      </c>
      <c r="BX139" s="747">
        <f>'Arable Inputs'!$H$25*$BY$134</f>
        <v>214.2</v>
      </c>
      <c r="BY139" s="749">
        <f t="shared" ref="BY139:BY153" si="416">BW139*BX139</f>
        <v>2570.3999999999996</v>
      </c>
      <c r="BZ139" s="197">
        <f>'Arable NPV'!$D118</f>
        <v>220</v>
      </c>
      <c r="CA139" s="197">
        <f>BY139+BZ139</f>
        <v>2790.3999999999996</v>
      </c>
      <c r="CB139" s="197">
        <f>'Arable NPV'!$F118</f>
        <v>528.51499999999999</v>
      </c>
      <c r="CC139" s="197">
        <f>'Arable NPV'!$G118</f>
        <v>552.40000000000009</v>
      </c>
      <c r="CD139" s="197">
        <f t="shared" si="377"/>
        <v>1080.915</v>
      </c>
      <c r="CE139" s="197">
        <f t="shared" si="378"/>
        <v>1489.4849999999997</v>
      </c>
      <c r="CF139" s="197">
        <f t="shared" si="379"/>
        <v>1709.4849999999997</v>
      </c>
      <c r="CG139" s="196">
        <f t="shared" ref="CG139:CG153" si="417">BY139/(1+$B$4)^($BV139-1)</f>
        <v>2471.538461538461</v>
      </c>
      <c r="CH139" s="197">
        <f t="shared" ref="CH139:CH153" si="418">BZ139/(1+$B$4)^($BV139-1)</f>
        <v>211.53846153846152</v>
      </c>
      <c r="CI139" s="197">
        <f t="shared" ref="CI139:CI153" si="419">CD139/(1+$B$4)^($BV139-1)</f>
        <v>1039.3413461538462</v>
      </c>
      <c r="CJ139" s="197">
        <f t="shared" ref="CJ139:CJ153" si="420">CE139/(1+$B$4)^($BV139-1)</f>
        <v>1432.197115384615</v>
      </c>
      <c r="CK139" s="199">
        <f t="shared" ref="CK139:CK153" si="421">CF139/(1+$B$4)^($BV139-1)</f>
        <v>1643.7355769230765</v>
      </c>
      <c r="CL139" s="196">
        <f t="shared" ref="CL139:CL153" si="422">CL138+CG139</f>
        <v>5041.9384615384606</v>
      </c>
      <c r="CM139" s="197">
        <f t="shared" ref="CM139:CM153" si="423">CM138+CH139</f>
        <v>431.53846153846155</v>
      </c>
      <c r="CN139" s="197">
        <f t="shared" ref="CN139:CN153" si="424">CN138+CI139</f>
        <v>2120.2563461538462</v>
      </c>
      <c r="CO139" s="197">
        <f t="shared" ref="CO139:CO153" si="425">CO138+CJ139</f>
        <v>2921.6821153846149</v>
      </c>
      <c r="CP139" s="199">
        <f t="shared" ref="CP139:CP153" si="426">CP138+CK139</f>
        <v>3353.2205769230759</v>
      </c>
      <c r="CT139" s="881">
        <v>2</v>
      </c>
      <c r="CU139" s="892">
        <f>'Arable Inputs'!$H$18</f>
        <v>12</v>
      </c>
      <c r="CV139" s="747">
        <f>'Arable Inputs'!$H$25*$CW$134</f>
        <v>0</v>
      </c>
      <c r="CW139" s="749">
        <f t="shared" ref="CW139:CW153" si="427">CU139*CV139</f>
        <v>0</v>
      </c>
      <c r="CX139" s="197">
        <f>'Arable NPV'!$D118</f>
        <v>220</v>
      </c>
      <c r="CY139" s="197">
        <f>CW139+CX139</f>
        <v>220</v>
      </c>
      <c r="CZ139" s="197">
        <f>'Arable NPV'!$F118</f>
        <v>528.51499999999999</v>
      </c>
      <c r="DA139" s="197">
        <f>'Arable NPV'!$G118</f>
        <v>552.40000000000009</v>
      </c>
      <c r="DB139" s="197">
        <f t="shared" si="380"/>
        <v>1080.915</v>
      </c>
      <c r="DC139" s="197">
        <f t="shared" si="381"/>
        <v>-1080.915</v>
      </c>
      <c r="DD139" s="197">
        <f t="shared" si="382"/>
        <v>-860.91499999999996</v>
      </c>
      <c r="DE139" s="196">
        <f t="shared" ref="DE139:DE153" si="428">CW139/(1+$B$4)^($CT139-1)</f>
        <v>0</v>
      </c>
      <c r="DF139" s="197">
        <f t="shared" ref="DF139:DF153" si="429">CX139/(1+$B$4)^($CT139-1)</f>
        <v>211.53846153846152</v>
      </c>
      <c r="DG139" s="197">
        <f t="shared" ref="DG139:DG153" si="430">DB139/(1+$B$4)^($CT139-1)</f>
        <v>1039.3413461538462</v>
      </c>
      <c r="DH139" s="197">
        <f t="shared" ref="DH139:DH153" si="431">DC139/(1+$B$4)^($CT139-1)</f>
        <v>-1039.3413461538462</v>
      </c>
      <c r="DI139" s="199">
        <f t="shared" ref="DI139:DI153" si="432">DD139/(1+$B$4)^($CT139-1)</f>
        <v>-827.80288461538453</v>
      </c>
      <c r="DJ139" s="196">
        <f t="shared" ref="DJ139:DJ153" si="433">DJ138+DE139</f>
        <v>0</v>
      </c>
      <c r="DK139" s="197">
        <f t="shared" ref="DK139:DK153" si="434">DK138+DF139</f>
        <v>431.53846153846155</v>
      </c>
      <c r="DL139" s="197">
        <f t="shared" ref="DL139:DL153" si="435">DL138+DG139</f>
        <v>2120.2563461538462</v>
      </c>
      <c r="DM139" s="197">
        <f t="shared" ref="DM139:DM153" si="436">DM138+DH139</f>
        <v>-2120.2563461538462</v>
      </c>
      <c r="DN139" s="199">
        <f t="shared" ref="DN139:DN153" si="437">DN138+DI139</f>
        <v>-1688.7178846153845</v>
      </c>
    </row>
    <row r="140" spans="2:174" x14ac:dyDescent="0.3">
      <c r="B140" s="881">
        <v>3</v>
      </c>
      <c r="C140" s="892">
        <f>'Arable Inputs'!$H$18</f>
        <v>12</v>
      </c>
      <c r="D140" s="747">
        <f>'Arable Inputs'!$H$25*$E$134</f>
        <v>107.1</v>
      </c>
      <c r="E140" s="749">
        <f t="shared" si="383"/>
        <v>1285.1999999999998</v>
      </c>
      <c r="F140" s="197">
        <f>'Arable NPV'!$D119</f>
        <v>220</v>
      </c>
      <c r="G140" s="197">
        <f t="shared" ref="G140:G152" si="438">E140+F140</f>
        <v>1505.1999999999998</v>
      </c>
      <c r="H140" s="197">
        <f>'Arable NPV'!$F119</f>
        <v>528.51499999999999</v>
      </c>
      <c r="I140" s="197">
        <f>'Arable NPV'!$G119</f>
        <v>552.40000000000009</v>
      </c>
      <c r="J140" s="197">
        <f t="shared" si="368"/>
        <v>1080.915</v>
      </c>
      <c r="K140" s="197">
        <f t="shared" si="369"/>
        <v>204.28499999999985</v>
      </c>
      <c r="L140" s="197">
        <f t="shared" si="370"/>
        <v>424.28499999999985</v>
      </c>
      <c r="M140" s="196">
        <f t="shared" si="384"/>
        <v>1188.2396449704138</v>
      </c>
      <c r="N140" s="197">
        <f t="shared" si="385"/>
        <v>203.40236686390531</v>
      </c>
      <c r="O140" s="197">
        <f t="shared" si="386"/>
        <v>999.36667899408269</v>
      </c>
      <c r="P140" s="197">
        <f t="shared" si="387"/>
        <v>188.87296597633122</v>
      </c>
      <c r="Q140" s="199">
        <f t="shared" si="388"/>
        <v>392.2753328402365</v>
      </c>
      <c r="R140" s="196">
        <f t="shared" si="389"/>
        <v>3709.2088757396441</v>
      </c>
      <c r="S140" s="197">
        <f t="shared" si="390"/>
        <v>634.94082840236683</v>
      </c>
      <c r="T140" s="197">
        <f t="shared" si="391"/>
        <v>3119.6230251479287</v>
      </c>
      <c r="U140" s="197">
        <f t="shared" si="392"/>
        <v>589.5858505917156</v>
      </c>
      <c r="V140" s="199">
        <f t="shared" si="393"/>
        <v>1224.5266789940824</v>
      </c>
      <c r="Z140" s="881">
        <v>3</v>
      </c>
      <c r="AA140" s="892">
        <f>'Arable Inputs'!$H$18</f>
        <v>12</v>
      </c>
      <c r="AB140" s="747">
        <f>'Arable Inputs'!$H$25*$AC$134</f>
        <v>160.64999999999998</v>
      </c>
      <c r="AC140" s="749">
        <f t="shared" si="394"/>
        <v>1927.7999999999997</v>
      </c>
      <c r="AD140" s="197">
        <f>'Arable NPV'!$D119</f>
        <v>220</v>
      </c>
      <c r="AE140" s="197">
        <f t="shared" ref="AE140:AE152" si="439">AC140+AD140</f>
        <v>2147.7999999999997</v>
      </c>
      <c r="AF140" s="197">
        <f>'Arable NPV'!$F119</f>
        <v>528.51499999999999</v>
      </c>
      <c r="AG140" s="197">
        <f>'Arable NPV'!$G119</f>
        <v>552.40000000000009</v>
      </c>
      <c r="AH140" s="197">
        <f t="shared" si="371"/>
        <v>1080.915</v>
      </c>
      <c r="AI140" s="197">
        <f t="shared" si="372"/>
        <v>846.88499999999976</v>
      </c>
      <c r="AJ140" s="197">
        <f t="shared" si="373"/>
        <v>1066.8849999999998</v>
      </c>
      <c r="AK140" s="196">
        <f t="shared" si="395"/>
        <v>1782.3594674556209</v>
      </c>
      <c r="AL140" s="197">
        <f t="shared" si="396"/>
        <v>203.40236686390531</v>
      </c>
      <c r="AM140" s="197">
        <f t="shared" si="397"/>
        <v>999.36667899408269</v>
      </c>
      <c r="AN140" s="197">
        <f t="shared" si="398"/>
        <v>782.99278846153811</v>
      </c>
      <c r="AO140" s="199">
        <f t="shared" si="399"/>
        <v>986.39515532544351</v>
      </c>
      <c r="AP140" s="196">
        <f t="shared" si="400"/>
        <v>5563.8133136094666</v>
      </c>
      <c r="AQ140" s="197">
        <f t="shared" si="401"/>
        <v>634.94082840236683</v>
      </c>
      <c r="AR140" s="197">
        <f t="shared" si="402"/>
        <v>3119.6230251479287</v>
      </c>
      <c r="AS140" s="197">
        <f t="shared" si="403"/>
        <v>2444.1902884615374</v>
      </c>
      <c r="AT140" s="199">
        <f t="shared" si="404"/>
        <v>3079.1311168639049</v>
      </c>
      <c r="AX140" s="881">
        <v>3</v>
      </c>
      <c r="AY140" s="892">
        <f>'Arable Inputs'!$H$18</f>
        <v>12</v>
      </c>
      <c r="AZ140" s="747">
        <f>'Arable Inputs'!$H$25*$BA$134</f>
        <v>53.55</v>
      </c>
      <c r="BA140" s="749">
        <f t="shared" si="405"/>
        <v>642.59999999999991</v>
      </c>
      <c r="BB140" s="197">
        <f>'Arable NPV'!$D119</f>
        <v>220</v>
      </c>
      <c r="BC140" s="197">
        <f t="shared" ref="BC140:BC152" si="440">BA140+BB140</f>
        <v>862.59999999999991</v>
      </c>
      <c r="BD140" s="197">
        <f>'Arable NPV'!$F119</f>
        <v>528.51499999999999</v>
      </c>
      <c r="BE140" s="197">
        <f>'Arable NPV'!$G119</f>
        <v>552.40000000000009</v>
      </c>
      <c r="BF140" s="197">
        <f t="shared" si="374"/>
        <v>1080.915</v>
      </c>
      <c r="BG140" s="197">
        <f t="shared" si="375"/>
        <v>-438.31500000000005</v>
      </c>
      <c r="BH140" s="197">
        <f t="shared" si="376"/>
        <v>-218.31500000000005</v>
      </c>
      <c r="BI140" s="196">
        <f t="shared" si="406"/>
        <v>594.1198224852069</v>
      </c>
      <c r="BJ140" s="197">
        <f t="shared" si="407"/>
        <v>203.40236686390531</v>
      </c>
      <c r="BK140" s="197">
        <f t="shared" si="408"/>
        <v>999.36667899408269</v>
      </c>
      <c r="BL140" s="197">
        <f t="shared" si="409"/>
        <v>-405.24685650887574</v>
      </c>
      <c r="BM140" s="199">
        <f t="shared" si="410"/>
        <v>-201.84448964497045</v>
      </c>
      <c r="BN140" s="196">
        <f t="shared" si="411"/>
        <v>1854.604437869822</v>
      </c>
      <c r="BO140" s="197">
        <f t="shared" si="412"/>
        <v>634.94082840236683</v>
      </c>
      <c r="BP140" s="197">
        <f t="shared" si="413"/>
        <v>3119.6230251479287</v>
      </c>
      <c r="BQ140" s="197">
        <f t="shared" si="414"/>
        <v>-1265.0185872781067</v>
      </c>
      <c r="BR140" s="199">
        <f t="shared" si="415"/>
        <v>-630.07775887573985</v>
      </c>
      <c r="BV140" s="881">
        <v>3</v>
      </c>
      <c r="BW140" s="892">
        <f>'Arable Inputs'!$H$18</f>
        <v>12</v>
      </c>
      <c r="BX140" s="747">
        <f>'Arable Inputs'!$H$25*$BY$134</f>
        <v>214.2</v>
      </c>
      <c r="BY140" s="749">
        <f t="shared" si="416"/>
        <v>2570.3999999999996</v>
      </c>
      <c r="BZ140" s="197">
        <f>'Arable NPV'!$D119</f>
        <v>220</v>
      </c>
      <c r="CA140" s="197">
        <f t="shared" ref="CA140:CA152" si="441">BY140+BZ140</f>
        <v>2790.3999999999996</v>
      </c>
      <c r="CB140" s="197">
        <f>'Arable NPV'!$F119</f>
        <v>528.51499999999999</v>
      </c>
      <c r="CC140" s="197">
        <f>'Arable NPV'!$G119</f>
        <v>552.40000000000009</v>
      </c>
      <c r="CD140" s="197">
        <f t="shared" si="377"/>
        <v>1080.915</v>
      </c>
      <c r="CE140" s="197">
        <f t="shared" si="378"/>
        <v>1489.4849999999997</v>
      </c>
      <c r="CF140" s="197">
        <f t="shared" si="379"/>
        <v>1709.4849999999997</v>
      </c>
      <c r="CG140" s="196">
        <f t="shared" si="417"/>
        <v>2376.4792899408276</v>
      </c>
      <c r="CH140" s="197">
        <f t="shared" si="418"/>
        <v>203.40236686390531</v>
      </c>
      <c r="CI140" s="197">
        <f t="shared" si="419"/>
        <v>999.36667899408269</v>
      </c>
      <c r="CJ140" s="197">
        <f t="shared" si="420"/>
        <v>1377.112610946745</v>
      </c>
      <c r="CK140" s="199">
        <f t="shared" si="421"/>
        <v>1580.5149778106504</v>
      </c>
      <c r="CL140" s="196">
        <f t="shared" si="422"/>
        <v>7418.4177514792882</v>
      </c>
      <c r="CM140" s="197">
        <f t="shared" si="423"/>
        <v>634.94082840236683</v>
      </c>
      <c r="CN140" s="197">
        <f t="shared" si="424"/>
        <v>3119.6230251479287</v>
      </c>
      <c r="CO140" s="197">
        <f t="shared" si="425"/>
        <v>4298.7947263313599</v>
      </c>
      <c r="CP140" s="199">
        <f t="shared" si="426"/>
        <v>4933.7355547337265</v>
      </c>
      <c r="CT140" s="881">
        <v>3</v>
      </c>
      <c r="CU140" s="892">
        <f>'Arable Inputs'!$H$18</f>
        <v>12</v>
      </c>
      <c r="CV140" s="747">
        <f>'Arable Inputs'!$H$25*$CW$134</f>
        <v>0</v>
      </c>
      <c r="CW140" s="749">
        <f t="shared" si="427"/>
        <v>0</v>
      </c>
      <c r="CX140" s="197">
        <f>'Arable NPV'!$D119</f>
        <v>220</v>
      </c>
      <c r="CY140" s="197">
        <f t="shared" ref="CY140:CY152" si="442">CW140+CX140</f>
        <v>220</v>
      </c>
      <c r="CZ140" s="197">
        <f>'Arable NPV'!$F119</f>
        <v>528.51499999999999</v>
      </c>
      <c r="DA140" s="197">
        <f>'Arable NPV'!$G119</f>
        <v>552.40000000000009</v>
      </c>
      <c r="DB140" s="197">
        <f t="shared" si="380"/>
        <v>1080.915</v>
      </c>
      <c r="DC140" s="197">
        <f t="shared" si="381"/>
        <v>-1080.915</v>
      </c>
      <c r="DD140" s="197">
        <f t="shared" si="382"/>
        <v>-860.91499999999996</v>
      </c>
      <c r="DE140" s="196">
        <f t="shared" si="428"/>
        <v>0</v>
      </c>
      <c r="DF140" s="197">
        <f t="shared" si="429"/>
        <v>203.40236686390531</v>
      </c>
      <c r="DG140" s="197">
        <f t="shared" si="430"/>
        <v>999.36667899408269</v>
      </c>
      <c r="DH140" s="197">
        <f t="shared" si="431"/>
        <v>-999.36667899408269</v>
      </c>
      <c r="DI140" s="199">
        <f t="shared" si="432"/>
        <v>-795.9643121301774</v>
      </c>
      <c r="DJ140" s="196">
        <f t="shared" si="433"/>
        <v>0</v>
      </c>
      <c r="DK140" s="197">
        <f t="shared" si="434"/>
        <v>634.94082840236683</v>
      </c>
      <c r="DL140" s="197">
        <f t="shared" si="435"/>
        <v>3119.6230251479287</v>
      </c>
      <c r="DM140" s="197">
        <f t="shared" si="436"/>
        <v>-3119.6230251479287</v>
      </c>
      <c r="DN140" s="199">
        <f t="shared" si="437"/>
        <v>-2484.6821967455617</v>
      </c>
    </row>
    <row r="141" spans="2:174" x14ac:dyDescent="0.3">
      <c r="B141" s="881">
        <v>4</v>
      </c>
      <c r="C141" s="892">
        <f>'Arable Inputs'!$H$18</f>
        <v>12</v>
      </c>
      <c r="D141" s="747">
        <f>'Arable Inputs'!$H$25*$E$134</f>
        <v>107.1</v>
      </c>
      <c r="E141" s="749">
        <f t="shared" si="383"/>
        <v>1285.1999999999998</v>
      </c>
      <c r="F141" s="197">
        <f>'Arable NPV'!$D120</f>
        <v>220</v>
      </c>
      <c r="G141" s="197">
        <f t="shared" si="438"/>
        <v>1505.1999999999998</v>
      </c>
      <c r="H141" s="197">
        <f>'Arable NPV'!$F120</f>
        <v>528.51499999999999</v>
      </c>
      <c r="I141" s="197">
        <f>'Arable NPV'!$G120</f>
        <v>552.40000000000009</v>
      </c>
      <c r="J141" s="197">
        <f t="shared" si="368"/>
        <v>1080.915</v>
      </c>
      <c r="K141" s="197">
        <f t="shared" si="369"/>
        <v>204.28499999999985</v>
      </c>
      <c r="L141" s="197">
        <f t="shared" si="370"/>
        <v>424.28499999999985</v>
      </c>
      <c r="M141" s="196">
        <f t="shared" si="384"/>
        <v>1142.5381201638595</v>
      </c>
      <c r="N141" s="197">
        <f t="shared" si="385"/>
        <v>195.57919890760127</v>
      </c>
      <c r="O141" s="197">
        <f t="shared" si="386"/>
        <v>960.9294990327719</v>
      </c>
      <c r="P141" s="197">
        <f t="shared" si="387"/>
        <v>181.60862113108772</v>
      </c>
      <c r="Q141" s="199">
        <f t="shared" si="388"/>
        <v>377.18782003868898</v>
      </c>
      <c r="R141" s="196">
        <f t="shared" si="389"/>
        <v>4851.7469959035034</v>
      </c>
      <c r="S141" s="197">
        <f t="shared" si="390"/>
        <v>830.5200273099681</v>
      </c>
      <c r="T141" s="197">
        <f t="shared" si="391"/>
        <v>4080.5525241807009</v>
      </c>
      <c r="U141" s="197">
        <f t="shared" si="392"/>
        <v>771.19447172280331</v>
      </c>
      <c r="V141" s="199">
        <f t="shared" si="393"/>
        <v>1601.7144990327715</v>
      </c>
      <c r="Z141" s="881">
        <v>4</v>
      </c>
      <c r="AA141" s="892">
        <f>'Arable Inputs'!$H$18</f>
        <v>12</v>
      </c>
      <c r="AB141" s="747">
        <f>'Arable Inputs'!$H$25*$AC$134</f>
        <v>160.64999999999998</v>
      </c>
      <c r="AC141" s="749">
        <f t="shared" si="394"/>
        <v>1927.7999999999997</v>
      </c>
      <c r="AD141" s="197">
        <f>'Arable NPV'!$D120</f>
        <v>220</v>
      </c>
      <c r="AE141" s="197">
        <f t="shared" si="439"/>
        <v>2147.7999999999997</v>
      </c>
      <c r="AF141" s="197">
        <f>'Arable NPV'!$F120</f>
        <v>528.51499999999999</v>
      </c>
      <c r="AG141" s="197">
        <f>'Arable NPV'!$G120</f>
        <v>552.40000000000009</v>
      </c>
      <c r="AH141" s="197">
        <f t="shared" si="371"/>
        <v>1080.915</v>
      </c>
      <c r="AI141" s="197">
        <f t="shared" si="372"/>
        <v>846.88499999999976</v>
      </c>
      <c r="AJ141" s="197">
        <f t="shared" si="373"/>
        <v>1066.8849999999998</v>
      </c>
      <c r="AK141" s="196">
        <f t="shared" si="395"/>
        <v>1713.8071802457894</v>
      </c>
      <c r="AL141" s="197">
        <f t="shared" si="396"/>
        <v>195.57919890760127</v>
      </c>
      <c r="AM141" s="197">
        <f t="shared" si="397"/>
        <v>960.9294990327719</v>
      </c>
      <c r="AN141" s="197">
        <f t="shared" si="398"/>
        <v>752.87768121301747</v>
      </c>
      <c r="AO141" s="199">
        <f t="shared" si="399"/>
        <v>948.45688012061873</v>
      </c>
      <c r="AP141" s="196">
        <f t="shared" si="400"/>
        <v>7277.6204938552564</v>
      </c>
      <c r="AQ141" s="197">
        <f t="shared" si="401"/>
        <v>830.5200273099681</v>
      </c>
      <c r="AR141" s="197">
        <f t="shared" si="402"/>
        <v>4080.5525241807009</v>
      </c>
      <c r="AS141" s="197">
        <f t="shared" si="403"/>
        <v>3197.0679696745547</v>
      </c>
      <c r="AT141" s="199">
        <f t="shared" si="404"/>
        <v>4027.5879969845237</v>
      </c>
      <c r="AX141" s="881">
        <v>4</v>
      </c>
      <c r="AY141" s="892">
        <f>'Arable Inputs'!$H$18</f>
        <v>12</v>
      </c>
      <c r="AZ141" s="747">
        <f>'Arable Inputs'!$H$25*$BA$134</f>
        <v>53.55</v>
      </c>
      <c r="BA141" s="749">
        <f t="shared" si="405"/>
        <v>642.59999999999991</v>
      </c>
      <c r="BB141" s="197">
        <f>'Arable NPV'!$D120</f>
        <v>220</v>
      </c>
      <c r="BC141" s="197">
        <f t="shared" si="440"/>
        <v>862.59999999999991</v>
      </c>
      <c r="BD141" s="197">
        <f>'Arable NPV'!$F120</f>
        <v>528.51499999999999</v>
      </c>
      <c r="BE141" s="197">
        <f>'Arable NPV'!$G120</f>
        <v>552.40000000000009</v>
      </c>
      <c r="BF141" s="197">
        <f t="shared" si="374"/>
        <v>1080.915</v>
      </c>
      <c r="BG141" s="197">
        <f t="shared" si="375"/>
        <v>-438.31500000000005</v>
      </c>
      <c r="BH141" s="197">
        <f t="shared" si="376"/>
        <v>-218.31500000000005</v>
      </c>
      <c r="BI141" s="196">
        <f t="shared" si="406"/>
        <v>571.26906008192975</v>
      </c>
      <c r="BJ141" s="197">
        <f t="shared" si="407"/>
        <v>195.57919890760127</v>
      </c>
      <c r="BK141" s="197">
        <f t="shared" si="408"/>
        <v>960.9294990327719</v>
      </c>
      <c r="BL141" s="197">
        <f t="shared" si="409"/>
        <v>-389.66043895084209</v>
      </c>
      <c r="BM141" s="199">
        <f t="shared" si="410"/>
        <v>-194.08124004324083</v>
      </c>
      <c r="BN141" s="196">
        <f t="shared" si="411"/>
        <v>2425.8734979517517</v>
      </c>
      <c r="BO141" s="197">
        <f t="shared" si="412"/>
        <v>830.5200273099681</v>
      </c>
      <c r="BP141" s="197">
        <f t="shared" si="413"/>
        <v>4080.5525241807009</v>
      </c>
      <c r="BQ141" s="197">
        <f t="shared" si="414"/>
        <v>-1654.6790262289487</v>
      </c>
      <c r="BR141" s="199">
        <f t="shared" si="415"/>
        <v>-824.15899891898061</v>
      </c>
      <c r="BV141" s="881">
        <v>4</v>
      </c>
      <c r="BW141" s="892">
        <f>'Arable Inputs'!$H$18</f>
        <v>12</v>
      </c>
      <c r="BX141" s="747">
        <f>'Arable Inputs'!$H$25*$BY$134</f>
        <v>214.2</v>
      </c>
      <c r="BY141" s="749">
        <f t="shared" si="416"/>
        <v>2570.3999999999996</v>
      </c>
      <c r="BZ141" s="197">
        <f>'Arable NPV'!$D120</f>
        <v>220</v>
      </c>
      <c r="CA141" s="197">
        <f t="shared" si="441"/>
        <v>2790.3999999999996</v>
      </c>
      <c r="CB141" s="197">
        <f>'Arable NPV'!$F120</f>
        <v>528.51499999999999</v>
      </c>
      <c r="CC141" s="197">
        <f>'Arable NPV'!$G120</f>
        <v>552.40000000000009</v>
      </c>
      <c r="CD141" s="197">
        <f t="shared" si="377"/>
        <v>1080.915</v>
      </c>
      <c r="CE141" s="197">
        <f t="shared" si="378"/>
        <v>1489.4849999999997</v>
      </c>
      <c r="CF141" s="197">
        <f t="shared" si="379"/>
        <v>1709.4849999999997</v>
      </c>
      <c r="CG141" s="196">
        <f t="shared" si="417"/>
        <v>2285.076240327719</v>
      </c>
      <c r="CH141" s="197">
        <f t="shared" si="418"/>
        <v>195.57919890760127</v>
      </c>
      <c r="CI141" s="197">
        <f t="shared" si="419"/>
        <v>960.9294990327719</v>
      </c>
      <c r="CJ141" s="197">
        <f t="shared" si="420"/>
        <v>1324.1467412949473</v>
      </c>
      <c r="CK141" s="199">
        <f t="shared" si="421"/>
        <v>1519.7259402025486</v>
      </c>
      <c r="CL141" s="196">
        <f t="shared" si="422"/>
        <v>9703.4939918070068</v>
      </c>
      <c r="CM141" s="197">
        <f t="shared" si="423"/>
        <v>830.5200273099681</v>
      </c>
      <c r="CN141" s="197">
        <f t="shared" si="424"/>
        <v>4080.5525241807009</v>
      </c>
      <c r="CO141" s="197">
        <f t="shared" si="425"/>
        <v>5622.9414676263077</v>
      </c>
      <c r="CP141" s="199">
        <f t="shared" si="426"/>
        <v>6453.4614949362749</v>
      </c>
      <c r="CT141" s="881">
        <v>4</v>
      </c>
      <c r="CU141" s="892">
        <f>'Arable Inputs'!$H$18</f>
        <v>12</v>
      </c>
      <c r="CV141" s="747">
        <f>'Arable Inputs'!$H$25*$CW$134</f>
        <v>0</v>
      </c>
      <c r="CW141" s="749">
        <f t="shared" si="427"/>
        <v>0</v>
      </c>
      <c r="CX141" s="197">
        <f>'Arable NPV'!$D120</f>
        <v>220</v>
      </c>
      <c r="CY141" s="197">
        <f t="shared" si="442"/>
        <v>220</v>
      </c>
      <c r="CZ141" s="197">
        <f>'Arable NPV'!$F120</f>
        <v>528.51499999999999</v>
      </c>
      <c r="DA141" s="197">
        <f>'Arable NPV'!$G120</f>
        <v>552.40000000000009</v>
      </c>
      <c r="DB141" s="197">
        <f t="shared" si="380"/>
        <v>1080.915</v>
      </c>
      <c r="DC141" s="197">
        <f t="shared" si="381"/>
        <v>-1080.915</v>
      </c>
      <c r="DD141" s="197">
        <f t="shared" si="382"/>
        <v>-860.91499999999996</v>
      </c>
      <c r="DE141" s="196">
        <f t="shared" si="428"/>
        <v>0</v>
      </c>
      <c r="DF141" s="197">
        <f t="shared" si="429"/>
        <v>195.57919890760127</v>
      </c>
      <c r="DG141" s="197">
        <f t="shared" si="430"/>
        <v>960.9294990327719</v>
      </c>
      <c r="DH141" s="197">
        <f t="shared" si="431"/>
        <v>-960.9294990327719</v>
      </c>
      <c r="DI141" s="199">
        <f t="shared" si="432"/>
        <v>-765.35030012517063</v>
      </c>
      <c r="DJ141" s="196">
        <f t="shared" si="433"/>
        <v>0</v>
      </c>
      <c r="DK141" s="197">
        <f t="shared" si="434"/>
        <v>830.5200273099681</v>
      </c>
      <c r="DL141" s="197">
        <f t="shared" si="435"/>
        <v>4080.5525241807009</v>
      </c>
      <c r="DM141" s="197">
        <f t="shared" si="436"/>
        <v>-4080.5525241807009</v>
      </c>
      <c r="DN141" s="199">
        <f t="shared" si="437"/>
        <v>-3250.0324968707323</v>
      </c>
    </row>
    <row r="142" spans="2:174" x14ac:dyDescent="0.3">
      <c r="B142" s="881">
        <v>5</v>
      </c>
      <c r="C142" s="892">
        <f>'Arable Inputs'!$H$18</f>
        <v>12</v>
      </c>
      <c r="D142" s="747">
        <f>'Arable Inputs'!$H$25*$E$134</f>
        <v>107.1</v>
      </c>
      <c r="E142" s="749">
        <f t="shared" si="383"/>
        <v>1285.1999999999998</v>
      </c>
      <c r="F142" s="197">
        <f>'Arable NPV'!$D121</f>
        <v>220</v>
      </c>
      <c r="G142" s="197">
        <f t="shared" si="438"/>
        <v>1505.1999999999998</v>
      </c>
      <c r="H142" s="197">
        <f>'Arable NPV'!$F121</f>
        <v>528.51499999999999</v>
      </c>
      <c r="I142" s="197">
        <f>'Arable NPV'!$G121</f>
        <v>552.40000000000009</v>
      </c>
      <c r="J142" s="197">
        <f t="shared" si="368"/>
        <v>1080.915</v>
      </c>
      <c r="K142" s="197">
        <f t="shared" si="369"/>
        <v>204.28499999999985</v>
      </c>
      <c r="L142" s="197">
        <f t="shared" si="370"/>
        <v>424.28499999999985</v>
      </c>
      <c r="M142" s="196">
        <f t="shared" si="384"/>
        <v>1098.5943463114033</v>
      </c>
      <c r="N142" s="197">
        <f t="shared" si="385"/>
        <v>188.05692202653967</v>
      </c>
      <c r="O142" s="197">
        <f t="shared" si="386"/>
        <v>923.97067214689594</v>
      </c>
      <c r="P142" s="197">
        <f t="shared" si="387"/>
        <v>174.62367416450738</v>
      </c>
      <c r="Q142" s="199">
        <f t="shared" si="388"/>
        <v>362.68059619104702</v>
      </c>
      <c r="R142" s="196">
        <f t="shared" si="389"/>
        <v>5950.3413422149069</v>
      </c>
      <c r="S142" s="197">
        <f t="shared" si="390"/>
        <v>1018.5769493365078</v>
      </c>
      <c r="T142" s="197">
        <f t="shared" si="391"/>
        <v>5004.5231963275965</v>
      </c>
      <c r="U142" s="197">
        <f t="shared" si="392"/>
        <v>945.81814588731072</v>
      </c>
      <c r="V142" s="199">
        <f t="shared" si="393"/>
        <v>1964.3950952238185</v>
      </c>
      <c r="Z142" s="881">
        <v>5</v>
      </c>
      <c r="AA142" s="892">
        <f>'Arable Inputs'!$H$18</f>
        <v>12</v>
      </c>
      <c r="AB142" s="747">
        <f>'Arable Inputs'!$H$25*$AC$134</f>
        <v>160.64999999999998</v>
      </c>
      <c r="AC142" s="749">
        <f t="shared" si="394"/>
        <v>1927.7999999999997</v>
      </c>
      <c r="AD142" s="197">
        <f>'Arable NPV'!$D121</f>
        <v>220</v>
      </c>
      <c r="AE142" s="197">
        <f t="shared" si="439"/>
        <v>2147.7999999999997</v>
      </c>
      <c r="AF142" s="197">
        <f>'Arable NPV'!$F121</f>
        <v>528.51499999999999</v>
      </c>
      <c r="AG142" s="197">
        <f>'Arable NPV'!$G121</f>
        <v>552.40000000000009</v>
      </c>
      <c r="AH142" s="197">
        <f t="shared" si="371"/>
        <v>1080.915</v>
      </c>
      <c r="AI142" s="197">
        <f t="shared" si="372"/>
        <v>846.88499999999976</v>
      </c>
      <c r="AJ142" s="197">
        <f t="shared" si="373"/>
        <v>1066.8849999999998</v>
      </c>
      <c r="AK142" s="196">
        <f t="shared" si="395"/>
        <v>1647.8915194671049</v>
      </c>
      <c r="AL142" s="197">
        <f t="shared" si="396"/>
        <v>188.05692202653967</v>
      </c>
      <c r="AM142" s="197">
        <f t="shared" si="397"/>
        <v>923.97067214689594</v>
      </c>
      <c r="AN142" s="197">
        <f t="shared" si="398"/>
        <v>723.92084732020908</v>
      </c>
      <c r="AO142" s="199">
        <f t="shared" si="399"/>
        <v>911.97776934674869</v>
      </c>
      <c r="AP142" s="196">
        <f t="shared" si="400"/>
        <v>8925.5120133223609</v>
      </c>
      <c r="AQ142" s="197">
        <f t="shared" si="401"/>
        <v>1018.5769493365078</v>
      </c>
      <c r="AR142" s="197">
        <f t="shared" si="402"/>
        <v>5004.5231963275965</v>
      </c>
      <c r="AS142" s="197">
        <f t="shared" si="403"/>
        <v>3920.9888169947635</v>
      </c>
      <c r="AT142" s="199">
        <f t="shared" si="404"/>
        <v>4939.5657663312722</v>
      </c>
      <c r="AX142" s="881">
        <v>5</v>
      </c>
      <c r="AY142" s="892">
        <f>'Arable Inputs'!$H$18</f>
        <v>12</v>
      </c>
      <c r="AZ142" s="747">
        <f>'Arable Inputs'!$H$25*$BA$134</f>
        <v>53.55</v>
      </c>
      <c r="BA142" s="749">
        <f t="shared" si="405"/>
        <v>642.59999999999991</v>
      </c>
      <c r="BB142" s="197">
        <f>'Arable NPV'!$D121</f>
        <v>220</v>
      </c>
      <c r="BC142" s="197">
        <f t="shared" si="440"/>
        <v>862.59999999999991</v>
      </c>
      <c r="BD142" s="197">
        <f>'Arable NPV'!$F121</f>
        <v>528.51499999999999</v>
      </c>
      <c r="BE142" s="197">
        <f>'Arable NPV'!$G121</f>
        <v>552.40000000000009</v>
      </c>
      <c r="BF142" s="197">
        <f t="shared" si="374"/>
        <v>1080.915</v>
      </c>
      <c r="BG142" s="197">
        <f t="shared" si="375"/>
        <v>-438.31500000000005</v>
      </c>
      <c r="BH142" s="197">
        <f t="shared" si="376"/>
        <v>-218.31500000000005</v>
      </c>
      <c r="BI142" s="196">
        <f t="shared" si="406"/>
        <v>549.29717315570167</v>
      </c>
      <c r="BJ142" s="197">
        <f t="shared" si="407"/>
        <v>188.05692202653967</v>
      </c>
      <c r="BK142" s="197">
        <f t="shared" si="408"/>
        <v>923.97067214689594</v>
      </c>
      <c r="BL142" s="197">
        <f t="shared" si="409"/>
        <v>-374.67349899119426</v>
      </c>
      <c r="BM142" s="199">
        <f t="shared" si="410"/>
        <v>-186.6165769646546</v>
      </c>
      <c r="BN142" s="196">
        <f t="shared" si="411"/>
        <v>2975.1706711074535</v>
      </c>
      <c r="BO142" s="197">
        <f t="shared" si="412"/>
        <v>1018.5769493365078</v>
      </c>
      <c r="BP142" s="197">
        <f t="shared" si="413"/>
        <v>5004.5231963275965</v>
      </c>
      <c r="BQ142" s="197">
        <f t="shared" si="414"/>
        <v>-2029.352525220143</v>
      </c>
      <c r="BR142" s="199">
        <f t="shared" si="415"/>
        <v>-1010.7755758836352</v>
      </c>
      <c r="BV142" s="881">
        <v>5</v>
      </c>
      <c r="BW142" s="892">
        <f>'Arable Inputs'!$H$18</f>
        <v>12</v>
      </c>
      <c r="BX142" s="747">
        <f>'Arable Inputs'!$H$25*$BY$134</f>
        <v>214.2</v>
      </c>
      <c r="BY142" s="749">
        <f t="shared" si="416"/>
        <v>2570.3999999999996</v>
      </c>
      <c r="BZ142" s="197">
        <f>'Arable NPV'!$D121</f>
        <v>220</v>
      </c>
      <c r="CA142" s="197">
        <f t="shared" si="441"/>
        <v>2790.3999999999996</v>
      </c>
      <c r="CB142" s="197">
        <f>'Arable NPV'!$F121</f>
        <v>528.51499999999999</v>
      </c>
      <c r="CC142" s="197">
        <f>'Arable NPV'!$G121</f>
        <v>552.40000000000009</v>
      </c>
      <c r="CD142" s="197">
        <f t="shared" si="377"/>
        <v>1080.915</v>
      </c>
      <c r="CE142" s="197">
        <f t="shared" si="378"/>
        <v>1489.4849999999997</v>
      </c>
      <c r="CF142" s="197">
        <f t="shared" si="379"/>
        <v>1709.4849999999997</v>
      </c>
      <c r="CG142" s="196">
        <f t="shared" si="417"/>
        <v>2197.1886926228067</v>
      </c>
      <c r="CH142" s="197">
        <f t="shared" si="418"/>
        <v>188.05692202653967</v>
      </c>
      <c r="CI142" s="197">
        <f t="shared" si="419"/>
        <v>923.97067214689594</v>
      </c>
      <c r="CJ142" s="197">
        <f t="shared" si="420"/>
        <v>1273.2180204759106</v>
      </c>
      <c r="CK142" s="199">
        <f t="shared" si="421"/>
        <v>1461.2749425024504</v>
      </c>
      <c r="CL142" s="196">
        <f t="shared" si="422"/>
        <v>11900.682684429814</v>
      </c>
      <c r="CM142" s="197">
        <f t="shared" si="423"/>
        <v>1018.5769493365078</v>
      </c>
      <c r="CN142" s="197">
        <f t="shared" si="424"/>
        <v>5004.5231963275965</v>
      </c>
      <c r="CO142" s="197">
        <f t="shared" si="425"/>
        <v>6896.1594881022183</v>
      </c>
      <c r="CP142" s="199">
        <f t="shared" si="426"/>
        <v>7914.7364374387253</v>
      </c>
      <c r="CT142" s="881">
        <v>5</v>
      </c>
      <c r="CU142" s="892">
        <f>'Arable Inputs'!$H$18</f>
        <v>12</v>
      </c>
      <c r="CV142" s="747">
        <f>'Arable Inputs'!$H$25*$CW$134</f>
        <v>0</v>
      </c>
      <c r="CW142" s="749">
        <f t="shared" si="427"/>
        <v>0</v>
      </c>
      <c r="CX142" s="197">
        <f>'Arable NPV'!$D121</f>
        <v>220</v>
      </c>
      <c r="CY142" s="197">
        <f t="shared" si="442"/>
        <v>220</v>
      </c>
      <c r="CZ142" s="197">
        <f>'Arable NPV'!$F121</f>
        <v>528.51499999999999</v>
      </c>
      <c r="DA142" s="197">
        <f>'Arable NPV'!$G121</f>
        <v>552.40000000000009</v>
      </c>
      <c r="DB142" s="197">
        <f t="shared" si="380"/>
        <v>1080.915</v>
      </c>
      <c r="DC142" s="197">
        <f t="shared" si="381"/>
        <v>-1080.915</v>
      </c>
      <c r="DD142" s="197">
        <f t="shared" si="382"/>
        <v>-860.91499999999996</v>
      </c>
      <c r="DE142" s="196">
        <f t="shared" si="428"/>
        <v>0</v>
      </c>
      <c r="DF142" s="197">
        <f t="shared" si="429"/>
        <v>188.05692202653967</v>
      </c>
      <c r="DG142" s="197">
        <f t="shared" si="430"/>
        <v>923.97067214689594</v>
      </c>
      <c r="DH142" s="197">
        <f t="shared" si="431"/>
        <v>-923.97067214689594</v>
      </c>
      <c r="DI142" s="199">
        <f t="shared" si="432"/>
        <v>-735.91375012035621</v>
      </c>
      <c r="DJ142" s="196">
        <f t="shared" si="433"/>
        <v>0</v>
      </c>
      <c r="DK142" s="197">
        <f t="shared" si="434"/>
        <v>1018.5769493365078</v>
      </c>
      <c r="DL142" s="197">
        <f t="shared" si="435"/>
        <v>5004.5231963275965</v>
      </c>
      <c r="DM142" s="197">
        <f t="shared" si="436"/>
        <v>-5004.5231963275965</v>
      </c>
      <c r="DN142" s="199">
        <f t="shared" si="437"/>
        <v>-3985.9462469910886</v>
      </c>
    </row>
    <row r="143" spans="2:174" x14ac:dyDescent="0.3">
      <c r="B143" s="881">
        <v>6</v>
      </c>
      <c r="C143" s="892">
        <f>'Arable Inputs'!$H$18</f>
        <v>12</v>
      </c>
      <c r="D143" s="747">
        <f>'Arable Inputs'!$H$25*$E$134</f>
        <v>107.1</v>
      </c>
      <c r="E143" s="749">
        <f t="shared" si="383"/>
        <v>1285.1999999999998</v>
      </c>
      <c r="F143" s="197">
        <f>'Arable NPV'!$D122</f>
        <v>220</v>
      </c>
      <c r="G143" s="197">
        <f t="shared" si="438"/>
        <v>1505.1999999999998</v>
      </c>
      <c r="H143" s="197">
        <f>'Arable NPV'!$F122</f>
        <v>528.51499999999999</v>
      </c>
      <c r="I143" s="197">
        <f>'Arable NPV'!$G122</f>
        <v>552.40000000000009</v>
      </c>
      <c r="J143" s="197">
        <f t="shared" si="368"/>
        <v>1080.915</v>
      </c>
      <c r="K143" s="197">
        <f t="shared" si="369"/>
        <v>204.28499999999985</v>
      </c>
      <c r="L143" s="197">
        <f t="shared" si="370"/>
        <v>424.28499999999985</v>
      </c>
      <c r="M143" s="196">
        <f t="shared" si="384"/>
        <v>1056.3407176071184</v>
      </c>
      <c r="N143" s="197">
        <f t="shared" si="385"/>
        <v>180.82396348705734</v>
      </c>
      <c r="O143" s="197">
        <f t="shared" si="386"/>
        <v>888.43333860278449</v>
      </c>
      <c r="P143" s="197">
        <f t="shared" si="387"/>
        <v>167.90737900433402</v>
      </c>
      <c r="Q143" s="199">
        <f t="shared" si="388"/>
        <v>348.73134249139133</v>
      </c>
      <c r="R143" s="196">
        <f t="shared" si="389"/>
        <v>7006.6820598220256</v>
      </c>
      <c r="S143" s="197">
        <f t="shared" si="390"/>
        <v>1199.4009128235652</v>
      </c>
      <c r="T143" s="197">
        <f t="shared" si="391"/>
        <v>5892.9565349303812</v>
      </c>
      <c r="U143" s="197">
        <f t="shared" si="392"/>
        <v>1113.7255248916447</v>
      </c>
      <c r="V143" s="199">
        <f t="shared" si="393"/>
        <v>2313.1264377152097</v>
      </c>
      <c r="Z143" s="881">
        <v>6</v>
      </c>
      <c r="AA143" s="892">
        <f>'Arable Inputs'!$H$18</f>
        <v>12</v>
      </c>
      <c r="AB143" s="747">
        <f>'Arable Inputs'!$H$25*$AC$134</f>
        <v>160.64999999999998</v>
      </c>
      <c r="AC143" s="749">
        <f t="shared" si="394"/>
        <v>1927.7999999999997</v>
      </c>
      <c r="AD143" s="197">
        <f>'Arable NPV'!$D122</f>
        <v>220</v>
      </c>
      <c r="AE143" s="197">
        <f t="shared" si="439"/>
        <v>2147.7999999999997</v>
      </c>
      <c r="AF143" s="197">
        <f>'Arable NPV'!$F122</f>
        <v>528.51499999999999</v>
      </c>
      <c r="AG143" s="197">
        <f>'Arable NPV'!$G122</f>
        <v>552.40000000000009</v>
      </c>
      <c r="AH143" s="197">
        <f t="shared" si="371"/>
        <v>1080.915</v>
      </c>
      <c r="AI143" s="197">
        <f t="shared" si="372"/>
        <v>846.88499999999976</v>
      </c>
      <c r="AJ143" s="197">
        <f t="shared" si="373"/>
        <v>1066.8849999999998</v>
      </c>
      <c r="AK143" s="196">
        <f t="shared" si="395"/>
        <v>1584.5110764106778</v>
      </c>
      <c r="AL143" s="197">
        <f t="shared" si="396"/>
        <v>180.82396348705734</v>
      </c>
      <c r="AM143" s="197">
        <f t="shared" si="397"/>
        <v>888.43333860278449</v>
      </c>
      <c r="AN143" s="197">
        <f t="shared" si="398"/>
        <v>696.07773780789319</v>
      </c>
      <c r="AO143" s="199">
        <f t="shared" si="399"/>
        <v>876.90170129495061</v>
      </c>
      <c r="AP143" s="196">
        <f t="shared" si="400"/>
        <v>10510.023089733038</v>
      </c>
      <c r="AQ143" s="197">
        <f t="shared" si="401"/>
        <v>1199.4009128235652</v>
      </c>
      <c r="AR143" s="197">
        <f t="shared" si="402"/>
        <v>5892.9565349303812</v>
      </c>
      <c r="AS143" s="197">
        <f t="shared" si="403"/>
        <v>4617.0665548026564</v>
      </c>
      <c r="AT143" s="199">
        <f t="shared" si="404"/>
        <v>5816.467467626223</v>
      </c>
      <c r="AX143" s="881">
        <v>6</v>
      </c>
      <c r="AY143" s="892">
        <f>'Arable Inputs'!$H$18</f>
        <v>12</v>
      </c>
      <c r="AZ143" s="747">
        <f>'Arable Inputs'!$H$25*$BA$134</f>
        <v>53.55</v>
      </c>
      <c r="BA143" s="749">
        <f t="shared" si="405"/>
        <v>642.59999999999991</v>
      </c>
      <c r="BB143" s="197">
        <f>'Arable NPV'!$D122</f>
        <v>220</v>
      </c>
      <c r="BC143" s="197">
        <f t="shared" si="440"/>
        <v>862.59999999999991</v>
      </c>
      <c r="BD143" s="197">
        <f>'Arable NPV'!$F122</f>
        <v>528.51499999999999</v>
      </c>
      <c r="BE143" s="197">
        <f>'Arable NPV'!$G122</f>
        <v>552.40000000000009</v>
      </c>
      <c r="BF143" s="197">
        <f t="shared" si="374"/>
        <v>1080.915</v>
      </c>
      <c r="BG143" s="197">
        <f t="shared" si="375"/>
        <v>-438.31500000000005</v>
      </c>
      <c r="BH143" s="197">
        <f t="shared" si="376"/>
        <v>-218.31500000000005</v>
      </c>
      <c r="BI143" s="196">
        <f t="shared" si="406"/>
        <v>528.17035880355922</v>
      </c>
      <c r="BJ143" s="197">
        <f t="shared" si="407"/>
        <v>180.82396348705734</v>
      </c>
      <c r="BK143" s="197">
        <f t="shared" si="408"/>
        <v>888.43333860278449</v>
      </c>
      <c r="BL143" s="197">
        <f t="shared" si="409"/>
        <v>-360.26297979922521</v>
      </c>
      <c r="BM143" s="199">
        <f t="shared" si="410"/>
        <v>-179.43901631216787</v>
      </c>
      <c r="BN143" s="196">
        <f t="shared" si="411"/>
        <v>3503.3410299110128</v>
      </c>
      <c r="BO143" s="197">
        <f t="shared" si="412"/>
        <v>1199.4009128235652</v>
      </c>
      <c r="BP143" s="197">
        <f t="shared" si="413"/>
        <v>5892.9565349303812</v>
      </c>
      <c r="BQ143" s="197">
        <f t="shared" si="414"/>
        <v>-2389.6155050193684</v>
      </c>
      <c r="BR143" s="199">
        <f t="shared" si="415"/>
        <v>-1190.2145921958031</v>
      </c>
      <c r="BV143" s="881">
        <v>6</v>
      </c>
      <c r="BW143" s="892">
        <f>'Arable Inputs'!$H$18</f>
        <v>12</v>
      </c>
      <c r="BX143" s="747">
        <f>'Arable Inputs'!$H$25*$BY$134</f>
        <v>214.2</v>
      </c>
      <c r="BY143" s="749">
        <f t="shared" si="416"/>
        <v>2570.3999999999996</v>
      </c>
      <c r="BZ143" s="197">
        <f>'Arable NPV'!$D122</f>
        <v>220</v>
      </c>
      <c r="CA143" s="197">
        <f t="shared" si="441"/>
        <v>2790.3999999999996</v>
      </c>
      <c r="CB143" s="197">
        <f>'Arable NPV'!$F122</f>
        <v>528.51499999999999</v>
      </c>
      <c r="CC143" s="197">
        <f>'Arable NPV'!$G122</f>
        <v>552.40000000000009</v>
      </c>
      <c r="CD143" s="197">
        <f t="shared" si="377"/>
        <v>1080.915</v>
      </c>
      <c r="CE143" s="197">
        <f t="shared" si="378"/>
        <v>1489.4849999999997</v>
      </c>
      <c r="CF143" s="197">
        <f t="shared" si="379"/>
        <v>1709.4849999999997</v>
      </c>
      <c r="CG143" s="196">
        <f t="shared" si="417"/>
        <v>2112.6814352142369</v>
      </c>
      <c r="CH143" s="197">
        <f t="shared" si="418"/>
        <v>180.82396348705734</v>
      </c>
      <c r="CI143" s="197">
        <f t="shared" si="419"/>
        <v>888.43333860278449</v>
      </c>
      <c r="CJ143" s="197">
        <f t="shared" si="420"/>
        <v>1224.2480966114524</v>
      </c>
      <c r="CK143" s="199">
        <f t="shared" si="421"/>
        <v>1405.0720600985098</v>
      </c>
      <c r="CL143" s="196">
        <f t="shared" si="422"/>
        <v>14013.364119644051</v>
      </c>
      <c r="CM143" s="197">
        <f t="shared" si="423"/>
        <v>1199.4009128235652</v>
      </c>
      <c r="CN143" s="197">
        <f t="shared" si="424"/>
        <v>5892.9565349303812</v>
      </c>
      <c r="CO143" s="197">
        <f t="shared" si="425"/>
        <v>8120.407584713671</v>
      </c>
      <c r="CP143" s="199">
        <f t="shared" si="426"/>
        <v>9319.8084975372349</v>
      </c>
      <c r="CT143" s="881">
        <v>6</v>
      </c>
      <c r="CU143" s="892">
        <f>'Arable Inputs'!$H$18</f>
        <v>12</v>
      </c>
      <c r="CV143" s="747">
        <f>'Arable Inputs'!$H$25*$CW$134</f>
        <v>0</v>
      </c>
      <c r="CW143" s="749">
        <f t="shared" si="427"/>
        <v>0</v>
      </c>
      <c r="CX143" s="197">
        <f>'Arable NPV'!$D122</f>
        <v>220</v>
      </c>
      <c r="CY143" s="197">
        <f t="shared" si="442"/>
        <v>220</v>
      </c>
      <c r="CZ143" s="197">
        <f>'Arable NPV'!$F122</f>
        <v>528.51499999999999</v>
      </c>
      <c r="DA143" s="197">
        <f>'Arable NPV'!$G122</f>
        <v>552.40000000000009</v>
      </c>
      <c r="DB143" s="197">
        <f t="shared" si="380"/>
        <v>1080.915</v>
      </c>
      <c r="DC143" s="197">
        <f t="shared" si="381"/>
        <v>-1080.915</v>
      </c>
      <c r="DD143" s="197">
        <f t="shared" si="382"/>
        <v>-860.91499999999996</v>
      </c>
      <c r="DE143" s="196">
        <f t="shared" si="428"/>
        <v>0</v>
      </c>
      <c r="DF143" s="197">
        <f t="shared" si="429"/>
        <v>180.82396348705734</v>
      </c>
      <c r="DG143" s="197">
        <f t="shared" si="430"/>
        <v>888.43333860278449</v>
      </c>
      <c r="DH143" s="197">
        <f t="shared" si="431"/>
        <v>-888.43333860278449</v>
      </c>
      <c r="DI143" s="199">
        <f t="shared" si="432"/>
        <v>-707.60937511572706</v>
      </c>
      <c r="DJ143" s="196">
        <f t="shared" si="433"/>
        <v>0</v>
      </c>
      <c r="DK143" s="197">
        <f t="shared" si="434"/>
        <v>1199.4009128235652</v>
      </c>
      <c r="DL143" s="197">
        <f t="shared" si="435"/>
        <v>5892.9565349303812</v>
      </c>
      <c r="DM143" s="197">
        <f t="shared" si="436"/>
        <v>-5892.9565349303812</v>
      </c>
      <c r="DN143" s="199">
        <f t="shared" si="437"/>
        <v>-4693.5556221068155</v>
      </c>
    </row>
    <row r="144" spans="2:174" x14ac:dyDescent="0.3">
      <c r="B144" s="881">
        <v>7</v>
      </c>
      <c r="C144" s="892">
        <f>'Arable Inputs'!$H$18</f>
        <v>12</v>
      </c>
      <c r="D144" s="747">
        <f>'Arable Inputs'!$H$25*$E$134</f>
        <v>107.1</v>
      </c>
      <c r="E144" s="749">
        <f t="shared" si="383"/>
        <v>1285.1999999999998</v>
      </c>
      <c r="F144" s="197">
        <f>'Arable NPV'!$D123</f>
        <v>220</v>
      </c>
      <c r="G144" s="197">
        <f t="shared" si="438"/>
        <v>1505.1999999999998</v>
      </c>
      <c r="H144" s="197">
        <f>'Arable NPV'!$F123</f>
        <v>528.51499999999999</v>
      </c>
      <c r="I144" s="197">
        <f>'Arable NPV'!$G123</f>
        <v>552.40000000000009</v>
      </c>
      <c r="J144" s="197">
        <f t="shared" si="368"/>
        <v>1080.915</v>
      </c>
      <c r="K144" s="197">
        <f t="shared" si="369"/>
        <v>204.28499999999985</v>
      </c>
      <c r="L144" s="197">
        <f t="shared" si="370"/>
        <v>424.28499999999985</v>
      </c>
      <c r="M144" s="196">
        <f t="shared" si="384"/>
        <v>1015.7122284683832</v>
      </c>
      <c r="N144" s="197">
        <f t="shared" si="385"/>
        <v>173.86919566063204</v>
      </c>
      <c r="O144" s="197">
        <f t="shared" si="386"/>
        <v>854.26282557960042</v>
      </c>
      <c r="P144" s="197">
        <f t="shared" si="387"/>
        <v>161.44940288878271</v>
      </c>
      <c r="Q144" s="199">
        <f t="shared" si="388"/>
        <v>335.31859854941473</v>
      </c>
      <c r="R144" s="196">
        <f t="shared" si="389"/>
        <v>8022.3942882904084</v>
      </c>
      <c r="S144" s="197">
        <f t="shared" si="390"/>
        <v>1373.2701084841974</v>
      </c>
      <c r="T144" s="197">
        <f t="shared" si="391"/>
        <v>6747.2193605099819</v>
      </c>
      <c r="U144" s="197">
        <f t="shared" si="392"/>
        <v>1275.1749277804274</v>
      </c>
      <c r="V144" s="199">
        <f t="shared" si="393"/>
        <v>2648.4450362646244</v>
      </c>
      <c r="Z144" s="881">
        <v>7</v>
      </c>
      <c r="AA144" s="892">
        <f>'Arable Inputs'!$H$18</f>
        <v>12</v>
      </c>
      <c r="AB144" s="747">
        <f>'Arable Inputs'!$H$25*$AC$134</f>
        <v>160.64999999999998</v>
      </c>
      <c r="AC144" s="749">
        <f t="shared" si="394"/>
        <v>1927.7999999999997</v>
      </c>
      <c r="AD144" s="197">
        <f>'Arable NPV'!$D123</f>
        <v>220</v>
      </c>
      <c r="AE144" s="197">
        <f t="shared" si="439"/>
        <v>2147.7999999999997</v>
      </c>
      <c r="AF144" s="197">
        <f>'Arable NPV'!$F123</f>
        <v>528.51499999999999</v>
      </c>
      <c r="AG144" s="197">
        <f>'Arable NPV'!$G123</f>
        <v>552.40000000000009</v>
      </c>
      <c r="AH144" s="197">
        <f t="shared" si="371"/>
        <v>1080.915</v>
      </c>
      <c r="AI144" s="197">
        <f t="shared" si="372"/>
        <v>846.88499999999976</v>
      </c>
      <c r="AJ144" s="197">
        <f t="shared" si="373"/>
        <v>1066.8849999999998</v>
      </c>
      <c r="AK144" s="196">
        <f t="shared" si="395"/>
        <v>1523.5683427025747</v>
      </c>
      <c r="AL144" s="197">
        <f t="shared" si="396"/>
        <v>173.86919566063204</v>
      </c>
      <c r="AM144" s="197">
        <f t="shared" si="397"/>
        <v>854.26282557960042</v>
      </c>
      <c r="AN144" s="197">
        <f t="shared" si="398"/>
        <v>669.30551712297427</v>
      </c>
      <c r="AO144" s="199">
        <f t="shared" si="399"/>
        <v>843.17471278360631</v>
      </c>
      <c r="AP144" s="196">
        <f t="shared" si="400"/>
        <v>12033.591432435613</v>
      </c>
      <c r="AQ144" s="197">
        <f t="shared" si="401"/>
        <v>1373.2701084841974</v>
      </c>
      <c r="AR144" s="197">
        <f t="shared" si="402"/>
        <v>6747.2193605099819</v>
      </c>
      <c r="AS144" s="197">
        <f t="shared" si="403"/>
        <v>5286.3720719256307</v>
      </c>
      <c r="AT144" s="199">
        <f t="shared" si="404"/>
        <v>6659.6421804098291</v>
      </c>
      <c r="AX144" s="881">
        <v>7</v>
      </c>
      <c r="AY144" s="892">
        <f>'Arable Inputs'!$H$18</f>
        <v>12</v>
      </c>
      <c r="AZ144" s="747">
        <f>'Arable Inputs'!$H$25*$BA$134</f>
        <v>53.55</v>
      </c>
      <c r="BA144" s="749">
        <f t="shared" si="405"/>
        <v>642.59999999999991</v>
      </c>
      <c r="BB144" s="197">
        <f>'Arable NPV'!$D123</f>
        <v>220</v>
      </c>
      <c r="BC144" s="197">
        <f t="shared" si="440"/>
        <v>862.59999999999991</v>
      </c>
      <c r="BD144" s="197">
        <f>'Arable NPV'!$F123</f>
        <v>528.51499999999999</v>
      </c>
      <c r="BE144" s="197">
        <f>'Arable NPV'!$G123</f>
        <v>552.40000000000009</v>
      </c>
      <c r="BF144" s="197">
        <f t="shared" si="374"/>
        <v>1080.915</v>
      </c>
      <c r="BG144" s="197">
        <f t="shared" si="375"/>
        <v>-438.31500000000005</v>
      </c>
      <c r="BH144" s="197">
        <f t="shared" si="376"/>
        <v>-218.31500000000005</v>
      </c>
      <c r="BI144" s="196">
        <f t="shared" si="406"/>
        <v>507.85611423419158</v>
      </c>
      <c r="BJ144" s="197">
        <f t="shared" si="407"/>
        <v>173.86919566063204</v>
      </c>
      <c r="BK144" s="197">
        <f t="shared" si="408"/>
        <v>854.26282557960042</v>
      </c>
      <c r="BL144" s="197">
        <f t="shared" si="409"/>
        <v>-346.40671134540884</v>
      </c>
      <c r="BM144" s="199">
        <f t="shared" si="410"/>
        <v>-172.53751568477679</v>
      </c>
      <c r="BN144" s="196">
        <f t="shared" si="411"/>
        <v>4011.1971441452042</v>
      </c>
      <c r="BO144" s="197">
        <f t="shared" si="412"/>
        <v>1373.2701084841974</v>
      </c>
      <c r="BP144" s="197">
        <f t="shared" si="413"/>
        <v>6747.2193605099819</v>
      </c>
      <c r="BQ144" s="197">
        <f t="shared" si="414"/>
        <v>-2736.0222163647773</v>
      </c>
      <c r="BR144" s="199">
        <f t="shared" si="415"/>
        <v>-1362.7521078805798</v>
      </c>
      <c r="BV144" s="881">
        <v>7</v>
      </c>
      <c r="BW144" s="892">
        <f>'Arable Inputs'!$H$18</f>
        <v>12</v>
      </c>
      <c r="BX144" s="747">
        <f>'Arable Inputs'!$H$25*$BY$134</f>
        <v>214.2</v>
      </c>
      <c r="BY144" s="749">
        <f t="shared" si="416"/>
        <v>2570.3999999999996</v>
      </c>
      <c r="BZ144" s="197">
        <f>'Arable NPV'!$D123</f>
        <v>220</v>
      </c>
      <c r="CA144" s="197">
        <f t="shared" si="441"/>
        <v>2790.3999999999996</v>
      </c>
      <c r="CB144" s="197">
        <f>'Arable NPV'!$F123</f>
        <v>528.51499999999999</v>
      </c>
      <c r="CC144" s="197">
        <f>'Arable NPV'!$G123</f>
        <v>552.40000000000009</v>
      </c>
      <c r="CD144" s="197">
        <f t="shared" si="377"/>
        <v>1080.915</v>
      </c>
      <c r="CE144" s="197">
        <f t="shared" si="378"/>
        <v>1489.4849999999997</v>
      </c>
      <c r="CF144" s="197">
        <f t="shared" si="379"/>
        <v>1709.4849999999997</v>
      </c>
      <c r="CG144" s="196">
        <f t="shared" si="417"/>
        <v>2031.4244569367663</v>
      </c>
      <c r="CH144" s="197">
        <f t="shared" si="418"/>
        <v>173.86919566063204</v>
      </c>
      <c r="CI144" s="197">
        <f t="shared" si="419"/>
        <v>854.26282557960042</v>
      </c>
      <c r="CJ144" s="197">
        <f t="shared" si="420"/>
        <v>1177.1616313571658</v>
      </c>
      <c r="CK144" s="199">
        <f t="shared" si="421"/>
        <v>1351.0308270177979</v>
      </c>
      <c r="CL144" s="196">
        <f t="shared" si="422"/>
        <v>16044.788576580817</v>
      </c>
      <c r="CM144" s="197">
        <f t="shared" si="423"/>
        <v>1373.2701084841974</v>
      </c>
      <c r="CN144" s="197">
        <f t="shared" si="424"/>
        <v>6747.2193605099819</v>
      </c>
      <c r="CO144" s="197">
        <f t="shared" si="425"/>
        <v>9297.5692160708368</v>
      </c>
      <c r="CP144" s="199">
        <f t="shared" si="426"/>
        <v>10670.839324555032</v>
      </c>
      <c r="CT144" s="881">
        <v>7</v>
      </c>
      <c r="CU144" s="892">
        <f>'Arable Inputs'!$H$18</f>
        <v>12</v>
      </c>
      <c r="CV144" s="747">
        <f>'Arable Inputs'!$H$25*$CW$134</f>
        <v>0</v>
      </c>
      <c r="CW144" s="749">
        <f t="shared" si="427"/>
        <v>0</v>
      </c>
      <c r="CX144" s="197">
        <f>'Arable NPV'!$D123</f>
        <v>220</v>
      </c>
      <c r="CY144" s="197">
        <f t="shared" si="442"/>
        <v>220</v>
      </c>
      <c r="CZ144" s="197">
        <f>'Arable NPV'!$F123</f>
        <v>528.51499999999999</v>
      </c>
      <c r="DA144" s="197">
        <f>'Arable NPV'!$G123</f>
        <v>552.40000000000009</v>
      </c>
      <c r="DB144" s="197">
        <f t="shared" si="380"/>
        <v>1080.915</v>
      </c>
      <c r="DC144" s="197">
        <f t="shared" si="381"/>
        <v>-1080.915</v>
      </c>
      <c r="DD144" s="197">
        <f t="shared" si="382"/>
        <v>-860.91499999999996</v>
      </c>
      <c r="DE144" s="196">
        <f t="shared" si="428"/>
        <v>0</v>
      </c>
      <c r="DF144" s="197">
        <f t="shared" si="429"/>
        <v>173.86919566063204</v>
      </c>
      <c r="DG144" s="197">
        <f t="shared" si="430"/>
        <v>854.26282557960042</v>
      </c>
      <c r="DH144" s="197">
        <f t="shared" si="431"/>
        <v>-854.26282557960042</v>
      </c>
      <c r="DI144" s="199">
        <f t="shared" si="432"/>
        <v>-680.39362991896837</v>
      </c>
      <c r="DJ144" s="196">
        <f t="shared" si="433"/>
        <v>0</v>
      </c>
      <c r="DK144" s="197">
        <f t="shared" si="434"/>
        <v>1373.2701084841974</v>
      </c>
      <c r="DL144" s="197">
        <f t="shared" si="435"/>
        <v>6747.2193605099819</v>
      </c>
      <c r="DM144" s="197">
        <f t="shared" si="436"/>
        <v>-6747.2193605099819</v>
      </c>
      <c r="DN144" s="199">
        <f t="shared" si="437"/>
        <v>-5373.9492520257836</v>
      </c>
    </row>
    <row r="145" spans="2:118" x14ac:dyDescent="0.3">
      <c r="B145" s="881">
        <v>8</v>
      </c>
      <c r="C145" s="892">
        <f>'Arable Inputs'!$H$18</f>
        <v>12</v>
      </c>
      <c r="D145" s="747">
        <f>'Arable Inputs'!$H$25*$E$134</f>
        <v>107.1</v>
      </c>
      <c r="E145" s="749">
        <f t="shared" si="383"/>
        <v>1285.1999999999998</v>
      </c>
      <c r="F145" s="197">
        <f>'Arable NPV'!$D124</f>
        <v>220</v>
      </c>
      <c r="G145" s="197">
        <f t="shared" si="438"/>
        <v>1505.1999999999998</v>
      </c>
      <c r="H145" s="197">
        <f>'Arable NPV'!$F124</f>
        <v>528.51499999999999</v>
      </c>
      <c r="I145" s="197">
        <f>'Arable NPV'!$G124</f>
        <v>552.40000000000009</v>
      </c>
      <c r="J145" s="197">
        <f t="shared" si="368"/>
        <v>1080.915</v>
      </c>
      <c r="K145" s="197">
        <f t="shared" si="369"/>
        <v>204.28499999999985</v>
      </c>
      <c r="L145" s="197">
        <f t="shared" si="370"/>
        <v>424.28499999999985</v>
      </c>
      <c r="M145" s="196">
        <f t="shared" si="384"/>
        <v>976.64637352729153</v>
      </c>
      <c r="N145" s="197">
        <f t="shared" si="385"/>
        <v>167.18191890445391</v>
      </c>
      <c r="O145" s="197">
        <f t="shared" si="386"/>
        <v>821.40656305730818</v>
      </c>
      <c r="P145" s="197">
        <f t="shared" si="387"/>
        <v>155.23981046998338</v>
      </c>
      <c r="Q145" s="199">
        <f t="shared" si="388"/>
        <v>322.42172937443729</v>
      </c>
      <c r="R145" s="196">
        <f t="shared" si="389"/>
        <v>8999.0406618177003</v>
      </c>
      <c r="S145" s="197">
        <f t="shared" si="390"/>
        <v>1540.4520273886512</v>
      </c>
      <c r="T145" s="197">
        <f t="shared" si="391"/>
        <v>7568.6259235672896</v>
      </c>
      <c r="U145" s="197">
        <f t="shared" si="392"/>
        <v>1430.4147382504109</v>
      </c>
      <c r="V145" s="199">
        <f t="shared" si="393"/>
        <v>2970.8667656390617</v>
      </c>
      <c r="Z145" s="881">
        <v>8</v>
      </c>
      <c r="AA145" s="892">
        <f>'Arable Inputs'!$H$18</f>
        <v>12</v>
      </c>
      <c r="AB145" s="747">
        <f>'Arable Inputs'!$H$25*$AC$134</f>
        <v>160.64999999999998</v>
      </c>
      <c r="AC145" s="749">
        <f t="shared" si="394"/>
        <v>1927.7999999999997</v>
      </c>
      <c r="AD145" s="197">
        <f>'Arable NPV'!$D124</f>
        <v>220</v>
      </c>
      <c r="AE145" s="197">
        <f t="shared" si="439"/>
        <v>2147.7999999999997</v>
      </c>
      <c r="AF145" s="197">
        <f>'Arable NPV'!$F124</f>
        <v>528.51499999999999</v>
      </c>
      <c r="AG145" s="197">
        <f>'Arable NPV'!$G124</f>
        <v>552.40000000000009</v>
      </c>
      <c r="AH145" s="197">
        <f t="shared" si="371"/>
        <v>1080.915</v>
      </c>
      <c r="AI145" s="197">
        <f t="shared" si="372"/>
        <v>846.88499999999976</v>
      </c>
      <c r="AJ145" s="197">
        <f t="shared" si="373"/>
        <v>1066.8849999999998</v>
      </c>
      <c r="AK145" s="196">
        <f t="shared" si="395"/>
        <v>1464.9695602909374</v>
      </c>
      <c r="AL145" s="197">
        <f t="shared" si="396"/>
        <v>167.18191890445391</v>
      </c>
      <c r="AM145" s="197">
        <f t="shared" si="397"/>
        <v>821.40656305730818</v>
      </c>
      <c r="AN145" s="197">
        <f t="shared" si="398"/>
        <v>643.56299723362918</v>
      </c>
      <c r="AO145" s="199">
        <f t="shared" si="399"/>
        <v>810.74491613808311</v>
      </c>
      <c r="AP145" s="196">
        <f t="shared" si="400"/>
        <v>13498.56099272655</v>
      </c>
      <c r="AQ145" s="197">
        <f t="shared" si="401"/>
        <v>1540.4520273886512</v>
      </c>
      <c r="AR145" s="197">
        <f t="shared" si="402"/>
        <v>7568.6259235672896</v>
      </c>
      <c r="AS145" s="197">
        <f t="shared" si="403"/>
        <v>5929.9350691592599</v>
      </c>
      <c r="AT145" s="199">
        <f t="shared" si="404"/>
        <v>7470.3870965479118</v>
      </c>
      <c r="AX145" s="881">
        <v>8</v>
      </c>
      <c r="AY145" s="892">
        <f>'Arable Inputs'!$H$18</f>
        <v>12</v>
      </c>
      <c r="AZ145" s="747">
        <f>'Arable Inputs'!$H$25*$BA$134</f>
        <v>53.55</v>
      </c>
      <c r="BA145" s="749">
        <f t="shared" si="405"/>
        <v>642.59999999999991</v>
      </c>
      <c r="BB145" s="197">
        <f>'Arable NPV'!$D124</f>
        <v>220</v>
      </c>
      <c r="BC145" s="197">
        <f t="shared" si="440"/>
        <v>862.59999999999991</v>
      </c>
      <c r="BD145" s="197">
        <f>'Arable NPV'!$F124</f>
        <v>528.51499999999999</v>
      </c>
      <c r="BE145" s="197">
        <f>'Arable NPV'!$G124</f>
        <v>552.40000000000009</v>
      </c>
      <c r="BF145" s="197">
        <f t="shared" si="374"/>
        <v>1080.915</v>
      </c>
      <c r="BG145" s="197">
        <f t="shared" si="375"/>
        <v>-438.31500000000005</v>
      </c>
      <c r="BH145" s="197">
        <f t="shared" si="376"/>
        <v>-218.31500000000005</v>
      </c>
      <c r="BI145" s="196">
        <f t="shared" si="406"/>
        <v>488.32318676364577</v>
      </c>
      <c r="BJ145" s="197">
        <f t="shared" si="407"/>
        <v>167.18191890445391</v>
      </c>
      <c r="BK145" s="197">
        <f t="shared" si="408"/>
        <v>821.40656305730818</v>
      </c>
      <c r="BL145" s="197">
        <f t="shared" si="409"/>
        <v>-333.08337629366241</v>
      </c>
      <c r="BM145" s="199">
        <f t="shared" si="410"/>
        <v>-165.90145738920847</v>
      </c>
      <c r="BN145" s="196">
        <f t="shared" si="411"/>
        <v>4499.5203309088502</v>
      </c>
      <c r="BO145" s="197">
        <f t="shared" si="412"/>
        <v>1540.4520273886512</v>
      </c>
      <c r="BP145" s="197">
        <f t="shared" si="413"/>
        <v>7568.6259235672896</v>
      </c>
      <c r="BQ145" s="197">
        <f t="shared" si="414"/>
        <v>-3069.1055926584395</v>
      </c>
      <c r="BR145" s="199">
        <f t="shared" si="415"/>
        <v>-1528.6535652697883</v>
      </c>
      <c r="BV145" s="881">
        <v>8</v>
      </c>
      <c r="BW145" s="892">
        <f>'Arable Inputs'!$H$18</f>
        <v>12</v>
      </c>
      <c r="BX145" s="747">
        <f>'Arable Inputs'!$H$25*$BY$134</f>
        <v>214.2</v>
      </c>
      <c r="BY145" s="749">
        <f t="shared" si="416"/>
        <v>2570.3999999999996</v>
      </c>
      <c r="BZ145" s="197">
        <f>'Arable NPV'!$D124</f>
        <v>220</v>
      </c>
      <c r="CA145" s="197">
        <f t="shared" si="441"/>
        <v>2790.3999999999996</v>
      </c>
      <c r="CB145" s="197">
        <f>'Arable NPV'!$F124</f>
        <v>528.51499999999999</v>
      </c>
      <c r="CC145" s="197">
        <f>'Arable NPV'!$G124</f>
        <v>552.40000000000009</v>
      </c>
      <c r="CD145" s="197">
        <f t="shared" si="377"/>
        <v>1080.915</v>
      </c>
      <c r="CE145" s="197">
        <f t="shared" si="378"/>
        <v>1489.4849999999997</v>
      </c>
      <c r="CF145" s="197">
        <f t="shared" si="379"/>
        <v>1709.4849999999997</v>
      </c>
      <c r="CG145" s="196">
        <f t="shared" si="417"/>
        <v>1953.2927470545831</v>
      </c>
      <c r="CH145" s="197">
        <f t="shared" si="418"/>
        <v>167.18191890445391</v>
      </c>
      <c r="CI145" s="197">
        <f t="shared" si="419"/>
        <v>821.40656305730818</v>
      </c>
      <c r="CJ145" s="197">
        <f t="shared" si="420"/>
        <v>1131.8861839972749</v>
      </c>
      <c r="CK145" s="199">
        <f t="shared" si="421"/>
        <v>1299.0681029017289</v>
      </c>
      <c r="CL145" s="196">
        <f t="shared" si="422"/>
        <v>17998.081323635401</v>
      </c>
      <c r="CM145" s="197">
        <f t="shared" si="423"/>
        <v>1540.4520273886512</v>
      </c>
      <c r="CN145" s="197">
        <f t="shared" si="424"/>
        <v>7568.6259235672896</v>
      </c>
      <c r="CO145" s="197">
        <f t="shared" si="425"/>
        <v>10429.455400068111</v>
      </c>
      <c r="CP145" s="199">
        <f t="shared" si="426"/>
        <v>11969.907427456761</v>
      </c>
      <c r="CT145" s="881">
        <v>8</v>
      </c>
      <c r="CU145" s="892">
        <f>'Arable Inputs'!$H$18</f>
        <v>12</v>
      </c>
      <c r="CV145" s="747">
        <f>'Arable Inputs'!$H$25*$CW$134</f>
        <v>0</v>
      </c>
      <c r="CW145" s="749">
        <f t="shared" si="427"/>
        <v>0</v>
      </c>
      <c r="CX145" s="197">
        <f>'Arable NPV'!$D124</f>
        <v>220</v>
      </c>
      <c r="CY145" s="197">
        <f t="shared" si="442"/>
        <v>220</v>
      </c>
      <c r="CZ145" s="197">
        <f>'Arable NPV'!$F124</f>
        <v>528.51499999999999</v>
      </c>
      <c r="DA145" s="197">
        <f>'Arable NPV'!$G124</f>
        <v>552.40000000000009</v>
      </c>
      <c r="DB145" s="197">
        <f t="shared" si="380"/>
        <v>1080.915</v>
      </c>
      <c r="DC145" s="197">
        <f t="shared" si="381"/>
        <v>-1080.915</v>
      </c>
      <c r="DD145" s="197">
        <f t="shared" si="382"/>
        <v>-860.91499999999996</v>
      </c>
      <c r="DE145" s="196">
        <f t="shared" si="428"/>
        <v>0</v>
      </c>
      <c r="DF145" s="197">
        <f t="shared" si="429"/>
        <v>167.18191890445391</v>
      </c>
      <c r="DG145" s="197">
        <f t="shared" si="430"/>
        <v>821.40656305730818</v>
      </c>
      <c r="DH145" s="197">
        <f t="shared" si="431"/>
        <v>-821.40656305730818</v>
      </c>
      <c r="DI145" s="199">
        <f t="shared" si="432"/>
        <v>-654.22464415285424</v>
      </c>
      <c r="DJ145" s="196">
        <f t="shared" si="433"/>
        <v>0</v>
      </c>
      <c r="DK145" s="197">
        <f t="shared" si="434"/>
        <v>1540.4520273886512</v>
      </c>
      <c r="DL145" s="197">
        <f t="shared" si="435"/>
        <v>7568.6259235672896</v>
      </c>
      <c r="DM145" s="197">
        <f t="shared" si="436"/>
        <v>-7568.6259235672896</v>
      </c>
      <c r="DN145" s="199">
        <f t="shared" si="437"/>
        <v>-6028.1738961786377</v>
      </c>
    </row>
    <row r="146" spans="2:118" x14ac:dyDescent="0.3">
      <c r="B146" s="881">
        <v>9</v>
      </c>
      <c r="C146" s="892">
        <f>'Arable Inputs'!$H$18</f>
        <v>12</v>
      </c>
      <c r="D146" s="747">
        <f>'Arable Inputs'!$H$25*$E$134</f>
        <v>107.1</v>
      </c>
      <c r="E146" s="749">
        <f t="shared" si="383"/>
        <v>1285.1999999999998</v>
      </c>
      <c r="F146" s="197">
        <f>'Arable NPV'!$D125</f>
        <v>220</v>
      </c>
      <c r="G146" s="197">
        <f t="shared" si="438"/>
        <v>1505.1999999999998</v>
      </c>
      <c r="H146" s="197">
        <f>'Arable NPV'!$F125</f>
        <v>528.51499999999999</v>
      </c>
      <c r="I146" s="197">
        <f>'Arable NPV'!$G125</f>
        <v>552.40000000000009</v>
      </c>
      <c r="J146" s="197">
        <f t="shared" si="368"/>
        <v>1080.915</v>
      </c>
      <c r="K146" s="197">
        <f t="shared" si="369"/>
        <v>204.28499999999985</v>
      </c>
      <c r="L146" s="197">
        <f t="shared" si="370"/>
        <v>424.28499999999985</v>
      </c>
      <c r="M146" s="196">
        <f t="shared" si="384"/>
        <v>939.08305146854946</v>
      </c>
      <c r="N146" s="197">
        <f t="shared" si="385"/>
        <v>160.75184510043644</v>
      </c>
      <c r="O146" s="197">
        <f t="shared" si="386"/>
        <v>789.81400293971922</v>
      </c>
      <c r="P146" s="197">
        <f t="shared" si="387"/>
        <v>149.26904852883015</v>
      </c>
      <c r="Q146" s="199">
        <f t="shared" si="388"/>
        <v>310.0208936292666</v>
      </c>
      <c r="R146" s="196">
        <f t="shared" si="389"/>
        <v>9938.1237132862498</v>
      </c>
      <c r="S146" s="197">
        <f t="shared" si="390"/>
        <v>1701.2038724890876</v>
      </c>
      <c r="T146" s="197">
        <f t="shared" si="391"/>
        <v>8358.4399265070097</v>
      </c>
      <c r="U146" s="197">
        <f t="shared" si="392"/>
        <v>1579.683786779241</v>
      </c>
      <c r="V146" s="199">
        <f t="shared" si="393"/>
        <v>3280.8876592683282</v>
      </c>
      <c r="Z146" s="881">
        <v>9</v>
      </c>
      <c r="AA146" s="892">
        <f>'Arable Inputs'!$H$18</f>
        <v>12</v>
      </c>
      <c r="AB146" s="747">
        <f>'Arable Inputs'!$H$25*$AC$134</f>
        <v>160.64999999999998</v>
      </c>
      <c r="AC146" s="749">
        <f t="shared" si="394"/>
        <v>1927.7999999999997</v>
      </c>
      <c r="AD146" s="197">
        <f>'Arable NPV'!$D125</f>
        <v>220</v>
      </c>
      <c r="AE146" s="197">
        <f t="shared" si="439"/>
        <v>2147.7999999999997</v>
      </c>
      <c r="AF146" s="197">
        <f>'Arable NPV'!$F125</f>
        <v>528.51499999999999</v>
      </c>
      <c r="AG146" s="197">
        <f>'Arable NPV'!$G125</f>
        <v>552.40000000000009</v>
      </c>
      <c r="AH146" s="197">
        <f t="shared" si="371"/>
        <v>1080.915</v>
      </c>
      <c r="AI146" s="197">
        <f t="shared" si="372"/>
        <v>846.88499999999976</v>
      </c>
      <c r="AJ146" s="197">
        <f t="shared" si="373"/>
        <v>1066.8849999999998</v>
      </c>
      <c r="AK146" s="196">
        <f t="shared" si="395"/>
        <v>1408.6245772028242</v>
      </c>
      <c r="AL146" s="197">
        <f t="shared" si="396"/>
        <v>160.75184510043644</v>
      </c>
      <c r="AM146" s="197">
        <f t="shared" si="397"/>
        <v>789.81400293971922</v>
      </c>
      <c r="AN146" s="197">
        <f t="shared" si="398"/>
        <v>618.81057426310485</v>
      </c>
      <c r="AO146" s="199">
        <f t="shared" si="399"/>
        <v>779.56241936354127</v>
      </c>
      <c r="AP146" s="196">
        <f t="shared" si="400"/>
        <v>14907.185569929374</v>
      </c>
      <c r="AQ146" s="197">
        <f t="shared" si="401"/>
        <v>1701.2038724890876</v>
      </c>
      <c r="AR146" s="197">
        <f t="shared" si="402"/>
        <v>8358.4399265070097</v>
      </c>
      <c r="AS146" s="197">
        <f t="shared" si="403"/>
        <v>6548.745643422365</v>
      </c>
      <c r="AT146" s="199">
        <f t="shared" si="404"/>
        <v>8249.9495159114522</v>
      </c>
      <c r="AX146" s="881">
        <v>9</v>
      </c>
      <c r="AY146" s="892">
        <f>'Arable Inputs'!$H$18</f>
        <v>12</v>
      </c>
      <c r="AZ146" s="747">
        <f>'Arable Inputs'!$H$25*$BA$134</f>
        <v>53.55</v>
      </c>
      <c r="BA146" s="749">
        <f t="shared" si="405"/>
        <v>642.59999999999991</v>
      </c>
      <c r="BB146" s="197">
        <f>'Arable NPV'!$D125</f>
        <v>220</v>
      </c>
      <c r="BC146" s="197">
        <f t="shared" si="440"/>
        <v>862.59999999999991</v>
      </c>
      <c r="BD146" s="197">
        <f>'Arable NPV'!$F125</f>
        <v>528.51499999999999</v>
      </c>
      <c r="BE146" s="197">
        <f>'Arable NPV'!$G125</f>
        <v>552.40000000000009</v>
      </c>
      <c r="BF146" s="197">
        <f t="shared" si="374"/>
        <v>1080.915</v>
      </c>
      <c r="BG146" s="197">
        <f t="shared" si="375"/>
        <v>-438.31500000000005</v>
      </c>
      <c r="BH146" s="197">
        <f t="shared" si="376"/>
        <v>-218.31500000000005</v>
      </c>
      <c r="BI146" s="196">
        <f t="shared" si="406"/>
        <v>469.54152573427473</v>
      </c>
      <c r="BJ146" s="197">
        <f t="shared" si="407"/>
        <v>160.75184510043644</v>
      </c>
      <c r="BK146" s="197">
        <f t="shared" si="408"/>
        <v>789.81400293971922</v>
      </c>
      <c r="BL146" s="197">
        <f t="shared" si="409"/>
        <v>-320.27247720544455</v>
      </c>
      <c r="BM146" s="199">
        <f t="shared" si="410"/>
        <v>-159.52063210500813</v>
      </c>
      <c r="BN146" s="196">
        <f t="shared" si="411"/>
        <v>4969.0618566431249</v>
      </c>
      <c r="BO146" s="197">
        <f t="shared" si="412"/>
        <v>1701.2038724890876</v>
      </c>
      <c r="BP146" s="197">
        <f t="shared" si="413"/>
        <v>8358.4399265070097</v>
      </c>
      <c r="BQ146" s="197">
        <f t="shared" si="414"/>
        <v>-3389.3780698638839</v>
      </c>
      <c r="BR146" s="199">
        <f t="shared" si="415"/>
        <v>-1688.1741973747964</v>
      </c>
      <c r="BV146" s="881">
        <v>9</v>
      </c>
      <c r="BW146" s="892">
        <f>'Arable Inputs'!$H$18</f>
        <v>12</v>
      </c>
      <c r="BX146" s="747">
        <f>'Arable Inputs'!$H$25*$BY$134</f>
        <v>214.2</v>
      </c>
      <c r="BY146" s="749">
        <f t="shared" si="416"/>
        <v>2570.3999999999996</v>
      </c>
      <c r="BZ146" s="197">
        <f>'Arable NPV'!$D125</f>
        <v>220</v>
      </c>
      <c r="CA146" s="197">
        <f t="shared" si="441"/>
        <v>2790.3999999999996</v>
      </c>
      <c r="CB146" s="197">
        <f>'Arable NPV'!$F125</f>
        <v>528.51499999999999</v>
      </c>
      <c r="CC146" s="197">
        <f>'Arable NPV'!$G125</f>
        <v>552.40000000000009</v>
      </c>
      <c r="CD146" s="197">
        <f t="shared" si="377"/>
        <v>1080.915</v>
      </c>
      <c r="CE146" s="197">
        <f t="shared" si="378"/>
        <v>1489.4849999999997</v>
      </c>
      <c r="CF146" s="197">
        <f t="shared" si="379"/>
        <v>1709.4849999999997</v>
      </c>
      <c r="CG146" s="196">
        <f t="shared" si="417"/>
        <v>1878.1661029370989</v>
      </c>
      <c r="CH146" s="197">
        <f t="shared" si="418"/>
        <v>160.75184510043644</v>
      </c>
      <c r="CI146" s="197">
        <f t="shared" si="419"/>
        <v>789.81400293971922</v>
      </c>
      <c r="CJ146" s="197">
        <f t="shared" si="420"/>
        <v>1088.3520999973796</v>
      </c>
      <c r="CK146" s="199">
        <f t="shared" si="421"/>
        <v>1249.103945097816</v>
      </c>
      <c r="CL146" s="196">
        <f t="shared" si="422"/>
        <v>19876.2474265725</v>
      </c>
      <c r="CM146" s="197">
        <f t="shared" si="423"/>
        <v>1701.2038724890876</v>
      </c>
      <c r="CN146" s="197">
        <f t="shared" si="424"/>
        <v>8358.4399265070097</v>
      </c>
      <c r="CO146" s="197">
        <f t="shared" si="425"/>
        <v>11517.80750006549</v>
      </c>
      <c r="CP146" s="199">
        <f t="shared" si="426"/>
        <v>13219.011372554578</v>
      </c>
      <c r="CT146" s="881">
        <v>9</v>
      </c>
      <c r="CU146" s="892">
        <f>'Arable Inputs'!$H$18</f>
        <v>12</v>
      </c>
      <c r="CV146" s="747">
        <f>'Arable Inputs'!$H$25*$CW$134</f>
        <v>0</v>
      </c>
      <c r="CW146" s="749">
        <f t="shared" si="427"/>
        <v>0</v>
      </c>
      <c r="CX146" s="197">
        <f>'Arable NPV'!$D125</f>
        <v>220</v>
      </c>
      <c r="CY146" s="197">
        <f t="shared" si="442"/>
        <v>220</v>
      </c>
      <c r="CZ146" s="197">
        <f>'Arable NPV'!$F125</f>
        <v>528.51499999999999</v>
      </c>
      <c r="DA146" s="197">
        <f>'Arable NPV'!$G125</f>
        <v>552.40000000000009</v>
      </c>
      <c r="DB146" s="197">
        <f t="shared" si="380"/>
        <v>1080.915</v>
      </c>
      <c r="DC146" s="197">
        <f t="shared" si="381"/>
        <v>-1080.915</v>
      </c>
      <c r="DD146" s="197">
        <f t="shared" si="382"/>
        <v>-860.91499999999996</v>
      </c>
      <c r="DE146" s="196">
        <f t="shared" si="428"/>
        <v>0</v>
      </c>
      <c r="DF146" s="197">
        <f t="shared" si="429"/>
        <v>160.75184510043644</v>
      </c>
      <c r="DG146" s="197">
        <f t="shared" si="430"/>
        <v>789.81400293971922</v>
      </c>
      <c r="DH146" s="197">
        <f t="shared" si="431"/>
        <v>-789.81400293971922</v>
      </c>
      <c r="DI146" s="199">
        <f t="shared" si="432"/>
        <v>-629.0621578392828</v>
      </c>
      <c r="DJ146" s="196">
        <f t="shared" si="433"/>
        <v>0</v>
      </c>
      <c r="DK146" s="197">
        <f t="shared" si="434"/>
        <v>1701.2038724890876</v>
      </c>
      <c r="DL146" s="197">
        <f t="shared" si="435"/>
        <v>8358.4399265070097</v>
      </c>
      <c r="DM146" s="197">
        <f t="shared" si="436"/>
        <v>-8358.4399265070097</v>
      </c>
      <c r="DN146" s="199">
        <f t="shared" si="437"/>
        <v>-6657.2360540179207</v>
      </c>
    </row>
    <row r="147" spans="2:118" x14ac:dyDescent="0.3">
      <c r="B147" s="881">
        <v>10</v>
      </c>
      <c r="C147" s="892">
        <f>'Arable Inputs'!$H$18</f>
        <v>12</v>
      </c>
      <c r="D147" s="747">
        <f>'Arable Inputs'!$H$25*$E$134</f>
        <v>107.1</v>
      </c>
      <c r="E147" s="749">
        <f t="shared" si="383"/>
        <v>1285.1999999999998</v>
      </c>
      <c r="F147" s="197">
        <f>'Arable NPV'!$D126</f>
        <v>220</v>
      </c>
      <c r="G147" s="197">
        <f t="shared" si="438"/>
        <v>1505.1999999999998</v>
      </c>
      <c r="H147" s="197">
        <f>'Arable NPV'!$F126</f>
        <v>528.51499999999999</v>
      </c>
      <c r="I147" s="197">
        <f>'Arable NPV'!$G126</f>
        <v>552.40000000000009</v>
      </c>
      <c r="J147" s="197">
        <f t="shared" si="368"/>
        <v>1080.915</v>
      </c>
      <c r="K147" s="197">
        <f t="shared" si="369"/>
        <v>204.28499999999985</v>
      </c>
      <c r="L147" s="197">
        <f t="shared" si="370"/>
        <v>424.28499999999985</v>
      </c>
      <c r="M147" s="196">
        <f t="shared" si="384"/>
        <v>902.96447256591284</v>
      </c>
      <c r="N147" s="197">
        <f t="shared" si="385"/>
        <v>154.5690818273427</v>
      </c>
      <c r="O147" s="197">
        <f t="shared" si="386"/>
        <v>759.43654128819151</v>
      </c>
      <c r="P147" s="197">
        <f t="shared" si="387"/>
        <v>143.52793127772128</v>
      </c>
      <c r="Q147" s="199">
        <f t="shared" si="388"/>
        <v>298.09701310506398</v>
      </c>
      <c r="R147" s="196">
        <f t="shared" si="389"/>
        <v>10841.088185852162</v>
      </c>
      <c r="S147" s="197">
        <f t="shared" si="390"/>
        <v>1855.7729543164303</v>
      </c>
      <c r="T147" s="197">
        <f t="shared" si="391"/>
        <v>9117.8764677952004</v>
      </c>
      <c r="U147" s="197">
        <f t="shared" si="392"/>
        <v>1723.2117180569624</v>
      </c>
      <c r="V147" s="199">
        <f t="shared" si="393"/>
        <v>3578.9846723733922</v>
      </c>
      <c r="Z147" s="881">
        <v>10</v>
      </c>
      <c r="AA147" s="892">
        <f>'Arable Inputs'!$H$18</f>
        <v>12</v>
      </c>
      <c r="AB147" s="747">
        <f>'Arable Inputs'!$H$25*$AC$134</f>
        <v>160.64999999999998</v>
      </c>
      <c r="AC147" s="749">
        <f t="shared" si="394"/>
        <v>1927.7999999999997</v>
      </c>
      <c r="AD147" s="197">
        <f>'Arable NPV'!$D126</f>
        <v>220</v>
      </c>
      <c r="AE147" s="197">
        <f t="shared" si="439"/>
        <v>2147.7999999999997</v>
      </c>
      <c r="AF147" s="197">
        <f>'Arable NPV'!$F126</f>
        <v>528.51499999999999</v>
      </c>
      <c r="AG147" s="197">
        <f>'Arable NPV'!$G126</f>
        <v>552.40000000000009</v>
      </c>
      <c r="AH147" s="197">
        <f t="shared" si="371"/>
        <v>1080.915</v>
      </c>
      <c r="AI147" s="197">
        <f t="shared" si="372"/>
        <v>846.88499999999976</v>
      </c>
      <c r="AJ147" s="197">
        <f t="shared" si="373"/>
        <v>1066.8849999999998</v>
      </c>
      <c r="AK147" s="196">
        <f t="shared" si="395"/>
        <v>1354.4467088488693</v>
      </c>
      <c r="AL147" s="197">
        <f t="shared" si="396"/>
        <v>154.5690818273427</v>
      </c>
      <c r="AM147" s="197">
        <f t="shared" si="397"/>
        <v>759.43654128819151</v>
      </c>
      <c r="AN147" s="197">
        <f t="shared" si="398"/>
        <v>595.0101675606777</v>
      </c>
      <c r="AO147" s="199">
        <f t="shared" si="399"/>
        <v>749.57924938802046</v>
      </c>
      <c r="AP147" s="196">
        <f t="shared" si="400"/>
        <v>16261.632278778243</v>
      </c>
      <c r="AQ147" s="197">
        <f t="shared" si="401"/>
        <v>1855.7729543164303</v>
      </c>
      <c r="AR147" s="197">
        <f t="shared" si="402"/>
        <v>9117.8764677952004</v>
      </c>
      <c r="AS147" s="197">
        <f t="shared" si="403"/>
        <v>7143.7558109830425</v>
      </c>
      <c r="AT147" s="199">
        <f t="shared" si="404"/>
        <v>8999.5287652994721</v>
      </c>
      <c r="AX147" s="881">
        <v>10</v>
      </c>
      <c r="AY147" s="892">
        <f>'Arable Inputs'!$H$18</f>
        <v>12</v>
      </c>
      <c r="AZ147" s="747">
        <f>'Arable Inputs'!$H$25*$BA$134</f>
        <v>53.55</v>
      </c>
      <c r="BA147" s="749">
        <f t="shared" si="405"/>
        <v>642.59999999999991</v>
      </c>
      <c r="BB147" s="197">
        <f>'Arable NPV'!$D126</f>
        <v>220</v>
      </c>
      <c r="BC147" s="197">
        <f t="shared" si="440"/>
        <v>862.59999999999991</v>
      </c>
      <c r="BD147" s="197">
        <f>'Arable NPV'!$F126</f>
        <v>528.51499999999999</v>
      </c>
      <c r="BE147" s="197">
        <f>'Arable NPV'!$G126</f>
        <v>552.40000000000009</v>
      </c>
      <c r="BF147" s="197">
        <f t="shared" si="374"/>
        <v>1080.915</v>
      </c>
      <c r="BG147" s="197">
        <f t="shared" si="375"/>
        <v>-438.31500000000005</v>
      </c>
      <c r="BH147" s="197">
        <f t="shared" si="376"/>
        <v>-218.31500000000005</v>
      </c>
      <c r="BI147" s="196">
        <f t="shared" si="406"/>
        <v>451.48223628295642</v>
      </c>
      <c r="BJ147" s="197">
        <f t="shared" si="407"/>
        <v>154.5690818273427</v>
      </c>
      <c r="BK147" s="197">
        <f t="shared" si="408"/>
        <v>759.43654128819151</v>
      </c>
      <c r="BL147" s="197">
        <f t="shared" si="409"/>
        <v>-307.95430500523514</v>
      </c>
      <c r="BM147" s="199">
        <f t="shared" si="410"/>
        <v>-153.38522317789241</v>
      </c>
      <c r="BN147" s="196">
        <f t="shared" si="411"/>
        <v>5420.5440929260812</v>
      </c>
      <c r="BO147" s="197">
        <f t="shared" si="412"/>
        <v>1855.7729543164303</v>
      </c>
      <c r="BP147" s="197">
        <f t="shared" si="413"/>
        <v>9117.8764677952004</v>
      </c>
      <c r="BQ147" s="197">
        <f t="shared" si="414"/>
        <v>-3697.3323748691191</v>
      </c>
      <c r="BR147" s="199">
        <f t="shared" si="415"/>
        <v>-1841.5594205526888</v>
      </c>
      <c r="BV147" s="881">
        <v>10</v>
      </c>
      <c r="BW147" s="892">
        <f>'Arable Inputs'!$H$18</f>
        <v>12</v>
      </c>
      <c r="BX147" s="747">
        <f>'Arable Inputs'!$H$25*$BY$134</f>
        <v>214.2</v>
      </c>
      <c r="BY147" s="749">
        <f t="shared" si="416"/>
        <v>2570.3999999999996</v>
      </c>
      <c r="BZ147" s="197">
        <f>'Arable NPV'!$D126</f>
        <v>220</v>
      </c>
      <c r="CA147" s="197">
        <f t="shared" si="441"/>
        <v>2790.3999999999996</v>
      </c>
      <c r="CB147" s="197">
        <f>'Arable NPV'!$F126</f>
        <v>528.51499999999999</v>
      </c>
      <c r="CC147" s="197">
        <f>'Arable NPV'!$G126</f>
        <v>552.40000000000009</v>
      </c>
      <c r="CD147" s="197">
        <f t="shared" si="377"/>
        <v>1080.915</v>
      </c>
      <c r="CE147" s="197">
        <f t="shared" si="378"/>
        <v>1489.4849999999997</v>
      </c>
      <c r="CF147" s="197">
        <f t="shared" si="379"/>
        <v>1709.4849999999997</v>
      </c>
      <c r="CG147" s="196">
        <f t="shared" si="417"/>
        <v>1805.9289451318257</v>
      </c>
      <c r="CH147" s="197">
        <f t="shared" si="418"/>
        <v>154.5690818273427</v>
      </c>
      <c r="CI147" s="197">
        <f t="shared" si="419"/>
        <v>759.43654128819151</v>
      </c>
      <c r="CJ147" s="197">
        <f t="shared" si="420"/>
        <v>1046.4924038436341</v>
      </c>
      <c r="CK147" s="199">
        <f t="shared" si="421"/>
        <v>1201.0614856709767</v>
      </c>
      <c r="CL147" s="196">
        <f t="shared" si="422"/>
        <v>21682.176371704325</v>
      </c>
      <c r="CM147" s="197">
        <f t="shared" si="423"/>
        <v>1855.7729543164303</v>
      </c>
      <c r="CN147" s="197">
        <f t="shared" si="424"/>
        <v>9117.8764677952004</v>
      </c>
      <c r="CO147" s="197">
        <f t="shared" si="425"/>
        <v>12564.299903909125</v>
      </c>
      <c r="CP147" s="199">
        <f t="shared" si="426"/>
        <v>14420.072858225554</v>
      </c>
      <c r="CT147" s="881">
        <v>10</v>
      </c>
      <c r="CU147" s="892">
        <f>'Arable Inputs'!$H$18</f>
        <v>12</v>
      </c>
      <c r="CV147" s="747">
        <f>'Arable Inputs'!$H$25*$CW$134</f>
        <v>0</v>
      </c>
      <c r="CW147" s="749">
        <f t="shared" si="427"/>
        <v>0</v>
      </c>
      <c r="CX147" s="197">
        <f>'Arable NPV'!$D126</f>
        <v>220</v>
      </c>
      <c r="CY147" s="197">
        <f t="shared" si="442"/>
        <v>220</v>
      </c>
      <c r="CZ147" s="197">
        <f>'Arable NPV'!$F126</f>
        <v>528.51499999999999</v>
      </c>
      <c r="DA147" s="197">
        <f>'Arable NPV'!$G126</f>
        <v>552.40000000000009</v>
      </c>
      <c r="DB147" s="197">
        <f t="shared" si="380"/>
        <v>1080.915</v>
      </c>
      <c r="DC147" s="197">
        <f t="shared" si="381"/>
        <v>-1080.915</v>
      </c>
      <c r="DD147" s="197">
        <f t="shared" si="382"/>
        <v>-860.91499999999996</v>
      </c>
      <c r="DE147" s="196">
        <f t="shared" si="428"/>
        <v>0</v>
      </c>
      <c r="DF147" s="197">
        <f t="shared" si="429"/>
        <v>154.5690818273427</v>
      </c>
      <c r="DG147" s="197">
        <f t="shared" si="430"/>
        <v>759.43654128819151</v>
      </c>
      <c r="DH147" s="197">
        <f t="shared" si="431"/>
        <v>-759.43654128819151</v>
      </c>
      <c r="DI147" s="199">
        <f t="shared" si="432"/>
        <v>-604.86745946084886</v>
      </c>
      <c r="DJ147" s="196">
        <f t="shared" si="433"/>
        <v>0</v>
      </c>
      <c r="DK147" s="197">
        <f t="shared" si="434"/>
        <v>1855.7729543164303</v>
      </c>
      <c r="DL147" s="197">
        <f t="shared" si="435"/>
        <v>9117.8764677952004</v>
      </c>
      <c r="DM147" s="197">
        <f t="shared" si="436"/>
        <v>-9117.8764677952004</v>
      </c>
      <c r="DN147" s="199">
        <f t="shared" si="437"/>
        <v>-7262.1035134787699</v>
      </c>
    </row>
    <row r="148" spans="2:118" x14ac:dyDescent="0.3">
      <c r="B148" s="881">
        <v>11</v>
      </c>
      <c r="C148" s="892">
        <f>'Arable Inputs'!$H$18</f>
        <v>12</v>
      </c>
      <c r="D148" s="747">
        <f>'Arable Inputs'!$H$25*$E$134</f>
        <v>107.1</v>
      </c>
      <c r="E148" s="749">
        <f t="shared" si="383"/>
        <v>1285.1999999999998</v>
      </c>
      <c r="F148" s="197">
        <f>'Arable NPV'!$D127</f>
        <v>220</v>
      </c>
      <c r="G148" s="197">
        <f t="shared" si="438"/>
        <v>1505.1999999999998</v>
      </c>
      <c r="H148" s="197">
        <f>'Arable NPV'!$F127</f>
        <v>528.51499999999999</v>
      </c>
      <c r="I148" s="197">
        <f>'Arable NPV'!$G127</f>
        <v>552.40000000000009</v>
      </c>
      <c r="J148" s="197">
        <f t="shared" si="368"/>
        <v>1080.915</v>
      </c>
      <c r="K148" s="197">
        <f t="shared" si="369"/>
        <v>204.28499999999985</v>
      </c>
      <c r="L148" s="197">
        <f t="shared" si="370"/>
        <v>424.28499999999985</v>
      </c>
      <c r="M148" s="196">
        <f t="shared" si="384"/>
        <v>868.23506977491616</v>
      </c>
      <c r="N148" s="197">
        <f t="shared" si="385"/>
        <v>148.62411714167567</v>
      </c>
      <c r="O148" s="197">
        <f t="shared" si="386"/>
        <v>730.22744354633801</v>
      </c>
      <c r="P148" s="197">
        <f t="shared" si="387"/>
        <v>138.00762622857815</v>
      </c>
      <c r="Q148" s="199">
        <f t="shared" si="388"/>
        <v>286.63174337025384</v>
      </c>
      <c r="R148" s="196">
        <f t="shared" si="389"/>
        <v>11709.323255627078</v>
      </c>
      <c r="S148" s="197">
        <f t="shared" si="390"/>
        <v>2004.397071458106</v>
      </c>
      <c r="T148" s="197">
        <f t="shared" si="391"/>
        <v>9848.1039113415391</v>
      </c>
      <c r="U148" s="197">
        <f t="shared" si="392"/>
        <v>1861.2193442855405</v>
      </c>
      <c r="V148" s="199">
        <f t="shared" si="393"/>
        <v>3865.616415743646</v>
      </c>
      <c r="Z148" s="881">
        <v>11</v>
      </c>
      <c r="AA148" s="892">
        <f>'Arable Inputs'!$H$18</f>
        <v>12</v>
      </c>
      <c r="AB148" s="747">
        <f>'Arable Inputs'!$H$25*$AC$134</f>
        <v>160.64999999999998</v>
      </c>
      <c r="AC148" s="749">
        <f t="shared" si="394"/>
        <v>1927.7999999999997</v>
      </c>
      <c r="AD148" s="197">
        <f>'Arable NPV'!$D127</f>
        <v>220</v>
      </c>
      <c r="AE148" s="197">
        <f t="shared" si="439"/>
        <v>2147.7999999999997</v>
      </c>
      <c r="AF148" s="197">
        <f>'Arable NPV'!$F127</f>
        <v>528.51499999999999</v>
      </c>
      <c r="AG148" s="197">
        <f>'Arable NPV'!$G127</f>
        <v>552.40000000000009</v>
      </c>
      <c r="AH148" s="197">
        <f t="shared" si="371"/>
        <v>1080.915</v>
      </c>
      <c r="AI148" s="197">
        <f t="shared" si="372"/>
        <v>846.88499999999976</v>
      </c>
      <c r="AJ148" s="197">
        <f t="shared" si="373"/>
        <v>1066.8849999999998</v>
      </c>
      <c r="AK148" s="196">
        <f t="shared" si="395"/>
        <v>1302.3526046623742</v>
      </c>
      <c r="AL148" s="197">
        <f t="shared" si="396"/>
        <v>148.62411714167567</v>
      </c>
      <c r="AM148" s="197">
        <f t="shared" si="397"/>
        <v>730.22744354633801</v>
      </c>
      <c r="AN148" s="197">
        <f t="shared" si="398"/>
        <v>572.12516111603622</v>
      </c>
      <c r="AO148" s="199">
        <f t="shared" si="399"/>
        <v>720.74927825771192</v>
      </c>
      <c r="AP148" s="196">
        <f t="shared" si="400"/>
        <v>17563.984883440618</v>
      </c>
      <c r="AQ148" s="197">
        <f t="shared" si="401"/>
        <v>2004.397071458106</v>
      </c>
      <c r="AR148" s="197">
        <f t="shared" si="402"/>
        <v>9848.1039113415391</v>
      </c>
      <c r="AS148" s="197">
        <f t="shared" si="403"/>
        <v>7715.8809720990785</v>
      </c>
      <c r="AT148" s="199">
        <f t="shared" si="404"/>
        <v>9720.278043557184</v>
      </c>
      <c r="AX148" s="881">
        <v>11</v>
      </c>
      <c r="AY148" s="892">
        <f>'Arable Inputs'!$H$18</f>
        <v>12</v>
      </c>
      <c r="AZ148" s="747">
        <f>'Arable Inputs'!$H$25*$BA$134</f>
        <v>53.55</v>
      </c>
      <c r="BA148" s="749">
        <f t="shared" si="405"/>
        <v>642.59999999999991</v>
      </c>
      <c r="BB148" s="197">
        <f>'Arable NPV'!$D127</f>
        <v>220</v>
      </c>
      <c r="BC148" s="197">
        <f t="shared" si="440"/>
        <v>862.59999999999991</v>
      </c>
      <c r="BD148" s="197">
        <f>'Arable NPV'!$F127</f>
        <v>528.51499999999999</v>
      </c>
      <c r="BE148" s="197">
        <f>'Arable NPV'!$G127</f>
        <v>552.40000000000009</v>
      </c>
      <c r="BF148" s="197">
        <f t="shared" si="374"/>
        <v>1080.915</v>
      </c>
      <c r="BG148" s="197">
        <f t="shared" si="375"/>
        <v>-438.31500000000005</v>
      </c>
      <c r="BH148" s="197">
        <f t="shared" si="376"/>
        <v>-218.31500000000005</v>
      </c>
      <c r="BI148" s="196">
        <f t="shared" si="406"/>
        <v>434.11753488745808</v>
      </c>
      <c r="BJ148" s="197">
        <f t="shared" si="407"/>
        <v>148.62411714167567</v>
      </c>
      <c r="BK148" s="197">
        <f t="shared" si="408"/>
        <v>730.22744354633801</v>
      </c>
      <c r="BL148" s="197">
        <f t="shared" si="409"/>
        <v>-296.10990865887993</v>
      </c>
      <c r="BM148" s="199">
        <f t="shared" si="410"/>
        <v>-147.48579151720426</v>
      </c>
      <c r="BN148" s="196">
        <f t="shared" si="411"/>
        <v>5854.6616278135389</v>
      </c>
      <c r="BO148" s="197">
        <f t="shared" si="412"/>
        <v>2004.397071458106</v>
      </c>
      <c r="BP148" s="197">
        <f t="shared" si="413"/>
        <v>9848.1039113415391</v>
      </c>
      <c r="BQ148" s="197">
        <f t="shared" si="414"/>
        <v>-3993.4422835279993</v>
      </c>
      <c r="BR148" s="199">
        <f t="shared" si="415"/>
        <v>-1989.0452120698931</v>
      </c>
      <c r="BV148" s="881">
        <v>11</v>
      </c>
      <c r="BW148" s="892">
        <f>'Arable Inputs'!$H$18</f>
        <v>12</v>
      </c>
      <c r="BX148" s="747">
        <f>'Arable Inputs'!$H$25*$BY$134</f>
        <v>214.2</v>
      </c>
      <c r="BY148" s="749">
        <f t="shared" si="416"/>
        <v>2570.3999999999996</v>
      </c>
      <c r="BZ148" s="197">
        <f>'Arable NPV'!$D127</f>
        <v>220</v>
      </c>
      <c r="CA148" s="197">
        <f t="shared" si="441"/>
        <v>2790.3999999999996</v>
      </c>
      <c r="CB148" s="197">
        <f>'Arable NPV'!$F127</f>
        <v>528.51499999999999</v>
      </c>
      <c r="CC148" s="197">
        <f>'Arable NPV'!$G127</f>
        <v>552.40000000000009</v>
      </c>
      <c r="CD148" s="197">
        <f t="shared" si="377"/>
        <v>1080.915</v>
      </c>
      <c r="CE148" s="197">
        <f t="shared" si="378"/>
        <v>1489.4849999999997</v>
      </c>
      <c r="CF148" s="197">
        <f t="shared" si="379"/>
        <v>1709.4849999999997</v>
      </c>
      <c r="CG148" s="196">
        <f t="shared" si="417"/>
        <v>1736.4701395498323</v>
      </c>
      <c r="CH148" s="197">
        <f t="shared" si="418"/>
        <v>148.62411714167567</v>
      </c>
      <c r="CI148" s="197">
        <f t="shared" si="419"/>
        <v>730.22744354633801</v>
      </c>
      <c r="CJ148" s="197">
        <f t="shared" si="420"/>
        <v>1006.2426960034943</v>
      </c>
      <c r="CK148" s="199">
        <f t="shared" si="421"/>
        <v>1154.86681314517</v>
      </c>
      <c r="CL148" s="196">
        <f t="shared" si="422"/>
        <v>23418.646511254155</v>
      </c>
      <c r="CM148" s="197">
        <f t="shared" si="423"/>
        <v>2004.397071458106</v>
      </c>
      <c r="CN148" s="197">
        <f t="shared" si="424"/>
        <v>9848.1039113415391</v>
      </c>
      <c r="CO148" s="197">
        <f t="shared" si="425"/>
        <v>13570.542599912618</v>
      </c>
      <c r="CP148" s="199">
        <f t="shared" si="426"/>
        <v>15574.939671370725</v>
      </c>
      <c r="CT148" s="881">
        <v>11</v>
      </c>
      <c r="CU148" s="892">
        <f>'Arable Inputs'!$H$18</f>
        <v>12</v>
      </c>
      <c r="CV148" s="747">
        <f>'Arable Inputs'!$H$25*$CW$134</f>
        <v>0</v>
      </c>
      <c r="CW148" s="749">
        <f t="shared" si="427"/>
        <v>0</v>
      </c>
      <c r="CX148" s="197">
        <f>'Arable NPV'!$D127</f>
        <v>220</v>
      </c>
      <c r="CY148" s="197">
        <f t="shared" si="442"/>
        <v>220</v>
      </c>
      <c r="CZ148" s="197">
        <f>'Arable NPV'!$F127</f>
        <v>528.51499999999999</v>
      </c>
      <c r="DA148" s="197">
        <f>'Arable NPV'!$G127</f>
        <v>552.40000000000009</v>
      </c>
      <c r="DB148" s="197">
        <f t="shared" si="380"/>
        <v>1080.915</v>
      </c>
      <c r="DC148" s="197">
        <f t="shared" si="381"/>
        <v>-1080.915</v>
      </c>
      <c r="DD148" s="197">
        <f t="shared" si="382"/>
        <v>-860.91499999999996</v>
      </c>
      <c r="DE148" s="196">
        <f t="shared" si="428"/>
        <v>0</v>
      </c>
      <c r="DF148" s="197">
        <f t="shared" si="429"/>
        <v>148.62411714167567</v>
      </c>
      <c r="DG148" s="197">
        <f t="shared" si="430"/>
        <v>730.22744354633801</v>
      </c>
      <c r="DH148" s="197">
        <f t="shared" si="431"/>
        <v>-730.22744354633801</v>
      </c>
      <c r="DI148" s="199">
        <f t="shared" si="432"/>
        <v>-581.60332640466231</v>
      </c>
      <c r="DJ148" s="196">
        <f t="shared" si="433"/>
        <v>0</v>
      </c>
      <c r="DK148" s="197">
        <f t="shared" si="434"/>
        <v>2004.397071458106</v>
      </c>
      <c r="DL148" s="197">
        <f t="shared" si="435"/>
        <v>9848.1039113415391</v>
      </c>
      <c r="DM148" s="197">
        <f t="shared" si="436"/>
        <v>-9848.1039113415391</v>
      </c>
      <c r="DN148" s="199">
        <f t="shared" si="437"/>
        <v>-7843.7068398834326</v>
      </c>
    </row>
    <row r="149" spans="2:118" x14ac:dyDescent="0.3">
      <c r="B149" s="881">
        <v>12</v>
      </c>
      <c r="C149" s="892">
        <f>'Arable Inputs'!$H$18</f>
        <v>12</v>
      </c>
      <c r="D149" s="747">
        <f>'Arable Inputs'!$H$25*$E$134</f>
        <v>107.1</v>
      </c>
      <c r="E149" s="749">
        <f t="shared" si="383"/>
        <v>1285.1999999999998</v>
      </c>
      <c r="F149" s="197">
        <f>'Arable NPV'!$D128</f>
        <v>220</v>
      </c>
      <c r="G149" s="197">
        <f t="shared" si="438"/>
        <v>1505.1999999999998</v>
      </c>
      <c r="H149" s="197">
        <f>'Arable NPV'!$F128</f>
        <v>528.51499999999999</v>
      </c>
      <c r="I149" s="197">
        <f>'Arable NPV'!$G128</f>
        <v>552.40000000000009</v>
      </c>
      <c r="J149" s="197">
        <f t="shared" si="368"/>
        <v>1080.915</v>
      </c>
      <c r="K149" s="197">
        <f t="shared" si="369"/>
        <v>204.28499999999985</v>
      </c>
      <c r="L149" s="197">
        <f t="shared" si="370"/>
        <v>424.28499999999985</v>
      </c>
      <c r="M149" s="196">
        <f t="shared" si="384"/>
        <v>834.84141324511177</v>
      </c>
      <c r="N149" s="197">
        <f t="shared" si="385"/>
        <v>142.90780494391893</v>
      </c>
      <c r="O149" s="197">
        <f t="shared" si="386"/>
        <v>702.14177264070963</v>
      </c>
      <c r="P149" s="197">
        <f t="shared" si="387"/>
        <v>132.69964060440208</v>
      </c>
      <c r="Q149" s="199">
        <f t="shared" si="388"/>
        <v>275.60744554832104</v>
      </c>
      <c r="R149" s="196">
        <f t="shared" si="389"/>
        <v>12544.16466887219</v>
      </c>
      <c r="S149" s="197">
        <f t="shared" si="390"/>
        <v>2147.304876402025</v>
      </c>
      <c r="T149" s="197">
        <f t="shared" si="391"/>
        <v>10550.245683982248</v>
      </c>
      <c r="U149" s="197">
        <f t="shared" si="392"/>
        <v>1993.9189848899425</v>
      </c>
      <c r="V149" s="199">
        <f t="shared" si="393"/>
        <v>4141.2238612919673</v>
      </c>
      <c r="Z149" s="881">
        <v>12</v>
      </c>
      <c r="AA149" s="892">
        <f>'Arable Inputs'!$H$18</f>
        <v>12</v>
      </c>
      <c r="AB149" s="747">
        <f>'Arable Inputs'!$H$25*$AC$134</f>
        <v>160.64999999999998</v>
      </c>
      <c r="AC149" s="749">
        <f t="shared" si="394"/>
        <v>1927.7999999999997</v>
      </c>
      <c r="AD149" s="197">
        <f>'Arable NPV'!$D128</f>
        <v>220</v>
      </c>
      <c r="AE149" s="197">
        <f t="shared" si="439"/>
        <v>2147.7999999999997</v>
      </c>
      <c r="AF149" s="197">
        <f>'Arable NPV'!$F128</f>
        <v>528.51499999999999</v>
      </c>
      <c r="AG149" s="197">
        <f>'Arable NPV'!$G128</f>
        <v>552.40000000000009</v>
      </c>
      <c r="AH149" s="197">
        <f t="shared" si="371"/>
        <v>1080.915</v>
      </c>
      <c r="AI149" s="197">
        <f t="shared" si="372"/>
        <v>846.88499999999976</v>
      </c>
      <c r="AJ149" s="197">
        <f t="shared" si="373"/>
        <v>1066.8849999999998</v>
      </c>
      <c r="AK149" s="196">
        <f t="shared" si="395"/>
        <v>1252.2621198676677</v>
      </c>
      <c r="AL149" s="197">
        <f t="shared" si="396"/>
        <v>142.90780494391893</v>
      </c>
      <c r="AM149" s="197">
        <f t="shared" si="397"/>
        <v>702.14177264070963</v>
      </c>
      <c r="AN149" s="197">
        <f t="shared" si="398"/>
        <v>550.12034722695796</v>
      </c>
      <c r="AO149" s="199">
        <f t="shared" si="399"/>
        <v>693.02815217087687</v>
      </c>
      <c r="AP149" s="196">
        <f t="shared" si="400"/>
        <v>18816.247003308286</v>
      </c>
      <c r="AQ149" s="197">
        <f t="shared" si="401"/>
        <v>2147.304876402025</v>
      </c>
      <c r="AR149" s="197">
        <f t="shared" si="402"/>
        <v>10550.245683982248</v>
      </c>
      <c r="AS149" s="197">
        <f t="shared" si="403"/>
        <v>8266.0013193260365</v>
      </c>
      <c r="AT149" s="199">
        <f t="shared" si="404"/>
        <v>10413.306195728061</v>
      </c>
      <c r="AX149" s="881">
        <v>12</v>
      </c>
      <c r="AY149" s="892">
        <f>'Arable Inputs'!$H$18</f>
        <v>12</v>
      </c>
      <c r="AZ149" s="747">
        <f>'Arable Inputs'!$H$25*$BA$134</f>
        <v>53.55</v>
      </c>
      <c r="BA149" s="749">
        <f t="shared" si="405"/>
        <v>642.59999999999991</v>
      </c>
      <c r="BB149" s="197">
        <f>'Arable NPV'!$D128</f>
        <v>220</v>
      </c>
      <c r="BC149" s="197">
        <f t="shared" si="440"/>
        <v>862.59999999999991</v>
      </c>
      <c r="BD149" s="197">
        <f>'Arable NPV'!$F128</f>
        <v>528.51499999999999</v>
      </c>
      <c r="BE149" s="197">
        <f>'Arable NPV'!$G128</f>
        <v>552.40000000000009</v>
      </c>
      <c r="BF149" s="197">
        <f t="shared" si="374"/>
        <v>1080.915</v>
      </c>
      <c r="BG149" s="197">
        <f t="shared" si="375"/>
        <v>-438.31500000000005</v>
      </c>
      <c r="BH149" s="197">
        <f t="shared" si="376"/>
        <v>-218.31500000000005</v>
      </c>
      <c r="BI149" s="196">
        <f t="shared" si="406"/>
        <v>417.42070662255588</v>
      </c>
      <c r="BJ149" s="197">
        <f t="shared" si="407"/>
        <v>142.90780494391893</v>
      </c>
      <c r="BK149" s="197">
        <f t="shared" si="408"/>
        <v>702.14177264070963</v>
      </c>
      <c r="BL149" s="197">
        <f t="shared" si="409"/>
        <v>-284.72106601815381</v>
      </c>
      <c r="BM149" s="199">
        <f t="shared" si="410"/>
        <v>-141.81326107423487</v>
      </c>
      <c r="BN149" s="196">
        <f t="shared" si="411"/>
        <v>6272.0823344360952</v>
      </c>
      <c r="BO149" s="197">
        <f t="shared" si="412"/>
        <v>2147.304876402025</v>
      </c>
      <c r="BP149" s="197">
        <f t="shared" si="413"/>
        <v>10550.245683982248</v>
      </c>
      <c r="BQ149" s="197">
        <f t="shared" si="414"/>
        <v>-4278.1633495461529</v>
      </c>
      <c r="BR149" s="199">
        <f t="shared" si="415"/>
        <v>-2130.8584731441279</v>
      </c>
      <c r="BV149" s="881">
        <v>12</v>
      </c>
      <c r="BW149" s="892">
        <f>'Arable Inputs'!$H$18</f>
        <v>12</v>
      </c>
      <c r="BX149" s="747">
        <f>'Arable Inputs'!$H$25*$BY$134</f>
        <v>214.2</v>
      </c>
      <c r="BY149" s="749">
        <f t="shared" si="416"/>
        <v>2570.3999999999996</v>
      </c>
      <c r="BZ149" s="197">
        <f>'Arable NPV'!$D128</f>
        <v>220</v>
      </c>
      <c r="CA149" s="197">
        <f t="shared" si="441"/>
        <v>2790.3999999999996</v>
      </c>
      <c r="CB149" s="197">
        <f>'Arable NPV'!$F128</f>
        <v>528.51499999999999</v>
      </c>
      <c r="CC149" s="197">
        <f>'Arable NPV'!$G128</f>
        <v>552.40000000000009</v>
      </c>
      <c r="CD149" s="197">
        <f t="shared" si="377"/>
        <v>1080.915</v>
      </c>
      <c r="CE149" s="197">
        <f t="shared" si="378"/>
        <v>1489.4849999999997</v>
      </c>
      <c r="CF149" s="197">
        <f t="shared" si="379"/>
        <v>1709.4849999999997</v>
      </c>
      <c r="CG149" s="196">
        <f t="shared" si="417"/>
        <v>1669.6828264902235</v>
      </c>
      <c r="CH149" s="197">
        <f t="shared" si="418"/>
        <v>142.90780494391893</v>
      </c>
      <c r="CI149" s="197">
        <f t="shared" si="419"/>
        <v>702.14177264070963</v>
      </c>
      <c r="CJ149" s="197">
        <f t="shared" si="420"/>
        <v>967.5410538495139</v>
      </c>
      <c r="CK149" s="199">
        <f t="shared" si="421"/>
        <v>1110.4488587934327</v>
      </c>
      <c r="CL149" s="196">
        <f t="shared" si="422"/>
        <v>25088.329337744381</v>
      </c>
      <c r="CM149" s="197">
        <f t="shared" si="423"/>
        <v>2147.304876402025</v>
      </c>
      <c r="CN149" s="197">
        <f t="shared" si="424"/>
        <v>10550.245683982248</v>
      </c>
      <c r="CO149" s="197">
        <f t="shared" si="425"/>
        <v>14538.083653762133</v>
      </c>
      <c r="CP149" s="199">
        <f t="shared" si="426"/>
        <v>16685.388530164157</v>
      </c>
      <c r="CT149" s="881">
        <v>12</v>
      </c>
      <c r="CU149" s="892">
        <f>'Arable Inputs'!$H$18</f>
        <v>12</v>
      </c>
      <c r="CV149" s="747">
        <f>'Arable Inputs'!$H$25*$CW$134</f>
        <v>0</v>
      </c>
      <c r="CW149" s="749">
        <f t="shared" si="427"/>
        <v>0</v>
      </c>
      <c r="CX149" s="197">
        <f>'Arable NPV'!$D128</f>
        <v>220</v>
      </c>
      <c r="CY149" s="197">
        <f t="shared" si="442"/>
        <v>220</v>
      </c>
      <c r="CZ149" s="197">
        <f>'Arable NPV'!$F128</f>
        <v>528.51499999999999</v>
      </c>
      <c r="DA149" s="197">
        <f>'Arable NPV'!$G128</f>
        <v>552.40000000000009</v>
      </c>
      <c r="DB149" s="197">
        <f t="shared" si="380"/>
        <v>1080.915</v>
      </c>
      <c r="DC149" s="197">
        <f t="shared" si="381"/>
        <v>-1080.915</v>
      </c>
      <c r="DD149" s="197">
        <f t="shared" si="382"/>
        <v>-860.91499999999996</v>
      </c>
      <c r="DE149" s="196">
        <f t="shared" si="428"/>
        <v>0</v>
      </c>
      <c r="DF149" s="197">
        <f t="shared" si="429"/>
        <v>142.90780494391893</v>
      </c>
      <c r="DG149" s="197">
        <f t="shared" si="430"/>
        <v>702.14177264070963</v>
      </c>
      <c r="DH149" s="197">
        <f t="shared" si="431"/>
        <v>-702.14177264070963</v>
      </c>
      <c r="DI149" s="199">
        <f t="shared" si="432"/>
        <v>-559.23396769679073</v>
      </c>
      <c r="DJ149" s="196">
        <f t="shared" si="433"/>
        <v>0</v>
      </c>
      <c r="DK149" s="197">
        <f t="shared" si="434"/>
        <v>2147.304876402025</v>
      </c>
      <c r="DL149" s="197">
        <f t="shared" si="435"/>
        <v>10550.245683982248</v>
      </c>
      <c r="DM149" s="197">
        <f t="shared" si="436"/>
        <v>-10550.245683982248</v>
      </c>
      <c r="DN149" s="199">
        <f t="shared" si="437"/>
        <v>-8402.9408075802239</v>
      </c>
    </row>
    <row r="150" spans="2:118" x14ac:dyDescent="0.3">
      <c r="B150" s="881">
        <v>13</v>
      </c>
      <c r="C150" s="892">
        <f>'Arable Inputs'!$H$18</f>
        <v>12</v>
      </c>
      <c r="D150" s="747">
        <f>'Arable Inputs'!$H$25*$E$134</f>
        <v>107.1</v>
      </c>
      <c r="E150" s="749">
        <f t="shared" si="383"/>
        <v>1285.1999999999998</v>
      </c>
      <c r="F150" s="197">
        <f>'Arable NPV'!$D129</f>
        <v>220</v>
      </c>
      <c r="G150" s="197">
        <f t="shared" si="438"/>
        <v>1505.1999999999998</v>
      </c>
      <c r="H150" s="197">
        <f>'Arable NPV'!$F129</f>
        <v>528.51499999999999</v>
      </c>
      <c r="I150" s="197">
        <f>'Arable NPV'!$G129</f>
        <v>552.40000000000009</v>
      </c>
      <c r="J150" s="197">
        <f t="shared" si="368"/>
        <v>1080.915</v>
      </c>
      <c r="K150" s="197">
        <f t="shared" si="369"/>
        <v>204.28499999999985</v>
      </c>
      <c r="L150" s="197">
        <f t="shared" si="370"/>
        <v>424.28499999999985</v>
      </c>
      <c r="M150" s="196">
        <f t="shared" si="384"/>
        <v>802.73212812029965</v>
      </c>
      <c r="N150" s="197">
        <f t="shared" si="385"/>
        <v>137.41135090761432</v>
      </c>
      <c r="O150" s="197">
        <f t="shared" si="386"/>
        <v>675.13631984683605</v>
      </c>
      <c r="P150" s="197">
        <f t="shared" si="387"/>
        <v>127.59580827346352</v>
      </c>
      <c r="Q150" s="199">
        <f t="shared" si="388"/>
        <v>265.00715918107784</v>
      </c>
      <c r="R150" s="196">
        <f t="shared" si="389"/>
        <v>13346.896796992491</v>
      </c>
      <c r="S150" s="197">
        <f t="shared" si="390"/>
        <v>2284.7162273096392</v>
      </c>
      <c r="T150" s="197">
        <f t="shared" si="391"/>
        <v>11225.382003829083</v>
      </c>
      <c r="U150" s="197">
        <f t="shared" si="392"/>
        <v>2121.514793163406</v>
      </c>
      <c r="V150" s="199">
        <f t="shared" si="393"/>
        <v>4406.2310204730447</v>
      </c>
      <c r="Z150" s="881">
        <v>13</v>
      </c>
      <c r="AA150" s="892">
        <f>'Arable Inputs'!$H$18</f>
        <v>12</v>
      </c>
      <c r="AB150" s="747">
        <f>'Arable Inputs'!$H$25*$AC$134</f>
        <v>160.64999999999998</v>
      </c>
      <c r="AC150" s="749">
        <f t="shared" si="394"/>
        <v>1927.7999999999997</v>
      </c>
      <c r="AD150" s="197">
        <f>'Arable NPV'!$D129</f>
        <v>220</v>
      </c>
      <c r="AE150" s="197">
        <f t="shared" si="439"/>
        <v>2147.7999999999997</v>
      </c>
      <c r="AF150" s="197">
        <f>'Arable NPV'!$F129</f>
        <v>528.51499999999999</v>
      </c>
      <c r="AG150" s="197">
        <f>'Arable NPV'!$G129</f>
        <v>552.40000000000009</v>
      </c>
      <c r="AH150" s="197">
        <f t="shared" si="371"/>
        <v>1080.915</v>
      </c>
      <c r="AI150" s="197">
        <f t="shared" si="372"/>
        <v>846.88499999999976</v>
      </c>
      <c r="AJ150" s="197">
        <f t="shared" si="373"/>
        <v>1066.8849999999998</v>
      </c>
      <c r="AK150" s="196">
        <f t="shared" si="395"/>
        <v>1204.0981921804494</v>
      </c>
      <c r="AL150" s="197">
        <f t="shared" si="396"/>
        <v>137.41135090761432</v>
      </c>
      <c r="AM150" s="197">
        <f t="shared" si="397"/>
        <v>675.13631984683605</v>
      </c>
      <c r="AN150" s="197">
        <f t="shared" si="398"/>
        <v>528.96187233361331</v>
      </c>
      <c r="AO150" s="199">
        <f t="shared" si="399"/>
        <v>666.37322324122761</v>
      </c>
      <c r="AP150" s="196">
        <f t="shared" si="400"/>
        <v>20020.345195488735</v>
      </c>
      <c r="AQ150" s="197">
        <f t="shared" si="401"/>
        <v>2284.7162273096392</v>
      </c>
      <c r="AR150" s="197">
        <f t="shared" si="402"/>
        <v>11225.382003829083</v>
      </c>
      <c r="AS150" s="197">
        <f t="shared" si="403"/>
        <v>8794.96319165965</v>
      </c>
      <c r="AT150" s="199">
        <f t="shared" si="404"/>
        <v>11079.679418969288</v>
      </c>
      <c r="AX150" s="881">
        <v>13</v>
      </c>
      <c r="AY150" s="892">
        <f>'Arable Inputs'!$H$18</f>
        <v>12</v>
      </c>
      <c r="AZ150" s="747">
        <f>'Arable Inputs'!$H$25*$BA$134</f>
        <v>53.55</v>
      </c>
      <c r="BA150" s="749">
        <f t="shared" si="405"/>
        <v>642.59999999999991</v>
      </c>
      <c r="BB150" s="197">
        <f>'Arable NPV'!$D129</f>
        <v>220</v>
      </c>
      <c r="BC150" s="197">
        <f t="shared" si="440"/>
        <v>862.59999999999991</v>
      </c>
      <c r="BD150" s="197">
        <f>'Arable NPV'!$F129</f>
        <v>528.51499999999999</v>
      </c>
      <c r="BE150" s="197">
        <f>'Arable NPV'!$G129</f>
        <v>552.40000000000009</v>
      </c>
      <c r="BF150" s="197">
        <f t="shared" si="374"/>
        <v>1080.915</v>
      </c>
      <c r="BG150" s="197">
        <f t="shared" si="375"/>
        <v>-438.31500000000005</v>
      </c>
      <c r="BH150" s="197">
        <f t="shared" si="376"/>
        <v>-218.31500000000005</v>
      </c>
      <c r="BI150" s="196">
        <f t="shared" si="406"/>
        <v>401.36606406014982</v>
      </c>
      <c r="BJ150" s="197">
        <f t="shared" si="407"/>
        <v>137.41135090761432</v>
      </c>
      <c r="BK150" s="197">
        <f t="shared" si="408"/>
        <v>675.13631984683605</v>
      </c>
      <c r="BL150" s="197">
        <f t="shared" si="409"/>
        <v>-273.77025578668628</v>
      </c>
      <c r="BM150" s="199">
        <f t="shared" si="410"/>
        <v>-136.35890487907196</v>
      </c>
      <c r="BN150" s="196">
        <f t="shared" si="411"/>
        <v>6673.4483984962453</v>
      </c>
      <c r="BO150" s="197">
        <f t="shared" si="412"/>
        <v>2284.7162273096392</v>
      </c>
      <c r="BP150" s="197">
        <f t="shared" si="413"/>
        <v>11225.382003829083</v>
      </c>
      <c r="BQ150" s="197">
        <f t="shared" si="414"/>
        <v>-4551.9336053328389</v>
      </c>
      <c r="BR150" s="199">
        <f t="shared" si="415"/>
        <v>-2267.2173780231997</v>
      </c>
      <c r="BV150" s="881">
        <v>13</v>
      </c>
      <c r="BW150" s="892">
        <f>'Arable Inputs'!$H$18</f>
        <v>12</v>
      </c>
      <c r="BX150" s="747">
        <f>'Arable Inputs'!$H$25*$BY$134</f>
        <v>214.2</v>
      </c>
      <c r="BY150" s="749">
        <f t="shared" si="416"/>
        <v>2570.3999999999996</v>
      </c>
      <c r="BZ150" s="197">
        <f>'Arable NPV'!$D129</f>
        <v>220</v>
      </c>
      <c r="CA150" s="197">
        <f t="shared" si="441"/>
        <v>2790.3999999999996</v>
      </c>
      <c r="CB150" s="197">
        <f>'Arable NPV'!$F129</f>
        <v>528.51499999999999</v>
      </c>
      <c r="CC150" s="197">
        <f>'Arable NPV'!$G129</f>
        <v>552.40000000000009</v>
      </c>
      <c r="CD150" s="197">
        <f t="shared" si="377"/>
        <v>1080.915</v>
      </c>
      <c r="CE150" s="197">
        <f t="shared" si="378"/>
        <v>1489.4849999999997</v>
      </c>
      <c r="CF150" s="197">
        <f t="shared" si="379"/>
        <v>1709.4849999999997</v>
      </c>
      <c r="CG150" s="196">
        <f t="shared" si="417"/>
        <v>1605.4642562405993</v>
      </c>
      <c r="CH150" s="197">
        <f t="shared" si="418"/>
        <v>137.41135090761432</v>
      </c>
      <c r="CI150" s="197">
        <f t="shared" si="419"/>
        <v>675.13631984683605</v>
      </c>
      <c r="CJ150" s="197">
        <f t="shared" si="420"/>
        <v>930.32793639376314</v>
      </c>
      <c r="CK150" s="199">
        <f t="shared" si="421"/>
        <v>1067.7392873013775</v>
      </c>
      <c r="CL150" s="196">
        <f t="shared" si="422"/>
        <v>26693.793593984981</v>
      </c>
      <c r="CM150" s="197">
        <f t="shared" si="423"/>
        <v>2284.7162273096392</v>
      </c>
      <c r="CN150" s="197">
        <f t="shared" si="424"/>
        <v>11225.382003829083</v>
      </c>
      <c r="CO150" s="197">
        <f t="shared" si="425"/>
        <v>15468.411590155896</v>
      </c>
      <c r="CP150" s="199">
        <f t="shared" si="426"/>
        <v>17753.127817465534</v>
      </c>
      <c r="CT150" s="881">
        <v>13</v>
      </c>
      <c r="CU150" s="892">
        <f>'Arable Inputs'!$H$18</f>
        <v>12</v>
      </c>
      <c r="CV150" s="747">
        <f>'Arable Inputs'!$H$25*$CW$134</f>
        <v>0</v>
      </c>
      <c r="CW150" s="749">
        <f t="shared" si="427"/>
        <v>0</v>
      </c>
      <c r="CX150" s="197">
        <f>'Arable NPV'!$D129</f>
        <v>220</v>
      </c>
      <c r="CY150" s="197">
        <f t="shared" si="442"/>
        <v>220</v>
      </c>
      <c r="CZ150" s="197">
        <f>'Arable NPV'!$F129</f>
        <v>528.51499999999999</v>
      </c>
      <c r="DA150" s="197">
        <f>'Arable NPV'!$G129</f>
        <v>552.40000000000009</v>
      </c>
      <c r="DB150" s="197">
        <f t="shared" si="380"/>
        <v>1080.915</v>
      </c>
      <c r="DC150" s="197">
        <f t="shared" si="381"/>
        <v>-1080.915</v>
      </c>
      <c r="DD150" s="197">
        <f t="shared" si="382"/>
        <v>-860.91499999999996</v>
      </c>
      <c r="DE150" s="196">
        <f t="shared" si="428"/>
        <v>0</v>
      </c>
      <c r="DF150" s="197">
        <f t="shared" si="429"/>
        <v>137.41135090761432</v>
      </c>
      <c r="DG150" s="197">
        <f t="shared" si="430"/>
        <v>675.13631984683605</v>
      </c>
      <c r="DH150" s="197">
        <f t="shared" si="431"/>
        <v>-675.13631984683605</v>
      </c>
      <c r="DI150" s="199">
        <f t="shared" si="432"/>
        <v>-537.72496893922175</v>
      </c>
      <c r="DJ150" s="196">
        <f t="shared" si="433"/>
        <v>0</v>
      </c>
      <c r="DK150" s="197">
        <f t="shared" si="434"/>
        <v>2284.7162273096392</v>
      </c>
      <c r="DL150" s="197">
        <f t="shared" si="435"/>
        <v>11225.382003829083</v>
      </c>
      <c r="DM150" s="197">
        <f t="shared" si="436"/>
        <v>-11225.382003829083</v>
      </c>
      <c r="DN150" s="199">
        <f t="shared" si="437"/>
        <v>-8940.665776519445</v>
      </c>
    </row>
    <row r="151" spans="2:118" x14ac:dyDescent="0.3">
      <c r="B151" s="881">
        <v>14</v>
      </c>
      <c r="C151" s="892">
        <f>'Arable Inputs'!$H$18</f>
        <v>12</v>
      </c>
      <c r="D151" s="747">
        <f>'Arable Inputs'!$H$25*$E$134</f>
        <v>107.1</v>
      </c>
      <c r="E151" s="749">
        <f t="shared" si="383"/>
        <v>1285.1999999999998</v>
      </c>
      <c r="F151" s="197">
        <f>'Arable NPV'!$D130</f>
        <v>220</v>
      </c>
      <c r="G151" s="197">
        <f t="shared" si="438"/>
        <v>1505.1999999999998</v>
      </c>
      <c r="H151" s="197">
        <f>'Arable NPV'!$F130</f>
        <v>528.51499999999999</v>
      </c>
      <c r="I151" s="197">
        <f>'Arable NPV'!$G130</f>
        <v>552.40000000000009</v>
      </c>
      <c r="J151" s="197">
        <f t="shared" si="368"/>
        <v>1080.915</v>
      </c>
      <c r="K151" s="197">
        <f t="shared" si="369"/>
        <v>204.28499999999985</v>
      </c>
      <c r="L151" s="197">
        <f t="shared" si="370"/>
        <v>424.28499999999985</v>
      </c>
      <c r="M151" s="196">
        <f t="shared" si="384"/>
        <v>771.8578155002881</v>
      </c>
      <c r="N151" s="197">
        <f t="shared" si="385"/>
        <v>132.12629894962916</v>
      </c>
      <c r="O151" s="197">
        <f t="shared" si="386"/>
        <v>649.16953831426542</v>
      </c>
      <c r="P151" s="197">
        <f t="shared" si="387"/>
        <v>122.6882771860226</v>
      </c>
      <c r="Q151" s="199">
        <f t="shared" si="388"/>
        <v>254.81457613565178</v>
      </c>
      <c r="R151" s="196">
        <f t="shared" si="389"/>
        <v>14118.754612492779</v>
      </c>
      <c r="S151" s="197">
        <f t="shared" si="390"/>
        <v>2416.8425262592682</v>
      </c>
      <c r="T151" s="197">
        <f t="shared" si="391"/>
        <v>11874.551542143348</v>
      </c>
      <c r="U151" s="197">
        <f t="shared" si="392"/>
        <v>2244.2030703494288</v>
      </c>
      <c r="V151" s="199">
        <f t="shared" si="393"/>
        <v>4661.0455966086965</v>
      </c>
      <c r="Z151" s="881">
        <v>14</v>
      </c>
      <c r="AA151" s="892">
        <f>'Arable Inputs'!$H$18</f>
        <v>12</v>
      </c>
      <c r="AB151" s="747">
        <f>'Arable Inputs'!$H$25*$AC$134</f>
        <v>160.64999999999998</v>
      </c>
      <c r="AC151" s="749">
        <f t="shared" si="394"/>
        <v>1927.7999999999997</v>
      </c>
      <c r="AD151" s="197">
        <f>'Arable NPV'!$D130</f>
        <v>220</v>
      </c>
      <c r="AE151" s="197">
        <f t="shared" si="439"/>
        <v>2147.7999999999997</v>
      </c>
      <c r="AF151" s="197">
        <f>'Arable NPV'!$F130</f>
        <v>528.51499999999999</v>
      </c>
      <c r="AG151" s="197">
        <f>'Arable NPV'!$G130</f>
        <v>552.40000000000009</v>
      </c>
      <c r="AH151" s="197">
        <f t="shared" si="371"/>
        <v>1080.915</v>
      </c>
      <c r="AI151" s="197">
        <f t="shared" si="372"/>
        <v>846.88499999999976</v>
      </c>
      <c r="AJ151" s="197">
        <f t="shared" si="373"/>
        <v>1066.8849999999998</v>
      </c>
      <c r="AK151" s="196">
        <f t="shared" si="395"/>
        <v>1157.786723250432</v>
      </c>
      <c r="AL151" s="197">
        <f t="shared" si="396"/>
        <v>132.12629894962916</v>
      </c>
      <c r="AM151" s="197">
        <f t="shared" si="397"/>
        <v>649.16953831426542</v>
      </c>
      <c r="AN151" s="197">
        <f t="shared" si="398"/>
        <v>508.61718493616667</v>
      </c>
      <c r="AO151" s="199">
        <f t="shared" si="399"/>
        <v>640.74348388579585</v>
      </c>
      <c r="AP151" s="196">
        <f t="shared" si="400"/>
        <v>21178.131918739167</v>
      </c>
      <c r="AQ151" s="197">
        <f t="shared" si="401"/>
        <v>2416.8425262592682</v>
      </c>
      <c r="AR151" s="197">
        <f t="shared" si="402"/>
        <v>11874.551542143348</v>
      </c>
      <c r="AS151" s="197">
        <f t="shared" si="403"/>
        <v>9303.5803765958171</v>
      </c>
      <c r="AT151" s="199">
        <f t="shared" si="404"/>
        <v>11720.422902855084</v>
      </c>
      <c r="AX151" s="881">
        <v>14</v>
      </c>
      <c r="AY151" s="892">
        <f>'Arable Inputs'!$H$18</f>
        <v>12</v>
      </c>
      <c r="AZ151" s="747">
        <f>'Arable Inputs'!$H$25*$BA$134</f>
        <v>53.55</v>
      </c>
      <c r="BA151" s="749">
        <f t="shared" si="405"/>
        <v>642.59999999999991</v>
      </c>
      <c r="BB151" s="197">
        <f>'Arable NPV'!$D130</f>
        <v>220</v>
      </c>
      <c r="BC151" s="197">
        <f t="shared" si="440"/>
        <v>862.59999999999991</v>
      </c>
      <c r="BD151" s="197">
        <f>'Arable NPV'!$F130</f>
        <v>528.51499999999999</v>
      </c>
      <c r="BE151" s="197">
        <f>'Arable NPV'!$G130</f>
        <v>552.40000000000009</v>
      </c>
      <c r="BF151" s="197">
        <f t="shared" si="374"/>
        <v>1080.915</v>
      </c>
      <c r="BG151" s="197">
        <f t="shared" si="375"/>
        <v>-438.31500000000005</v>
      </c>
      <c r="BH151" s="197">
        <f t="shared" si="376"/>
        <v>-218.31500000000005</v>
      </c>
      <c r="BI151" s="196">
        <f t="shared" si="406"/>
        <v>385.92890775014405</v>
      </c>
      <c r="BJ151" s="197">
        <f t="shared" si="407"/>
        <v>132.12629894962916</v>
      </c>
      <c r="BK151" s="197">
        <f t="shared" si="408"/>
        <v>649.16953831426542</v>
      </c>
      <c r="BL151" s="197">
        <f t="shared" si="409"/>
        <v>-263.24063056412143</v>
      </c>
      <c r="BM151" s="199">
        <f t="shared" si="410"/>
        <v>-131.11433161449227</v>
      </c>
      <c r="BN151" s="196">
        <f t="shared" si="411"/>
        <v>7059.3773062463897</v>
      </c>
      <c r="BO151" s="197">
        <f t="shared" si="412"/>
        <v>2416.8425262592682</v>
      </c>
      <c r="BP151" s="197">
        <f t="shared" si="413"/>
        <v>11874.551542143348</v>
      </c>
      <c r="BQ151" s="197">
        <f t="shared" si="414"/>
        <v>-4815.1742358969605</v>
      </c>
      <c r="BR151" s="199">
        <f t="shared" si="415"/>
        <v>-2398.3317096376918</v>
      </c>
      <c r="BV151" s="881">
        <v>14</v>
      </c>
      <c r="BW151" s="892">
        <f>'Arable Inputs'!$H$18</f>
        <v>12</v>
      </c>
      <c r="BX151" s="747">
        <f>'Arable Inputs'!$H$25*$BY$134</f>
        <v>214.2</v>
      </c>
      <c r="BY151" s="749">
        <f t="shared" si="416"/>
        <v>2570.3999999999996</v>
      </c>
      <c r="BZ151" s="197">
        <f>'Arable NPV'!$D130</f>
        <v>220</v>
      </c>
      <c r="CA151" s="197">
        <f t="shared" si="441"/>
        <v>2790.3999999999996</v>
      </c>
      <c r="CB151" s="197">
        <f>'Arable NPV'!$F130</f>
        <v>528.51499999999999</v>
      </c>
      <c r="CC151" s="197">
        <f>'Arable NPV'!$G130</f>
        <v>552.40000000000009</v>
      </c>
      <c r="CD151" s="197">
        <f t="shared" si="377"/>
        <v>1080.915</v>
      </c>
      <c r="CE151" s="197">
        <f t="shared" si="378"/>
        <v>1489.4849999999997</v>
      </c>
      <c r="CF151" s="197">
        <f t="shared" si="379"/>
        <v>1709.4849999999997</v>
      </c>
      <c r="CG151" s="196">
        <f t="shared" si="417"/>
        <v>1543.7156310005762</v>
      </c>
      <c r="CH151" s="197">
        <f t="shared" si="418"/>
        <v>132.12629894962916</v>
      </c>
      <c r="CI151" s="197">
        <f t="shared" si="419"/>
        <v>649.16953831426542</v>
      </c>
      <c r="CJ151" s="197">
        <f t="shared" si="420"/>
        <v>894.54609268631066</v>
      </c>
      <c r="CK151" s="199">
        <f t="shared" si="421"/>
        <v>1026.6723916359399</v>
      </c>
      <c r="CL151" s="196">
        <f t="shared" si="422"/>
        <v>28237.509224985559</v>
      </c>
      <c r="CM151" s="197">
        <f t="shared" si="423"/>
        <v>2416.8425262592682</v>
      </c>
      <c r="CN151" s="197">
        <f t="shared" si="424"/>
        <v>11874.551542143348</v>
      </c>
      <c r="CO151" s="197">
        <f t="shared" si="425"/>
        <v>16362.957682842207</v>
      </c>
      <c r="CP151" s="199">
        <f t="shared" si="426"/>
        <v>18779.800209101475</v>
      </c>
      <c r="CT151" s="881">
        <v>14</v>
      </c>
      <c r="CU151" s="892">
        <f>'Arable Inputs'!$H$18</f>
        <v>12</v>
      </c>
      <c r="CV151" s="747">
        <f>'Arable Inputs'!$H$25*$CW$134</f>
        <v>0</v>
      </c>
      <c r="CW151" s="749">
        <f t="shared" si="427"/>
        <v>0</v>
      </c>
      <c r="CX151" s="197">
        <f>'Arable NPV'!$D130</f>
        <v>220</v>
      </c>
      <c r="CY151" s="197">
        <f t="shared" si="442"/>
        <v>220</v>
      </c>
      <c r="CZ151" s="197">
        <f>'Arable NPV'!$F130</f>
        <v>528.51499999999999</v>
      </c>
      <c r="DA151" s="197">
        <f>'Arable NPV'!$G130</f>
        <v>552.40000000000009</v>
      </c>
      <c r="DB151" s="197">
        <f t="shared" si="380"/>
        <v>1080.915</v>
      </c>
      <c r="DC151" s="197">
        <f t="shared" si="381"/>
        <v>-1080.915</v>
      </c>
      <c r="DD151" s="197">
        <f t="shared" si="382"/>
        <v>-860.91499999999996</v>
      </c>
      <c r="DE151" s="196">
        <f t="shared" si="428"/>
        <v>0</v>
      </c>
      <c r="DF151" s="197">
        <f t="shared" si="429"/>
        <v>132.12629894962916</v>
      </c>
      <c r="DG151" s="197">
        <f t="shared" si="430"/>
        <v>649.16953831426542</v>
      </c>
      <c r="DH151" s="197">
        <f t="shared" si="431"/>
        <v>-649.16953831426542</v>
      </c>
      <c r="DI151" s="199">
        <f t="shared" si="432"/>
        <v>-517.04323936463629</v>
      </c>
      <c r="DJ151" s="196">
        <f t="shared" si="433"/>
        <v>0</v>
      </c>
      <c r="DK151" s="197">
        <f t="shared" si="434"/>
        <v>2416.8425262592682</v>
      </c>
      <c r="DL151" s="197">
        <f t="shared" si="435"/>
        <v>11874.551542143348</v>
      </c>
      <c r="DM151" s="197">
        <f t="shared" si="436"/>
        <v>-11874.551542143348</v>
      </c>
      <c r="DN151" s="199">
        <f t="shared" si="437"/>
        <v>-9457.709015884082</v>
      </c>
    </row>
    <row r="152" spans="2:118" x14ac:dyDescent="0.3">
      <c r="B152" s="881">
        <v>15</v>
      </c>
      <c r="C152" s="892">
        <f>'Arable Inputs'!$H$18</f>
        <v>12</v>
      </c>
      <c r="D152" s="747">
        <f>'Arable Inputs'!$H$25*$E$134</f>
        <v>107.1</v>
      </c>
      <c r="E152" s="749">
        <f t="shared" si="383"/>
        <v>1285.1999999999998</v>
      </c>
      <c r="F152" s="197">
        <f>'Arable NPV'!$D131</f>
        <v>220</v>
      </c>
      <c r="G152" s="197">
        <f t="shared" si="438"/>
        <v>1505.1999999999998</v>
      </c>
      <c r="H152" s="197">
        <f>'Arable NPV'!$F131</f>
        <v>528.51499999999999</v>
      </c>
      <c r="I152" s="197">
        <f>'Arable NPV'!$G131</f>
        <v>552.40000000000009</v>
      </c>
      <c r="J152" s="197">
        <f t="shared" si="368"/>
        <v>1080.915</v>
      </c>
      <c r="K152" s="197">
        <f t="shared" si="369"/>
        <v>204.28499999999985</v>
      </c>
      <c r="L152" s="197">
        <f t="shared" si="370"/>
        <v>424.28499999999985</v>
      </c>
      <c r="M152" s="196">
        <f t="shared" si="384"/>
        <v>742.17097644258467</v>
      </c>
      <c r="N152" s="197">
        <f t="shared" si="385"/>
        <v>127.04451822079727</v>
      </c>
      <c r="O152" s="197">
        <f t="shared" si="386"/>
        <v>624.20147914833217</v>
      </c>
      <c r="P152" s="197">
        <f t="shared" si="387"/>
        <v>117.96949729425251</v>
      </c>
      <c r="Q152" s="199">
        <f t="shared" si="388"/>
        <v>245.01401551504978</v>
      </c>
      <c r="R152" s="196">
        <f t="shared" si="389"/>
        <v>14860.925588935364</v>
      </c>
      <c r="S152" s="197">
        <f t="shared" si="390"/>
        <v>2543.8870444800655</v>
      </c>
      <c r="T152" s="197">
        <f t="shared" si="391"/>
        <v>12498.753021291681</v>
      </c>
      <c r="U152" s="197">
        <f t="shared" si="392"/>
        <v>2362.1725676436813</v>
      </c>
      <c r="V152" s="199">
        <f t="shared" si="393"/>
        <v>4906.0596121237468</v>
      </c>
      <c r="Z152" s="881">
        <v>15</v>
      </c>
      <c r="AA152" s="892">
        <f>'Arable Inputs'!$H$18</f>
        <v>12</v>
      </c>
      <c r="AB152" s="747">
        <f>'Arable Inputs'!$H$25*$AC$134</f>
        <v>160.64999999999998</v>
      </c>
      <c r="AC152" s="749">
        <f t="shared" si="394"/>
        <v>1927.7999999999997</v>
      </c>
      <c r="AD152" s="197">
        <f>'Arable NPV'!$D131</f>
        <v>220</v>
      </c>
      <c r="AE152" s="197">
        <f t="shared" si="439"/>
        <v>2147.7999999999997</v>
      </c>
      <c r="AF152" s="197">
        <f>'Arable NPV'!$F131</f>
        <v>528.51499999999999</v>
      </c>
      <c r="AG152" s="197">
        <f>'Arable NPV'!$G131</f>
        <v>552.40000000000009</v>
      </c>
      <c r="AH152" s="197">
        <f t="shared" si="371"/>
        <v>1080.915</v>
      </c>
      <c r="AI152" s="197">
        <f t="shared" si="372"/>
        <v>846.88499999999976</v>
      </c>
      <c r="AJ152" s="197">
        <f t="shared" si="373"/>
        <v>1066.8849999999998</v>
      </c>
      <c r="AK152" s="196">
        <f t="shared" si="395"/>
        <v>1113.2564646638771</v>
      </c>
      <c r="AL152" s="197">
        <f t="shared" si="396"/>
        <v>127.04451822079727</v>
      </c>
      <c r="AM152" s="197">
        <f t="shared" si="397"/>
        <v>624.20147914833217</v>
      </c>
      <c r="AN152" s="197">
        <f t="shared" si="398"/>
        <v>489.05498551554484</v>
      </c>
      <c r="AO152" s="199">
        <f t="shared" si="399"/>
        <v>616.09950373634217</v>
      </c>
      <c r="AP152" s="196">
        <f t="shared" si="400"/>
        <v>22291.388383403046</v>
      </c>
      <c r="AQ152" s="197">
        <f t="shared" si="401"/>
        <v>2543.8870444800655</v>
      </c>
      <c r="AR152" s="197">
        <f t="shared" si="402"/>
        <v>12498.753021291681</v>
      </c>
      <c r="AS152" s="197">
        <f t="shared" si="403"/>
        <v>9792.6353621113612</v>
      </c>
      <c r="AT152" s="199">
        <f t="shared" si="404"/>
        <v>12336.522406591426</v>
      </c>
      <c r="AX152" s="881">
        <v>15</v>
      </c>
      <c r="AY152" s="892">
        <f>'Arable Inputs'!$H$18</f>
        <v>12</v>
      </c>
      <c r="AZ152" s="747">
        <f>'Arable Inputs'!$H$25*$BA$134</f>
        <v>53.55</v>
      </c>
      <c r="BA152" s="749">
        <f t="shared" si="405"/>
        <v>642.59999999999991</v>
      </c>
      <c r="BB152" s="197">
        <f>'Arable NPV'!$D131</f>
        <v>220</v>
      </c>
      <c r="BC152" s="197">
        <f t="shared" si="440"/>
        <v>862.59999999999991</v>
      </c>
      <c r="BD152" s="197">
        <f>'Arable NPV'!$F131</f>
        <v>528.51499999999999</v>
      </c>
      <c r="BE152" s="197">
        <f>'Arable NPV'!$G131</f>
        <v>552.40000000000009</v>
      </c>
      <c r="BF152" s="197">
        <f t="shared" si="374"/>
        <v>1080.915</v>
      </c>
      <c r="BG152" s="197">
        <f t="shared" si="375"/>
        <v>-438.31500000000005</v>
      </c>
      <c r="BH152" s="197">
        <f t="shared" si="376"/>
        <v>-218.31500000000005</v>
      </c>
      <c r="BI152" s="196">
        <f t="shared" si="406"/>
        <v>371.08548822129234</v>
      </c>
      <c r="BJ152" s="197">
        <f t="shared" si="407"/>
        <v>127.04451822079727</v>
      </c>
      <c r="BK152" s="197">
        <f t="shared" si="408"/>
        <v>624.20147914833217</v>
      </c>
      <c r="BL152" s="197">
        <f t="shared" si="409"/>
        <v>-253.11599092703983</v>
      </c>
      <c r="BM152" s="199">
        <f t="shared" si="410"/>
        <v>-126.07147270624256</v>
      </c>
      <c r="BN152" s="196">
        <f t="shared" si="411"/>
        <v>7430.4627944676822</v>
      </c>
      <c r="BO152" s="197">
        <f t="shared" si="412"/>
        <v>2543.8870444800655</v>
      </c>
      <c r="BP152" s="197">
        <f t="shared" si="413"/>
        <v>12498.753021291681</v>
      </c>
      <c r="BQ152" s="197">
        <f t="shared" si="414"/>
        <v>-5068.2902268240005</v>
      </c>
      <c r="BR152" s="199">
        <f t="shared" si="415"/>
        <v>-2524.4031823439345</v>
      </c>
      <c r="BV152" s="881">
        <v>15</v>
      </c>
      <c r="BW152" s="892">
        <f>'Arable Inputs'!$H$18</f>
        <v>12</v>
      </c>
      <c r="BX152" s="747">
        <f>'Arable Inputs'!$H$25*$BY$134</f>
        <v>214.2</v>
      </c>
      <c r="BY152" s="749">
        <f t="shared" si="416"/>
        <v>2570.3999999999996</v>
      </c>
      <c r="BZ152" s="197">
        <f>'Arable NPV'!$D131</f>
        <v>220</v>
      </c>
      <c r="CA152" s="197">
        <f t="shared" si="441"/>
        <v>2790.3999999999996</v>
      </c>
      <c r="CB152" s="197">
        <f>'Arable NPV'!$F131</f>
        <v>528.51499999999999</v>
      </c>
      <c r="CC152" s="197">
        <f>'Arable NPV'!$G131</f>
        <v>552.40000000000009</v>
      </c>
      <c r="CD152" s="197">
        <f t="shared" si="377"/>
        <v>1080.915</v>
      </c>
      <c r="CE152" s="197">
        <f t="shared" si="378"/>
        <v>1489.4849999999997</v>
      </c>
      <c r="CF152" s="197">
        <f t="shared" si="379"/>
        <v>1709.4849999999997</v>
      </c>
      <c r="CG152" s="196">
        <f t="shared" si="417"/>
        <v>1484.3419528851693</v>
      </c>
      <c r="CH152" s="197">
        <f t="shared" si="418"/>
        <v>127.04451822079727</v>
      </c>
      <c r="CI152" s="197">
        <f t="shared" si="419"/>
        <v>624.20147914833217</v>
      </c>
      <c r="CJ152" s="197">
        <f t="shared" si="420"/>
        <v>860.14047373683718</v>
      </c>
      <c r="CK152" s="199">
        <f t="shared" si="421"/>
        <v>987.18499195763445</v>
      </c>
      <c r="CL152" s="196">
        <f t="shared" si="422"/>
        <v>29721.851177870729</v>
      </c>
      <c r="CM152" s="197">
        <f t="shared" si="423"/>
        <v>2543.8870444800655</v>
      </c>
      <c r="CN152" s="197">
        <f t="shared" si="424"/>
        <v>12498.753021291681</v>
      </c>
      <c r="CO152" s="197">
        <f t="shared" si="425"/>
        <v>17223.098156579043</v>
      </c>
      <c r="CP152" s="199">
        <f t="shared" si="426"/>
        <v>19766.985201059109</v>
      </c>
      <c r="CT152" s="881">
        <v>15</v>
      </c>
      <c r="CU152" s="892">
        <f>'Arable Inputs'!$H$18</f>
        <v>12</v>
      </c>
      <c r="CV152" s="747">
        <f>'Arable Inputs'!$H$25*$CW$134</f>
        <v>0</v>
      </c>
      <c r="CW152" s="749">
        <f t="shared" si="427"/>
        <v>0</v>
      </c>
      <c r="CX152" s="197">
        <f>'Arable NPV'!$D131</f>
        <v>220</v>
      </c>
      <c r="CY152" s="197">
        <f t="shared" si="442"/>
        <v>220</v>
      </c>
      <c r="CZ152" s="197">
        <f>'Arable NPV'!$F131</f>
        <v>528.51499999999999</v>
      </c>
      <c r="DA152" s="197">
        <f>'Arable NPV'!$G131</f>
        <v>552.40000000000009</v>
      </c>
      <c r="DB152" s="197">
        <f t="shared" si="380"/>
        <v>1080.915</v>
      </c>
      <c r="DC152" s="197">
        <f t="shared" si="381"/>
        <v>-1080.915</v>
      </c>
      <c r="DD152" s="197">
        <f t="shared" si="382"/>
        <v>-860.91499999999996</v>
      </c>
      <c r="DE152" s="196">
        <f t="shared" si="428"/>
        <v>0</v>
      </c>
      <c r="DF152" s="197">
        <f t="shared" si="429"/>
        <v>127.04451822079727</v>
      </c>
      <c r="DG152" s="197">
        <f t="shared" si="430"/>
        <v>624.20147914833217</v>
      </c>
      <c r="DH152" s="197">
        <f t="shared" si="431"/>
        <v>-624.20147914833217</v>
      </c>
      <c r="DI152" s="199">
        <f t="shared" si="432"/>
        <v>-497.1569609275349</v>
      </c>
      <c r="DJ152" s="196">
        <f t="shared" si="433"/>
        <v>0</v>
      </c>
      <c r="DK152" s="197">
        <f t="shared" si="434"/>
        <v>2543.8870444800655</v>
      </c>
      <c r="DL152" s="197">
        <f t="shared" si="435"/>
        <v>12498.753021291681</v>
      </c>
      <c r="DM152" s="197">
        <f t="shared" si="436"/>
        <v>-12498.753021291681</v>
      </c>
      <c r="DN152" s="199">
        <f t="shared" si="437"/>
        <v>-9954.8659768116177</v>
      </c>
    </row>
    <row r="153" spans="2:118" x14ac:dyDescent="0.3">
      <c r="B153" s="882">
        <v>16</v>
      </c>
      <c r="C153" s="893">
        <f>'Arable Inputs'!$H$18</f>
        <v>12</v>
      </c>
      <c r="D153" s="748">
        <f>'Arable Inputs'!$H$25*$E$134</f>
        <v>107.1</v>
      </c>
      <c r="E153" s="207">
        <f t="shared" si="383"/>
        <v>1285.1999999999998</v>
      </c>
      <c r="F153" s="207">
        <f>'Arable NPV'!$D132</f>
        <v>220</v>
      </c>
      <c r="G153" s="207">
        <f>E153+F153</f>
        <v>1505.1999999999998</v>
      </c>
      <c r="H153" s="207">
        <f>'Arable NPV'!$F132</f>
        <v>528.51499999999999</v>
      </c>
      <c r="I153" s="207">
        <f>'Arable NPV'!$G132</f>
        <v>552.40000000000009</v>
      </c>
      <c r="J153" s="207">
        <f t="shared" si="368"/>
        <v>1080.915</v>
      </c>
      <c r="K153" s="207">
        <f t="shared" si="369"/>
        <v>204.28499999999985</v>
      </c>
      <c r="L153" s="207">
        <f t="shared" si="370"/>
        <v>424.28499999999985</v>
      </c>
      <c r="M153" s="208">
        <f t="shared" si="384"/>
        <v>713.62593888710069</v>
      </c>
      <c r="N153" s="207">
        <f t="shared" si="385"/>
        <v>122.15819059692046</v>
      </c>
      <c r="O153" s="207">
        <f t="shared" si="386"/>
        <v>600.19372995031938</v>
      </c>
      <c r="P153" s="207">
        <f t="shared" si="387"/>
        <v>113.43220893678127</v>
      </c>
      <c r="Q153" s="209">
        <f>L153/(1+$B$4)^($B153-1)</f>
        <v>235.59039953370171</v>
      </c>
      <c r="R153" s="208">
        <f t="shared" si="389"/>
        <v>15574.551527822465</v>
      </c>
      <c r="S153" s="207">
        <f t="shared" si="390"/>
        <v>2666.045235076986</v>
      </c>
      <c r="T153" s="207">
        <f t="shared" si="391"/>
        <v>13098.946751242</v>
      </c>
      <c r="U153" s="207">
        <f t="shared" si="392"/>
        <v>2475.6047765804624</v>
      </c>
      <c r="V153" s="209">
        <f t="shared" si="393"/>
        <v>5141.6500116574489</v>
      </c>
      <c r="Z153" s="882">
        <v>16</v>
      </c>
      <c r="AA153" s="893">
        <f>'Arable Inputs'!$H$18</f>
        <v>12</v>
      </c>
      <c r="AB153" s="748">
        <f>'Arable Inputs'!$H$25*$AC$134</f>
        <v>160.64999999999998</v>
      </c>
      <c r="AC153" s="207">
        <f t="shared" si="394"/>
        <v>1927.7999999999997</v>
      </c>
      <c r="AD153" s="207">
        <f>'Arable NPV'!$D132</f>
        <v>220</v>
      </c>
      <c r="AE153" s="207">
        <f>AC153+AD153</f>
        <v>2147.7999999999997</v>
      </c>
      <c r="AF153" s="207">
        <f>'Arable NPV'!$F132</f>
        <v>528.51499999999999</v>
      </c>
      <c r="AG153" s="207">
        <f>'Arable NPV'!$G132</f>
        <v>552.40000000000009</v>
      </c>
      <c r="AH153" s="207">
        <f t="shared" si="371"/>
        <v>1080.915</v>
      </c>
      <c r="AI153" s="207">
        <f t="shared" si="372"/>
        <v>846.88499999999976</v>
      </c>
      <c r="AJ153" s="207">
        <f t="shared" si="373"/>
        <v>1066.8849999999998</v>
      </c>
      <c r="AK153" s="208">
        <f t="shared" si="395"/>
        <v>1070.438908330651</v>
      </c>
      <c r="AL153" s="207">
        <f t="shared" si="396"/>
        <v>122.15819059692046</v>
      </c>
      <c r="AM153" s="207">
        <f t="shared" si="397"/>
        <v>600.19372995031938</v>
      </c>
      <c r="AN153" s="207">
        <f t="shared" si="398"/>
        <v>470.24517838033159</v>
      </c>
      <c r="AO153" s="209">
        <f t="shared" si="399"/>
        <v>592.40336897725206</v>
      </c>
      <c r="AP153" s="208">
        <f t="shared" si="400"/>
        <v>23361.827291733698</v>
      </c>
      <c r="AQ153" s="207">
        <f t="shared" si="401"/>
        <v>2666.045235076986</v>
      </c>
      <c r="AR153" s="207">
        <f t="shared" si="402"/>
        <v>13098.946751242</v>
      </c>
      <c r="AS153" s="207">
        <f t="shared" si="403"/>
        <v>10262.880540491693</v>
      </c>
      <c r="AT153" s="209">
        <f t="shared" si="404"/>
        <v>12928.925775568678</v>
      </c>
      <c r="AX153" s="882">
        <v>16</v>
      </c>
      <c r="AY153" s="893">
        <f>'Arable Inputs'!$H$18</f>
        <v>12</v>
      </c>
      <c r="AZ153" s="748">
        <f>'Arable Inputs'!$H$25*$BA$134</f>
        <v>53.55</v>
      </c>
      <c r="BA153" s="207">
        <f t="shared" si="405"/>
        <v>642.59999999999991</v>
      </c>
      <c r="BB153" s="207">
        <f>'Arable NPV'!$D132</f>
        <v>220</v>
      </c>
      <c r="BC153" s="207">
        <f>BA153+BB153</f>
        <v>862.59999999999991</v>
      </c>
      <c r="BD153" s="207">
        <f>'Arable NPV'!$F132</f>
        <v>528.51499999999999</v>
      </c>
      <c r="BE153" s="207">
        <f>'Arable NPV'!$G132</f>
        <v>552.40000000000009</v>
      </c>
      <c r="BF153" s="207">
        <f t="shared" si="374"/>
        <v>1080.915</v>
      </c>
      <c r="BG153" s="207">
        <f t="shared" si="375"/>
        <v>-438.31500000000005</v>
      </c>
      <c r="BH153" s="207">
        <f t="shared" si="376"/>
        <v>-218.31500000000005</v>
      </c>
      <c r="BI153" s="208">
        <f t="shared" si="406"/>
        <v>356.81296944355034</v>
      </c>
      <c r="BJ153" s="207">
        <f t="shared" si="407"/>
        <v>122.15819059692046</v>
      </c>
      <c r="BK153" s="207">
        <f t="shared" si="408"/>
        <v>600.19372995031938</v>
      </c>
      <c r="BL153" s="207">
        <f t="shared" si="409"/>
        <v>-243.38076050676906</v>
      </c>
      <c r="BM153" s="209">
        <f t="shared" si="410"/>
        <v>-121.22256990984862</v>
      </c>
      <c r="BN153" s="208">
        <f t="shared" si="411"/>
        <v>7787.2757639112324</v>
      </c>
      <c r="BO153" s="207">
        <f t="shared" si="412"/>
        <v>2666.045235076986</v>
      </c>
      <c r="BP153" s="207">
        <f t="shared" si="413"/>
        <v>13098.946751242</v>
      </c>
      <c r="BQ153" s="207">
        <f t="shared" si="414"/>
        <v>-5311.6709873307691</v>
      </c>
      <c r="BR153" s="209">
        <f t="shared" si="415"/>
        <v>-2645.625752253783</v>
      </c>
      <c r="BV153" s="882">
        <v>16</v>
      </c>
      <c r="BW153" s="893">
        <f>'Arable Inputs'!$H$18</f>
        <v>12</v>
      </c>
      <c r="BX153" s="748">
        <f>'Arable Inputs'!$H$25*$BY$134</f>
        <v>214.2</v>
      </c>
      <c r="BY153" s="207">
        <f t="shared" si="416"/>
        <v>2570.3999999999996</v>
      </c>
      <c r="BZ153" s="207">
        <f>'Arable NPV'!$D132</f>
        <v>220</v>
      </c>
      <c r="CA153" s="207">
        <f>BY153+BZ153</f>
        <v>2790.3999999999996</v>
      </c>
      <c r="CB153" s="207">
        <f>'Arable NPV'!$F132</f>
        <v>528.51499999999999</v>
      </c>
      <c r="CC153" s="207">
        <f>'Arable NPV'!$G132</f>
        <v>552.40000000000009</v>
      </c>
      <c r="CD153" s="207">
        <f t="shared" si="377"/>
        <v>1080.915</v>
      </c>
      <c r="CE153" s="207">
        <f t="shared" si="378"/>
        <v>1489.4849999999997</v>
      </c>
      <c r="CF153" s="207">
        <f t="shared" si="379"/>
        <v>1709.4849999999997</v>
      </c>
      <c r="CG153" s="208">
        <f t="shared" si="417"/>
        <v>1427.2518777742014</v>
      </c>
      <c r="CH153" s="207">
        <f t="shared" si="418"/>
        <v>122.15819059692046</v>
      </c>
      <c r="CI153" s="207">
        <f t="shared" si="419"/>
        <v>600.19372995031938</v>
      </c>
      <c r="CJ153" s="207">
        <f t="shared" si="420"/>
        <v>827.05814782388188</v>
      </c>
      <c r="CK153" s="209">
        <f t="shared" si="421"/>
        <v>949.21633842080234</v>
      </c>
      <c r="CL153" s="208">
        <f t="shared" si="422"/>
        <v>31149.10305564493</v>
      </c>
      <c r="CM153" s="207">
        <f t="shared" si="423"/>
        <v>2666.045235076986</v>
      </c>
      <c r="CN153" s="207">
        <f t="shared" si="424"/>
        <v>13098.946751242</v>
      </c>
      <c r="CO153" s="207">
        <f t="shared" si="425"/>
        <v>18050.156304402924</v>
      </c>
      <c r="CP153" s="209">
        <f t="shared" si="426"/>
        <v>20716.201539479913</v>
      </c>
      <c r="CT153" s="882">
        <v>16</v>
      </c>
      <c r="CU153" s="893">
        <f>'Arable Inputs'!$H$18</f>
        <v>12</v>
      </c>
      <c r="CV153" s="748">
        <f>'Arable Inputs'!$H$25*$CW$134</f>
        <v>0</v>
      </c>
      <c r="CW153" s="207">
        <f t="shared" si="427"/>
        <v>0</v>
      </c>
      <c r="CX153" s="207">
        <f>'Arable NPV'!$D132</f>
        <v>220</v>
      </c>
      <c r="CY153" s="207">
        <f>CW153+CX153</f>
        <v>220</v>
      </c>
      <c r="CZ153" s="207">
        <f>'Arable NPV'!$F132</f>
        <v>528.51499999999999</v>
      </c>
      <c r="DA153" s="207">
        <f>'Arable NPV'!$G132</f>
        <v>552.40000000000009</v>
      </c>
      <c r="DB153" s="207">
        <f t="shared" si="380"/>
        <v>1080.915</v>
      </c>
      <c r="DC153" s="207">
        <f t="shared" si="381"/>
        <v>-1080.915</v>
      </c>
      <c r="DD153" s="207">
        <f t="shared" si="382"/>
        <v>-860.91499999999996</v>
      </c>
      <c r="DE153" s="208">
        <f t="shared" si="428"/>
        <v>0</v>
      </c>
      <c r="DF153" s="207">
        <f t="shared" si="429"/>
        <v>122.15819059692046</v>
      </c>
      <c r="DG153" s="207">
        <f t="shared" si="430"/>
        <v>600.19372995031938</v>
      </c>
      <c r="DH153" s="207">
        <f t="shared" si="431"/>
        <v>-600.19372995031938</v>
      </c>
      <c r="DI153" s="209">
        <f t="shared" si="432"/>
        <v>-478.03553935339897</v>
      </c>
      <c r="DJ153" s="208">
        <f t="shared" si="433"/>
        <v>0</v>
      </c>
      <c r="DK153" s="207">
        <f t="shared" si="434"/>
        <v>2666.045235076986</v>
      </c>
      <c r="DL153" s="207">
        <f t="shared" si="435"/>
        <v>13098.946751242</v>
      </c>
      <c r="DM153" s="207">
        <f t="shared" si="436"/>
        <v>-13098.946751242</v>
      </c>
      <c r="DN153" s="209">
        <f t="shared" si="437"/>
        <v>-10432.901516165017</v>
      </c>
    </row>
    <row r="159" spans="2:118" x14ac:dyDescent="0.3">
      <c r="B159" s="273" t="s">
        <v>344</v>
      </c>
      <c r="C159" s="274"/>
      <c r="D159" s="274"/>
      <c r="E159" s="88"/>
      <c r="F159" s="88"/>
      <c r="G159" s="88"/>
      <c r="H159" s="275"/>
      <c r="I159" s="276" t="s">
        <v>328</v>
      </c>
      <c r="J159" s="277" t="s">
        <v>329</v>
      </c>
      <c r="K159" s="277" t="s">
        <v>330</v>
      </c>
      <c r="L159" s="277" t="s">
        <v>331</v>
      </c>
      <c r="M159" s="277" t="s">
        <v>332</v>
      </c>
      <c r="N159" s="276" t="s">
        <v>646</v>
      </c>
      <c r="O159" s="277" t="s">
        <v>647</v>
      </c>
      <c r="P159" s="277" t="s">
        <v>648</v>
      </c>
      <c r="Q159" s="277" t="s">
        <v>649</v>
      </c>
      <c r="R159" s="277" t="s">
        <v>650</v>
      </c>
      <c r="S159" s="276" t="s">
        <v>412</v>
      </c>
      <c r="T159" s="277" t="s">
        <v>413</v>
      </c>
      <c r="U159" s="277" t="s">
        <v>414</v>
      </c>
      <c r="V159" s="277" t="s">
        <v>415</v>
      </c>
      <c r="W159" s="277" t="s">
        <v>416</v>
      </c>
      <c r="X159" s="276" t="s">
        <v>443</v>
      </c>
      <c r="Y159" s="277" t="s">
        <v>444</v>
      </c>
      <c r="Z159" s="277" t="s">
        <v>445</v>
      </c>
      <c r="AA159" s="277" t="s">
        <v>446</v>
      </c>
      <c r="AB159" s="277" t="s">
        <v>447</v>
      </c>
      <c r="AC159" s="276" t="s">
        <v>448</v>
      </c>
      <c r="AD159" s="277" t="s">
        <v>449</v>
      </c>
      <c r="AE159" s="277" t="s">
        <v>450</v>
      </c>
      <c r="AF159" s="277" t="s">
        <v>451</v>
      </c>
      <c r="AG159" s="277" t="s">
        <v>452</v>
      </c>
      <c r="AH159" s="276" t="s">
        <v>604</v>
      </c>
      <c r="AI159" s="277" t="s">
        <v>605</v>
      </c>
      <c r="AJ159" s="277" t="s">
        <v>606</v>
      </c>
      <c r="AK159" s="277" t="s">
        <v>607</v>
      </c>
      <c r="AL159" s="277" t="s">
        <v>608</v>
      </c>
    </row>
    <row r="160" spans="2:118" x14ac:dyDescent="0.3">
      <c r="B160" s="278" t="s">
        <v>314</v>
      </c>
      <c r="C160" s="974"/>
      <c r="D160" s="24"/>
      <c r="E160" s="279"/>
      <c r="F160" s="279"/>
      <c r="G160" s="279"/>
      <c r="H160" s="280" t="s">
        <v>460</v>
      </c>
      <c r="I160" s="751">
        <f>S27</f>
        <v>7004.3848744654333</v>
      </c>
      <c r="J160" s="751">
        <f>AQ27</f>
        <v>10506.577311698151</v>
      </c>
      <c r="K160" s="751">
        <f>BO27</f>
        <v>3502.1924372327167</v>
      </c>
      <c r="L160" s="751">
        <f>CM27</f>
        <v>14008.769748930867</v>
      </c>
      <c r="M160" s="751">
        <f>DK27</f>
        <v>0</v>
      </c>
      <c r="N160" s="751">
        <f>S53</f>
        <v>9521.8676150658594</v>
      </c>
      <c r="O160" s="751">
        <f>AQ53</f>
        <v>14282.801422598792</v>
      </c>
      <c r="P160" s="107">
        <f>BO53</f>
        <v>4760.9338075329297</v>
      </c>
      <c r="Q160" s="107">
        <f>CM53</f>
        <v>19043.735230131719</v>
      </c>
      <c r="R160" s="107">
        <f>DK53</f>
        <v>0</v>
      </c>
      <c r="S160" s="751">
        <f>U$78</f>
        <v>18134.61458036309</v>
      </c>
      <c r="T160" s="751">
        <f>AU78</f>
        <v>27201.92187054464</v>
      </c>
      <c r="U160" s="107">
        <f>BU$78</f>
        <v>9067.3072901815449</v>
      </c>
      <c r="V160" s="107">
        <f>CU$78</f>
        <v>36269.22916072618</v>
      </c>
      <c r="W160" s="107">
        <f>DU$78</f>
        <v>0</v>
      </c>
      <c r="X160" s="751">
        <f>S$103</f>
        <v>5876.9026342508314</v>
      </c>
      <c r="Y160" s="751">
        <f>AQ$103</f>
        <v>8815.3539513762462</v>
      </c>
      <c r="Z160" s="107">
        <f>BO$103</f>
        <v>2938.4513171254157</v>
      </c>
      <c r="AA160" s="107">
        <f>CM$103</f>
        <v>11753.805268501663</v>
      </c>
      <c r="AB160" s="107">
        <f>DK$103</f>
        <v>0</v>
      </c>
      <c r="AC160" s="751">
        <f>S$128</f>
        <v>7172.5259983568831</v>
      </c>
      <c r="AD160" s="751">
        <f>AQ$128</f>
        <v>10758.788997535325</v>
      </c>
      <c r="AE160" s="107">
        <f>BO$128</f>
        <v>3586.2629991784415</v>
      </c>
      <c r="AF160" s="107">
        <f>CM$128</f>
        <v>14345.051996713766</v>
      </c>
      <c r="AG160" s="107">
        <f>DK$128</f>
        <v>0</v>
      </c>
      <c r="AH160" s="754">
        <f>R153</f>
        <v>15574.551527822465</v>
      </c>
      <c r="AI160" s="754">
        <f>AP153</f>
        <v>23361.827291733698</v>
      </c>
      <c r="AJ160" s="754">
        <f>BN153</f>
        <v>7787.2757639112324</v>
      </c>
      <c r="AK160" s="754">
        <f>CL153</f>
        <v>31149.10305564493</v>
      </c>
      <c r="AL160" s="754">
        <f>DJ153</f>
        <v>0</v>
      </c>
    </row>
    <row r="161" spans="2:38" x14ac:dyDescent="0.3">
      <c r="B161" s="282" t="s">
        <v>313</v>
      </c>
      <c r="C161" s="974"/>
      <c r="D161" s="24"/>
      <c r="E161" s="279"/>
      <c r="F161" s="279"/>
      <c r="G161" s="279"/>
      <c r="H161" s="283" t="s">
        <v>460</v>
      </c>
      <c r="I161" s="751">
        <f>T27</f>
        <v>2666.045235076986</v>
      </c>
      <c r="J161" s="751">
        <f>AR27</f>
        <v>2666.045235076986</v>
      </c>
      <c r="K161" s="751">
        <f>BP27</f>
        <v>2666.045235076986</v>
      </c>
      <c r="L161" s="751">
        <f>CN27</f>
        <v>2666.045235076986</v>
      </c>
      <c r="M161" s="751">
        <f>DL27</f>
        <v>2666.045235076986</v>
      </c>
      <c r="N161" s="751">
        <f>T53</f>
        <v>2666.045235076986</v>
      </c>
      <c r="O161" s="751">
        <f>AR53</f>
        <v>2666.045235076986</v>
      </c>
      <c r="P161" s="108">
        <f>BP53</f>
        <v>2666.045235076986</v>
      </c>
      <c r="Q161" s="108">
        <f>CN53</f>
        <v>2666.045235076986</v>
      </c>
      <c r="R161" s="108">
        <f>DL53</f>
        <v>2666.045235076986</v>
      </c>
      <c r="S161" s="751">
        <f>V$78</f>
        <v>2666.045235076986</v>
      </c>
      <c r="T161" s="751">
        <f>AV$78</f>
        <v>2666.045235076986</v>
      </c>
      <c r="U161" s="108">
        <f>BV$78</f>
        <v>2666.045235076986</v>
      </c>
      <c r="V161" s="108">
        <f>CV$78</f>
        <v>2666.045235076986</v>
      </c>
      <c r="W161" s="108">
        <f>DV$78</f>
        <v>2666.045235076986</v>
      </c>
      <c r="X161" s="751">
        <f>T$103</f>
        <v>2666.045235076986</v>
      </c>
      <c r="Y161" s="751">
        <f>AR$103</f>
        <v>2666.045235076986</v>
      </c>
      <c r="Z161" s="108">
        <f>BP$103</f>
        <v>2666.045235076986</v>
      </c>
      <c r="AA161" s="108">
        <f>CN$103</f>
        <v>2666.045235076986</v>
      </c>
      <c r="AB161" s="108">
        <f>DL$103</f>
        <v>2666.045235076986</v>
      </c>
      <c r="AC161" s="751">
        <f>T$128</f>
        <v>2666.045235076986</v>
      </c>
      <c r="AD161" s="751">
        <f>AR$128</f>
        <v>2666.045235076986</v>
      </c>
      <c r="AE161" s="108">
        <f>BP$128</f>
        <v>2666.045235076986</v>
      </c>
      <c r="AF161" s="108">
        <f>CN$128</f>
        <v>2666.045235076986</v>
      </c>
      <c r="AG161" s="108">
        <f>DL$128</f>
        <v>2666.045235076986</v>
      </c>
      <c r="AH161" s="895">
        <f>S153</f>
        <v>2666.045235076986</v>
      </c>
      <c r="AI161" s="895">
        <f>AQ153</f>
        <v>2666.045235076986</v>
      </c>
      <c r="AJ161" s="895">
        <f>BO153</f>
        <v>2666.045235076986</v>
      </c>
      <c r="AK161" s="895">
        <f>CM153</f>
        <v>2666.045235076986</v>
      </c>
      <c r="AL161" s="895">
        <f>DK153</f>
        <v>2666.045235076986</v>
      </c>
    </row>
    <row r="162" spans="2:38" x14ac:dyDescent="0.3">
      <c r="B162" s="284" t="s">
        <v>312</v>
      </c>
      <c r="C162" s="975"/>
      <c r="D162" s="165"/>
      <c r="E162" s="279"/>
      <c r="F162" s="279"/>
      <c r="G162" s="279"/>
      <c r="H162" s="285" t="s">
        <v>460</v>
      </c>
      <c r="I162" s="751">
        <f>U27</f>
        <v>8595.5268864796944</v>
      </c>
      <c r="J162" s="751">
        <f>AS27</f>
        <v>8595.5268864796944</v>
      </c>
      <c r="K162" s="751">
        <f>BQ27</f>
        <v>8595.5268864796944</v>
      </c>
      <c r="L162" s="751">
        <f>CO27</f>
        <v>8595.5268864796944</v>
      </c>
      <c r="M162" s="751">
        <f>DM27</f>
        <v>8595.5268864796944</v>
      </c>
      <c r="N162" s="751">
        <f>U53</f>
        <v>6490.5993620746312</v>
      </c>
      <c r="O162" s="751">
        <f>AS53</f>
        <v>6490.5993620746312</v>
      </c>
      <c r="P162" s="294">
        <f>BQ53</f>
        <v>6410.6956665434627</v>
      </c>
      <c r="Q162" s="294">
        <f>CO53</f>
        <v>6490.5993620746312</v>
      </c>
      <c r="R162" s="294">
        <f>DM53</f>
        <v>6490.5993620746312</v>
      </c>
      <c r="S162" s="751">
        <f>W$78</f>
        <v>16207.665363247013</v>
      </c>
      <c r="T162" s="751">
        <f>AW$78</f>
        <v>16207.665363247013</v>
      </c>
      <c r="U162" s="108">
        <f>BW$78</f>
        <v>16207.665363247013</v>
      </c>
      <c r="V162" s="108">
        <f>CW$78</f>
        <v>16207.665363247013</v>
      </c>
      <c r="W162" s="108">
        <f>DW$78</f>
        <v>16207.665363247013</v>
      </c>
      <c r="X162" s="751">
        <f>U$103</f>
        <v>4111.4229907520166</v>
      </c>
      <c r="Y162" s="751">
        <f>AS$103</f>
        <v>4111.4229907520166</v>
      </c>
      <c r="Z162" s="294">
        <f>BQ$103</f>
        <v>4111.4229907520166</v>
      </c>
      <c r="AA162" s="294">
        <f>CO$103</f>
        <v>4111.4229907520166</v>
      </c>
      <c r="AB162" s="294">
        <f>DM$103</f>
        <v>4111.4229907520166</v>
      </c>
      <c r="AC162" s="751">
        <f>U$128</f>
        <v>4876.9946636093364</v>
      </c>
      <c r="AD162" s="751">
        <f>AS$128</f>
        <v>4876.9946636093364</v>
      </c>
      <c r="AE162" s="294">
        <f>BQ$128</f>
        <v>4876.9946636093364</v>
      </c>
      <c r="AF162" s="294">
        <f>CO$128</f>
        <v>4876.9946636093364</v>
      </c>
      <c r="AG162" s="294">
        <f>DM$128</f>
        <v>4876.9946636093364</v>
      </c>
      <c r="AH162" s="755">
        <f>T153</f>
        <v>13098.946751242</v>
      </c>
      <c r="AI162" s="755">
        <f>AR153</f>
        <v>13098.946751242</v>
      </c>
      <c r="AJ162" s="755">
        <f>BP153</f>
        <v>13098.946751242</v>
      </c>
      <c r="AK162" s="755">
        <f>CN153</f>
        <v>13098.946751242</v>
      </c>
      <c r="AL162" s="755">
        <f>DL153</f>
        <v>13098.946751242</v>
      </c>
    </row>
    <row r="163" spans="2:38" x14ac:dyDescent="0.3">
      <c r="B163" s="278" t="s">
        <v>345</v>
      </c>
      <c r="C163" s="974"/>
      <c r="D163" s="24"/>
      <c r="E163" s="286"/>
      <c r="F163" s="286"/>
      <c r="G163" s="286"/>
      <c r="H163" s="280" t="s">
        <v>460</v>
      </c>
      <c r="I163" s="752">
        <f>I160-I162</f>
        <v>-1591.1420120142611</v>
      </c>
      <c r="J163" s="752">
        <f t="shared" ref="J163:W163" si="443">J160-J162</f>
        <v>1911.0504252184564</v>
      </c>
      <c r="K163" s="752">
        <f t="shared" si="443"/>
        <v>-5093.3344492469778</v>
      </c>
      <c r="L163" s="752">
        <f t="shared" si="443"/>
        <v>5413.2428624511722</v>
      </c>
      <c r="M163" s="752">
        <f t="shared" si="443"/>
        <v>-8595.5268864796944</v>
      </c>
      <c r="N163" s="752">
        <f t="shared" si="443"/>
        <v>3031.2682529912281</v>
      </c>
      <c r="O163" s="752">
        <f t="shared" si="443"/>
        <v>7792.2020605241605</v>
      </c>
      <c r="P163" s="752">
        <f t="shared" si="443"/>
        <v>-1649.761859010533</v>
      </c>
      <c r="Q163" s="752">
        <f t="shared" si="443"/>
        <v>12553.135868057088</v>
      </c>
      <c r="R163" s="752">
        <f t="shared" si="443"/>
        <v>-6490.5993620746312</v>
      </c>
      <c r="S163" s="752">
        <f t="shared" si="443"/>
        <v>1926.9492171160764</v>
      </c>
      <c r="T163" s="752">
        <f t="shared" si="443"/>
        <v>10994.256507297627</v>
      </c>
      <c r="U163" s="752">
        <f t="shared" si="443"/>
        <v>-7140.3580730654685</v>
      </c>
      <c r="V163" s="752">
        <f t="shared" si="443"/>
        <v>20061.563797479168</v>
      </c>
      <c r="W163" s="752">
        <f t="shared" si="443"/>
        <v>-16207.665363247013</v>
      </c>
      <c r="X163" s="752">
        <f t="shared" ref="X163:AL163" si="444">X160-X162</f>
        <v>1765.4796434988148</v>
      </c>
      <c r="Y163" s="752">
        <f t="shared" si="444"/>
        <v>4703.9309606242296</v>
      </c>
      <c r="Z163" s="752">
        <f t="shared" si="444"/>
        <v>-1172.9716736266009</v>
      </c>
      <c r="AA163" s="752">
        <f t="shared" si="444"/>
        <v>7642.3822777496462</v>
      </c>
      <c r="AB163" s="752">
        <f t="shared" si="444"/>
        <v>-4111.4229907520166</v>
      </c>
      <c r="AC163" s="752">
        <f t="shared" si="444"/>
        <v>2295.5313347475467</v>
      </c>
      <c r="AD163" s="752">
        <f t="shared" si="444"/>
        <v>5881.7943339259882</v>
      </c>
      <c r="AE163" s="752">
        <f t="shared" si="444"/>
        <v>-1290.7316644308949</v>
      </c>
      <c r="AF163" s="752">
        <f t="shared" si="444"/>
        <v>9468.0573331044288</v>
      </c>
      <c r="AG163" s="752">
        <f t="shared" si="444"/>
        <v>-4876.9946636093364</v>
      </c>
      <c r="AH163" s="752">
        <f t="shared" si="444"/>
        <v>2475.6047765804651</v>
      </c>
      <c r="AI163" s="752">
        <f t="shared" si="444"/>
        <v>10262.880540491698</v>
      </c>
      <c r="AJ163" s="752">
        <f t="shared" si="444"/>
        <v>-5311.6709873307673</v>
      </c>
      <c r="AK163" s="752">
        <f t="shared" si="444"/>
        <v>18050.156304402932</v>
      </c>
      <c r="AL163" s="752">
        <f t="shared" si="444"/>
        <v>-13098.946751242</v>
      </c>
    </row>
    <row r="164" spans="2:38" x14ac:dyDescent="0.3">
      <c r="B164" s="284" t="s">
        <v>346</v>
      </c>
      <c r="C164" s="975"/>
      <c r="D164" s="165"/>
      <c r="E164" s="288"/>
      <c r="F164" s="288"/>
      <c r="G164" s="288"/>
      <c r="H164" s="285" t="s">
        <v>460</v>
      </c>
      <c r="I164" s="753">
        <f>I160+I161-I162</f>
        <v>1074.9032230627254</v>
      </c>
      <c r="J164" s="753">
        <f t="shared" ref="J164:V164" si="445">J160+J161-J162</f>
        <v>4577.0956602954429</v>
      </c>
      <c r="K164" s="753">
        <f t="shared" si="445"/>
        <v>-2427.2892141699922</v>
      </c>
      <c r="L164" s="753">
        <f t="shared" si="445"/>
        <v>8079.2880975281569</v>
      </c>
      <c r="M164" s="753">
        <f t="shared" si="445"/>
        <v>-5929.4816514027079</v>
      </c>
      <c r="N164" s="753">
        <f t="shared" si="445"/>
        <v>5697.3134880682146</v>
      </c>
      <c r="O164" s="753">
        <f t="shared" si="445"/>
        <v>10458.247295601148</v>
      </c>
      <c r="P164" s="753">
        <f t="shared" si="445"/>
        <v>1016.2833760664525</v>
      </c>
      <c r="Q164" s="753">
        <f t="shared" si="445"/>
        <v>15219.181103134073</v>
      </c>
      <c r="R164" s="753">
        <f t="shared" si="445"/>
        <v>-3824.5541269976452</v>
      </c>
      <c r="S164" s="753">
        <f t="shared" si="445"/>
        <v>4592.9944521930611</v>
      </c>
      <c r="T164" s="753">
        <f t="shared" si="445"/>
        <v>13660.301742374611</v>
      </c>
      <c r="U164" s="753">
        <f t="shared" si="445"/>
        <v>-4474.312837988482</v>
      </c>
      <c r="V164" s="753">
        <f t="shared" si="445"/>
        <v>22727.609032556153</v>
      </c>
      <c r="W164" s="753">
        <f t="shared" ref="W164:AL164" si="446">W160+W161-W162</f>
        <v>-13541.620128170027</v>
      </c>
      <c r="X164" s="753">
        <f t="shared" si="446"/>
        <v>4431.5248785758013</v>
      </c>
      <c r="Y164" s="753">
        <f t="shared" si="446"/>
        <v>7369.9761957012161</v>
      </c>
      <c r="Z164" s="753">
        <f t="shared" si="446"/>
        <v>1493.0735614503847</v>
      </c>
      <c r="AA164" s="753">
        <f t="shared" si="446"/>
        <v>10308.427512826633</v>
      </c>
      <c r="AB164" s="753">
        <f t="shared" si="446"/>
        <v>-1445.3777556750306</v>
      </c>
      <c r="AC164" s="753">
        <f t="shared" si="446"/>
        <v>4961.5765698245332</v>
      </c>
      <c r="AD164" s="753">
        <f t="shared" si="446"/>
        <v>8547.8395690029756</v>
      </c>
      <c r="AE164" s="753">
        <f t="shared" si="446"/>
        <v>1375.3135706460916</v>
      </c>
      <c r="AF164" s="753">
        <f t="shared" si="446"/>
        <v>12134.102568181414</v>
      </c>
      <c r="AG164" s="753">
        <f t="shared" si="446"/>
        <v>-2210.9494285323503</v>
      </c>
      <c r="AH164" s="753">
        <f t="shared" si="446"/>
        <v>5141.6500116574516</v>
      </c>
      <c r="AI164" s="753">
        <f t="shared" si="446"/>
        <v>12928.925775568683</v>
      </c>
      <c r="AJ164" s="753">
        <f t="shared" si="446"/>
        <v>-2645.6257522537817</v>
      </c>
      <c r="AK164" s="753">
        <f t="shared" si="446"/>
        <v>20716.201539479916</v>
      </c>
      <c r="AL164" s="753">
        <f t="shared" si="446"/>
        <v>-10432.901516165013</v>
      </c>
    </row>
    <row r="165" spans="2:38" ht="14.5" x14ac:dyDescent="0.35">
      <c r="B165" s="62" t="s">
        <v>347</v>
      </c>
      <c r="C165" s="26"/>
      <c r="D165" s="24"/>
      <c r="E165" s="289"/>
      <c r="F165" s="289"/>
      <c r="G165" s="289"/>
      <c r="H165" s="280" t="s">
        <v>460</v>
      </c>
      <c r="I165" s="754">
        <f>I163*((1+$B$4)^16)/(((1+$B$4)^16)-1)</f>
        <v>-3413.7951558270352</v>
      </c>
      <c r="J165" s="754">
        <f t="shared" ref="J165:Q165" si="447">J163*((1+$B$4)^16)/(((1+$B$4)^16)-1)</f>
        <v>4100.1586501340453</v>
      </c>
      <c r="K165" s="754">
        <f t="shared" si="447"/>
        <v>-10927.748961788113</v>
      </c>
      <c r="L165" s="754">
        <f t="shared" si="447"/>
        <v>11614.112456095121</v>
      </c>
      <c r="M165" s="754">
        <f t="shared" si="447"/>
        <v>-18441.702767749193</v>
      </c>
      <c r="N165" s="754">
        <f t="shared" si="447"/>
        <v>6503.5859778309868</v>
      </c>
      <c r="O165" s="754">
        <f t="shared" si="447"/>
        <v>16718.169369287196</v>
      </c>
      <c r="P165" s="754">
        <f t="shared" si="447"/>
        <v>-3539.5640364173119</v>
      </c>
      <c r="Q165" s="754">
        <f t="shared" si="447"/>
        <v>26932.752760743391</v>
      </c>
      <c r="R165" s="754">
        <f t="shared" ref="R165:AL165" si="448">R163*((1+$B$4)^16)/(((1+$B$4)^16)-1)</f>
        <v>-13925.580805081416</v>
      </c>
      <c r="S165" s="290">
        <f t="shared" si="448"/>
        <v>4134.2695078411389</v>
      </c>
      <c r="T165" s="290">
        <f t="shared" si="448"/>
        <v>23588.177122555982</v>
      </c>
      <c r="U165" s="290">
        <f t="shared" si="448"/>
        <v>-15319.638106873696</v>
      </c>
      <c r="V165" s="290">
        <f t="shared" si="448"/>
        <v>43042.084737270809</v>
      </c>
      <c r="W165" s="290">
        <f t="shared" si="448"/>
        <v>-34773.545721588525</v>
      </c>
      <c r="X165" s="290">
        <f t="shared" si="448"/>
        <v>3787.8365407860747</v>
      </c>
      <c r="Y165" s="290">
        <f t="shared" si="448"/>
        <v>10092.283784522358</v>
      </c>
      <c r="Z165" s="290">
        <f t="shared" si="448"/>
        <v>-2516.6107029502091</v>
      </c>
      <c r="AA165" s="290">
        <f t="shared" si="448"/>
        <v>16396.731028258644</v>
      </c>
      <c r="AB165" s="290">
        <f t="shared" si="448"/>
        <v>-8821.0579466864929</v>
      </c>
      <c r="AC165" s="290">
        <f t="shared" si="448"/>
        <v>4925.0624340501081</v>
      </c>
      <c r="AD165" s="290">
        <f t="shared" si="448"/>
        <v>12619.389629030467</v>
      </c>
      <c r="AE165" s="290">
        <f t="shared" si="448"/>
        <v>-2769.264760930253</v>
      </c>
      <c r="AF165" s="290">
        <f t="shared" si="448"/>
        <v>20313.716824010826</v>
      </c>
      <c r="AG165" s="290">
        <f t="shared" si="448"/>
        <v>-10463.591955910613</v>
      </c>
      <c r="AH165" s="290">
        <f t="shared" si="448"/>
        <v>5311.4099999999962</v>
      </c>
      <c r="AI165" s="290">
        <f t="shared" si="448"/>
        <v>22019.00999999998</v>
      </c>
      <c r="AJ165" s="290">
        <f t="shared" si="448"/>
        <v>-11396.189999999982</v>
      </c>
      <c r="AK165" s="290">
        <f t="shared" si="448"/>
        <v>38726.609999999964</v>
      </c>
      <c r="AL165" s="290">
        <f t="shared" si="448"/>
        <v>-28103.789999999964</v>
      </c>
    </row>
    <row r="166" spans="2:38" ht="14.5" x14ac:dyDescent="0.35">
      <c r="B166" s="41" t="s">
        <v>348</v>
      </c>
      <c r="C166" s="26"/>
      <c r="D166" s="24"/>
      <c r="E166" s="149"/>
      <c r="F166" s="149"/>
      <c r="G166" s="149"/>
      <c r="H166" s="285" t="s">
        <v>460</v>
      </c>
      <c r="I166" s="755">
        <f>I164*((1+$B$4)^16)/(((1+$B$4)^16)-1)</f>
        <v>2306.2048441729598</v>
      </c>
      <c r="J166" s="755">
        <f t="shared" ref="J166:R166" si="449">J164*((1+$B$4)^16)/(((1+$B$4)^16)-1)</f>
        <v>9820.1586501340407</v>
      </c>
      <c r="K166" s="755">
        <f t="shared" si="449"/>
        <v>-5207.7489617881201</v>
      </c>
      <c r="L166" s="755">
        <f t="shared" si="449"/>
        <v>17334.112456095114</v>
      </c>
      <c r="M166" s="755">
        <f t="shared" si="449"/>
        <v>-12721.702767749197</v>
      </c>
      <c r="N166" s="755">
        <f t="shared" si="449"/>
        <v>12223.585977830982</v>
      </c>
      <c r="O166" s="755">
        <f t="shared" si="449"/>
        <v>22438.169369287192</v>
      </c>
      <c r="P166" s="755">
        <f t="shared" si="449"/>
        <v>2180.4359635826804</v>
      </c>
      <c r="Q166" s="755">
        <f t="shared" si="449"/>
        <v>32652.75276074338</v>
      </c>
      <c r="R166" s="755">
        <f t="shared" si="449"/>
        <v>-8205.580805081423</v>
      </c>
      <c r="S166" s="755">
        <f t="shared" ref="S166:AL166" si="450">S164*((1+$B$4)^16)/(((1+$B$4)^16)-1)</f>
        <v>9854.2695078411307</v>
      </c>
      <c r="T166" s="755">
        <f t="shared" si="450"/>
        <v>29308.177122555975</v>
      </c>
      <c r="U166" s="755">
        <f t="shared" si="450"/>
        <v>-9599.6381068736991</v>
      </c>
      <c r="V166" s="755">
        <f t="shared" si="450"/>
        <v>48762.084737270801</v>
      </c>
      <c r="W166" s="755">
        <f t="shared" si="450"/>
        <v>-29053.545721588533</v>
      </c>
      <c r="X166" s="755">
        <f t="shared" si="450"/>
        <v>9507.8365407860692</v>
      </c>
      <c r="Y166" s="755">
        <f t="shared" si="450"/>
        <v>15812.283784522351</v>
      </c>
      <c r="Z166" s="755">
        <f t="shared" si="450"/>
        <v>3203.3892970497836</v>
      </c>
      <c r="AA166" s="755">
        <f t="shared" si="450"/>
        <v>22116.731028258637</v>
      </c>
      <c r="AB166" s="755">
        <f t="shared" si="450"/>
        <v>-3101.0579466865001</v>
      </c>
      <c r="AC166" s="755">
        <f t="shared" si="450"/>
        <v>10645.062434050102</v>
      </c>
      <c r="AD166" s="755">
        <f t="shared" si="450"/>
        <v>18339.389629030462</v>
      </c>
      <c r="AE166" s="755">
        <f t="shared" si="450"/>
        <v>2950.7352390697415</v>
      </c>
      <c r="AF166" s="755">
        <f t="shared" si="450"/>
        <v>26033.716824010819</v>
      </c>
      <c r="AG166" s="755">
        <f t="shared" si="450"/>
        <v>-4743.5919559106205</v>
      </c>
      <c r="AH166" s="755">
        <f t="shared" si="450"/>
        <v>11031.409999999991</v>
      </c>
      <c r="AI166" s="755">
        <f t="shared" si="450"/>
        <v>27739.009999999969</v>
      </c>
      <c r="AJ166" s="755">
        <f t="shared" si="450"/>
        <v>-5676.1899999999914</v>
      </c>
      <c r="AK166" s="755">
        <f t="shared" si="450"/>
        <v>44446.60999999995</v>
      </c>
      <c r="AL166" s="755">
        <f t="shared" si="450"/>
        <v>-22383.789999999968</v>
      </c>
    </row>
    <row r="167" spans="2:38" x14ac:dyDescent="0.3">
      <c r="B167" s="62" t="s">
        <v>349</v>
      </c>
      <c r="C167" s="976"/>
      <c r="D167" s="265"/>
      <c r="E167" s="289"/>
      <c r="F167" s="289"/>
      <c r="G167" s="289"/>
      <c r="H167" s="280" t="s">
        <v>487</v>
      </c>
      <c r="I167" s="754">
        <f>I165*$B$4</f>
        <v>-136.55180623308141</v>
      </c>
      <c r="J167" s="754">
        <f t="shared" ref="J167:R167" si="451">J165*$B$4</f>
        <v>164.00634600536182</v>
      </c>
      <c r="K167" s="754">
        <f t="shared" si="451"/>
        <v>-437.10995847152452</v>
      </c>
      <c r="L167" s="754">
        <f t="shared" si="451"/>
        <v>464.56449824380485</v>
      </c>
      <c r="M167" s="754">
        <f t="shared" si="451"/>
        <v>-737.66811070996778</v>
      </c>
      <c r="N167" s="754">
        <f t="shared" si="451"/>
        <v>260.14343911323948</v>
      </c>
      <c r="O167" s="754">
        <f t="shared" si="451"/>
        <v>668.72677477148784</v>
      </c>
      <c r="P167" s="754">
        <f t="shared" si="451"/>
        <v>-141.58256145669247</v>
      </c>
      <c r="Q167" s="754">
        <f t="shared" si="451"/>
        <v>1077.3101104297357</v>
      </c>
      <c r="R167" s="754">
        <f t="shared" si="451"/>
        <v>-557.02323220325661</v>
      </c>
      <c r="S167" s="754">
        <f t="shared" ref="S167:AL167" si="452">S165*$B$4</f>
        <v>165.37078031364555</v>
      </c>
      <c r="T167" s="754">
        <f t="shared" si="452"/>
        <v>943.52708490223927</v>
      </c>
      <c r="U167" s="754">
        <f t="shared" si="452"/>
        <v>-612.78552427494787</v>
      </c>
      <c r="V167" s="754">
        <f t="shared" si="452"/>
        <v>1721.6833894908323</v>
      </c>
      <c r="W167" s="754">
        <f t="shared" si="452"/>
        <v>-1390.9418288635411</v>
      </c>
      <c r="X167" s="754">
        <f t="shared" si="452"/>
        <v>151.51346163144299</v>
      </c>
      <c r="Y167" s="754">
        <f t="shared" si="452"/>
        <v>403.69135138089433</v>
      </c>
      <c r="Z167" s="754">
        <f t="shared" si="452"/>
        <v>-100.66442811800836</v>
      </c>
      <c r="AA167" s="754">
        <f t="shared" si="452"/>
        <v>655.86924113034581</v>
      </c>
      <c r="AB167" s="754">
        <f t="shared" si="452"/>
        <v>-352.84231786745971</v>
      </c>
      <c r="AC167" s="754">
        <f t="shared" si="452"/>
        <v>197.00249736200433</v>
      </c>
      <c r="AD167" s="754">
        <f t="shared" si="452"/>
        <v>504.77558516121871</v>
      </c>
      <c r="AE167" s="754">
        <f t="shared" si="452"/>
        <v>-110.77059043721012</v>
      </c>
      <c r="AF167" s="754">
        <f t="shared" si="452"/>
        <v>812.54867296043301</v>
      </c>
      <c r="AG167" s="754">
        <f t="shared" si="452"/>
        <v>-418.54367823642451</v>
      </c>
      <c r="AH167" s="754">
        <f t="shared" si="452"/>
        <v>212.45639999999986</v>
      </c>
      <c r="AI167" s="754">
        <f t="shared" si="452"/>
        <v>880.76039999999921</v>
      </c>
      <c r="AJ167" s="754">
        <f t="shared" si="452"/>
        <v>-455.84759999999932</v>
      </c>
      <c r="AK167" s="754">
        <f t="shared" si="452"/>
        <v>1549.0643999999986</v>
      </c>
      <c r="AL167" s="754">
        <f t="shared" si="452"/>
        <v>-1124.1515999999986</v>
      </c>
    </row>
    <row r="168" spans="2:38" x14ac:dyDescent="0.3">
      <c r="B168" s="46" t="s">
        <v>350</v>
      </c>
      <c r="C168" s="47"/>
      <c r="D168" s="291"/>
      <c r="E168" s="292"/>
      <c r="F168" s="292"/>
      <c r="G168" s="292"/>
      <c r="H168" s="285" t="s">
        <v>487</v>
      </c>
      <c r="I168" s="755">
        <f>I166*$B$4</f>
        <v>92.248193766918391</v>
      </c>
      <c r="J168" s="755">
        <f t="shared" ref="J168:R168" si="453">J166*$B$4</f>
        <v>392.80634600536166</v>
      </c>
      <c r="K168" s="755">
        <f t="shared" si="453"/>
        <v>-208.30995847152482</v>
      </c>
      <c r="L168" s="755">
        <f t="shared" si="453"/>
        <v>693.36449824380452</v>
      </c>
      <c r="M168" s="755">
        <f t="shared" si="453"/>
        <v>-508.86811070996788</v>
      </c>
      <c r="N168" s="755">
        <f t="shared" si="453"/>
        <v>488.94343911323932</v>
      </c>
      <c r="O168" s="755">
        <f t="shared" si="453"/>
        <v>897.52677477148768</v>
      </c>
      <c r="P168" s="755">
        <f t="shared" si="453"/>
        <v>87.217438543307225</v>
      </c>
      <c r="Q168" s="755">
        <f t="shared" si="453"/>
        <v>1306.1101104297352</v>
      </c>
      <c r="R168" s="755">
        <f t="shared" si="453"/>
        <v>-328.22323220325694</v>
      </c>
      <c r="S168" s="755">
        <f t="shared" ref="S168:AL168" si="454">S166*$B$4</f>
        <v>394.17078031364525</v>
      </c>
      <c r="T168" s="755">
        <f t="shared" si="454"/>
        <v>1172.327084902239</v>
      </c>
      <c r="U168" s="755">
        <f t="shared" si="454"/>
        <v>-383.98552427494798</v>
      </c>
      <c r="V168" s="755">
        <f t="shared" si="454"/>
        <v>1950.483389490832</v>
      </c>
      <c r="W168" s="755">
        <f t="shared" si="454"/>
        <v>-1162.1418288635414</v>
      </c>
      <c r="X168" s="755">
        <f t="shared" si="454"/>
        <v>380.31346163144275</v>
      </c>
      <c r="Y168" s="755">
        <f t="shared" si="454"/>
        <v>632.49135138089412</v>
      </c>
      <c r="Z168" s="755">
        <f t="shared" si="454"/>
        <v>128.13557188199135</v>
      </c>
      <c r="AA168" s="755">
        <f t="shared" si="454"/>
        <v>884.66924113034554</v>
      </c>
      <c r="AB168" s="755">
        <f t="shared" si="454"/>
        <v>-124.04231786746001</v>
      </c>
      <c r="AC168" s="755">
        <f t="shared" si="454"/>
        <v>425.80249736200409</v>
      </c>
      <c r="AD168" s="755">
        <f t="shared" si="454"/>
        <v>733.57558516121844</v>
      </c>
      <c r="AE168" s="755">
        <f t="shared" si="454"/>
        <v>118.02940956278967</v>
      </c>
      <c r="AF168" s="755">
        <f t="shared" si="454"/>
        <v>1041.3486729604329</v>
      </c>
      <c r="AG168" s="755">
        <f t="shared" si="454"/>
        <v>-189.74367823642481</v>
      </c>
      <c r="AH168" s="755">
        <f t="shared" si="454"/>
        <v>441.25639999999964</v>
      </c>
      <c r="AI168" s="755">
        <f t="shared" si="454"/>
        <v>1109.5603999999987</v>
      </c>
      <c r="AJ168" s="755">
        <f t="shared" si="454"/>
        <v>-227.04759999999965</v>
      </c>
      <c r="AK168" s="755">
        <f t="shared" si="454"/>
        <v>1777.8643999999981</v>
      </c>
      <c r="AL168" s="755">
        <f t="shared" si="454"/>
        <v>-895.35159999999871</v>
      </c>
    </row>
  </sheetData>
  <mergeCells count="1">
    <mergeCell ref="B2:E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FT168"/>
  <sheetViews>
    <sheetView topLeftCell="Z61" zoomScaleNormal="100" workbookViewId="0">
      <selection activeCell="AH78" sqref="AH78"/>
    </sheetView>
  </sheetViews>
  <sheetFormatPr defaultColWidth="9" defaultRowHeight="14" x14ac:dyDescent="0.3"/>
  <sheetData>
    <row r="2" spans="1:175" x14ac:dyDescent="0.3">
      <c r="B2" s="1132" t="s">
        <v>364</v>
      </c>
      <c r="C2" s="1133"/>
      <c r="D2" s="1133"/>
      <c r="E2" s="1134"/>
    </row>
    <row r="4" spans="1:175" x14ac:dyDescent="0.3">
      <c r="A4" t="s">
        <v>432</v>
      </c>
      <c r="B4" s="266">
        <f>'Arable Inputs'!D9</f>
        <v>0.04</v>
      </c>
      <c r="C4" s="266"/>
    </row>
    <row r="8" spans="1:175" x14ac:dyDescent="0.3">
      <c r="B8" s="227" t="s">
        <v>96</v>
      </c>
      <c r="C8" s="762" t="s">
        <v>431</v>
      </c>
      <c r="D8" s="269" t="s">
        <v>418</v>
      </c>
      <c r="E8" s="887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Y8" s="102"/>
      <c r="Z8" s="227" t="s">
        <v>96</v>
      </c>
      <c r="AA8" s="211" t="s">
        <v>336</v>
      </c>
      <c r="AB8" s="886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96</v>
      </c>
      <c r="AY8" s="211" t="s">
        <v>337</v>
      </c>
      <c r="AZ8" s="886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96</v>
      </c>
      <c r="BW8" s="211" t="s">
        <v>338</v>
      </c>
      <c r="BX8" s="886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96</v>
      </c>
      <c r="CU8" s="211" t="s">
        <v>339</v>
      </c>
      <c r="CV8" s="886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</row>
    <row r="9" spans="1:175" x14ac:dyDescent="0.3">
      <c r="B9" s="203"/>
      <c r="C9" s="148"/>
      <c r="D9" s="148"/>
      <c r="E9" s="970"/>
      <c r="F9" s="970"/>
      <c r="G9" s="970"/>
      <c r="H9" s="148"/>
      <c r="I9" s="910"/>
      <c r="J9" s="970"/>
      <c r="K9" s="970"/>
      <c r="L9" s="148"/>
      <c r="M9" s="148"/>
      <c r="N9" s="971" t="s">
        <v>279</v>
      </c>
      <c r="O9" s="972"/>
      <c r="P9" s="972"/>
      <c r="Q9" s="972"/>
      <c r="R9" s="973"/>
      <c r="S9" s="971" t="s">
        <v>280</v>
      </c>
      <c r="T9" s="972"/>
      <c r="U9" s="972"/>
      <c r="V9" s="972"/>
      <c r="W9" s="973"/>
      <c r="Z9" s="203"/>
      <c r="AA9" s="148"/>
      <c r="AB9" s="148"/>
      <c r="AC9" s="970"/>
      <c r="AD9" s="970"/>
      <c r="AE9" s="970"/>
      <c r="AF9" s="148"/>
      <c r="AG9" s="910"/>
      <c r="AH9" s="970"/>
      <c r="AI9" s="970"/>
      <c r="AJ9" s="148"/>
      <c r="AK9" s="148"/>
      <c r="AL9" s="971" t="s">
        <v>326</v>
      </c>
      <c r="AM9" s="972"/>
      <c r="AN9" s="972"/>
      <c r="AO9" s="972"/>
      <c r="AP9" s="973"/>
      <c r="AQ9" s="971" t="s">
        <v>280</v>
      </c>
      <c r="AR9" s="972"/>
      <c r="AS9" s="972"/>
      <c r="AT9" s="972"/>
      <c r="AU9" s="973"/>
      <c r="AX9" s="203"/>
      <c r="AY9" s="148"/>
      <c r="AZ9" s="148"/>
      <c r="BA9" s="970"/>
      <c r="BB9" s="970"/>
      <c r="BC9" s="970"/>
      <c r="BD9" s="148"/>
      <c r="BE9" s="910"/>
      <c r="BF9" s="970"/>
      <c r="BG9" s="970"/>
      <c r="BH9" s="148"/>
      <c r="BI9" s="148"/>
      <c r="BJ9" s="971" t="s">
        <v>326</v>
      </c>
      <c r="BK9" s="972"/>
      <c r="BL9" s="972"/>
      <c r="BM9" s="972"/>
      <c r="BN9" s="973"/>
      <c r="BO9" s="971" t="s">
        <v>280</v>
      </c>
      <c r="BP9" s="972"/>
      <c r="BQ9" s="972"/>
      <c r="BR9" s="972"/>
      <c r="BS9" s="973"/>
      <c r="BV9" s="203"/>
      <c r="BW9" s="148"/>
      <c r="BX9" s="148"/>
      <c r="BY9" s="970"/>
      <c r="BZ9" s="970"/>
      <c r="CA9" s="970"/>
      <c r="CB9" s="148"/>
      <c r="CC9" s="910"/>
      <c r="CD9" s="970"/>
      <c r="CE9" s="970"/>
      <c r="CF9" s="148"/>
      <c r="CG9" s="148"/>
      <c r="CH9" s="971" t="s">
        <v>279</v>
      </c>
      <c r="CI9" s="972"/>
      <c r="CJ9" s="972"/>
      <c r="CK9" s="972"/>
      <c r="CL9" s="973"/>
      <c r="CM9" s="971" t="s">
        <v>280</v>
      </c>
      <c r="CN9" s="972"/>
      <c r="CO9" s="972"/>
      <c r="CP9" s="972"/>
      <c r="CQ9" s="973"/>
      <c r="CT9" s="203"/>
      <c r="CU9" s="148"/>
      <c r="CV9" s="148"/>
      <c r="CW9" s="970"/>
      <c r="CX9" s="970"/>
      <c r="CY9" s="970"/>
      <c r="CZ9" s="148"/>
      <c r="DA9" s="910"/>
      <c r="DB9" s="970"/>
      <c r="DC9" s="970"/>
      <c r="DD9" s="148"/>
      <c r="DE9" s="148"/>
      <c r="DF9" s="971" t="s">
        <v>279</v>
      </c>
      <c r="DG9" s="972"/>
      <c r="DH9" s="972"/>
      <c r="DI9" s="972"/>
      <c r="DJ9" s="973"/>
      <c r="DK9" s="971" t="s">
        <v>280</v>
      </c>
      <c r="DL9" s="972"/>
      <c r="DM9" s="972"/>
      <c r="DN9" s="972"/>
      <c r="DO9" s="973"/>
    </row>
    <row r="10" spans="1:175" ht="51" x14ac:dyDescent="0.3">
      <c r="B10" s="204" t="s">
        <v>281</v>
      </c>
      <c r="C10" s="205" t="s">
        <v>307</v>
      </c>
      <c r="D10" s="205" t="s">
        <v>308</v>
      </c>
      <c r="E10" s="171" t="s">
        <v>283</v>
      </c>
      <c r="F10" s="171" t="s">
        <v>10</v>
      </c>
      <c r="G10" s="171" t="s">
        <v>284</v>
      </c>
      <c r="H10" s="205" t="s">
        <v>305</v>
      </c>
      <c r="I10" s="914" t="str">
        <f>'Energy NPV'!U63</f>
        <v>Total Recurring Costs</v>
      </c>
      <c r="J10" s="205" t="s">
        <v>309</v>
      </c>
      <c r="K10" s="171" t="s">
        <v>287</v>
      </c>
      <c r="L10" s="171" t="s">
        <v>288</v>
      </c>
      <c r="M10" s="171" t="s">
        <v>289</v>
      </c>
      <c r="N10" s="195" t="s">
        <v>290</v>
      </c>
      <c r="O10" s="171" t="s">
        <v>291</v>
      </c>
      <c r="P10" s="171" t="s">
        <v>292</v>
      </c>
      <c r="Q10" s="171" t="s">
        <v>293</v>
      </c>
      <c r="R10" s="198" t="s">
        <v>294</v>
      </c>
      <c r="S10" s="195" t="s">
        <v>295</v>
      </c>
      <c r="T10" s="171" t="s">
        <v>296</v>
      </c>
      <c r="U10" s="171" t="s">
        <v>297</v>
      </c>
      <c r="V10" s="171" t="s">
        <v>298</v>
      </c>
      <c r="W10" s="198" t="s">
        <v>299</v>
      </c>
      <c r="Z10" s="204" t="s">
        <v>281</v>
      </c>
      <c r="AA10" s="205" t="s">
        <v>307</v>
      </c>
      <c r="AB10" s="205" t="s">
        <v>308</v>
      </c>
      <c r="AC10" s="171" t="s">
        <v>283</v>
      </c>
      <c r="AD10" s="171" t="s">
        <v>10</v>
      </c>
      <c r="AE10" s="171" t="s">
        <v>284</v>
      </c>
      <c r="AF10" s="205" t="s">
        <v>305</v>
      </c>
      <c r="AG10" s="914" t="str">
        <f>'Energy NPV'!U63</f>
        <v>Total Recurring Costs</v>
      </c>
      <c r="AH10" s="205" t="s">
        <v>309</v>
      </c>
      <c r="AI10" s="171" t="s">
        <v>287</v>
      </c>
      <c r="AJ10" s="171" t="s">
        <v>288</v>
      </c>
      <c r="AK10" s="171" t="s">
        <v>289</v>
      </c>
      <c r="AL10" s="195" t="s">
        <v>290</v>
      </c>
      <c r="AM10" s="171" t="s">
        <v>291</v>
      </c>
      <c r="AN10" s="171" t="s">
        <v>292</v>
      </c>
      <c r="AO10" s="171" t="s">
        <v>293</v>
      </c>
      <c r="AP10" s="198" t="s">
        <v>294</v>
      </c>
      <c r="AQ10" s="195" t="s">
        <v>295</v>
      </c>
      <c r="AR10" s="171" t="s">
        <v>296</v>
      </c>
      <c r="AS10" s="171" t="s">
        <v>297</v>
      </c>
      <c r="AT10" s="171" t="s">
        <v>298</v>
      </c>
      <c r="AU10" s="198" t="s">
        <v>299</v>
      </c>
      <c r="AX10" s="204" t="s">
        <v>281</v>
      </c>
      <c r="AY10" s="205" t="s">
        <v>307</v>
      </c>
      <c r="AZ10" s="205" t="s">
        <v>308</v>
      </c>
      <c r="BA10" s="171" t="s">
        <v>283</v>
      </c>
      <c r="BB10" s="171" t="s">
        <v>10</v>
      </c>
      <c r="BC10" s="171" t="s">
        <v>284</v>
      </c>
      <c r="BD10" s="205" t="s">
        <v>305</v>
      </c>
      <c r="BE10" s="914" t="str">
        <f>'Energy NPV'!U63</f>
        <v>Total Recurring Costs</v>
      </c>
      <c r="BF10" s="205" t="s">
        <v>309</v>
      </c>
      <c r="BG10" s="171" t="s">
        <v>287</v>
      </c>
      <c r="BH10" s="171" t="s">
        <v>288</v>
      </c>
      <c r="BI10" s="171" t="s">
        <v>289</v>
      </c>
      <c r="BJ10" s="195" t="s">
        <v>290</v>
      </c>
      <c r="BK10" s="171" t="s">
        <v>291</v>
      </c>
      <c r="BL10" s="171" t="s">
        <v>292</v>
      </c>
      <c r="BM10" s="171" t="s">
        <v>293</v>
      </c>
      <c r="BN10" s="198" t="s">
        <v>294</v>
      </c>
      <c r="BO10" s="195" t="s">
        <v>295</v>
      </c>
      <c r="BP10" s="171" t="s">
        <v>296</v>
      </c>
      <c r="BQ10" s="171" t="s">
        <v>297</v>
      </c>
      <c r="BR10" s="171" t="s">
        <v>298</v>
      </c>
      <c r="BS10" s="198" t="s">
        <v>299</v>
      </c>
      <c r="BV10" s="204" t="s">
        <v>281</v>
      </c>
      <c r="BW10" s="205" t="s">
        <v>307</v>
      </c>
      <c r="BX10" s="205" t="s">
        <v>308</v>
      </c>
      <c r="BY10" s="171" t="s">
        <v>283</v>
      </c>
      <c r="BZ10" s="171" t="s">
        <v>10</v>
      </c>
      <c r="CA10" s="171" t="s">
        <v>284</v>
      </c>
      <c r="CB10" s="205" t="s">
        <v>305</v>
      </c>
      <c r="CC10" s="914" t="str">
        <f>'Energy NPV'!U63</f>
        <v>Total Recurring Costs</v>
      </c>
      <c r="CD10" s="205" t="s">
        <v>309</v>
      </c>
      <c r="CE10" s="171" t="s">
        <v>287</v>
      </c>
      <c r="CF10" s="171" t="s">
        <v>288</v>
      </c>
      <c r="CG10" s="171" t="s">
        <v>289</v>
      </c>
      <c r="CH10" s="195" t="s">
        <v>290</v>
      </c>
      <c r="CI10" s="171" t="s">
        <v>291</v>
      </c>
      <c r="CJ10" s="171" t="s">
        <v>292</v>
      </c>
      <c r="CK10" s="171" t="s">
        <v>293</v>
      </c>
      <c r="CL10" s="198" t="s">
        <v>294</v>
      </c>
      <c r="CM10" s="195" t="s">
        <v>295</v>
      </c>
      <c r="CN10" s="171" t="s">
        <v>296</v>
      </c>
      <c r="CO10" s="171" t="s">
        <v>297</v>
      </c>
      <c r="CP10" s="171" t="s">
        <v>298</v>
      </c>
      <c r="CQ10" s="198" t="s">
        <v>299</v>
      </c>
      <c r="CT10" s="204" t="s">
        <v>281</v>
      </c>
      <c r="CU10" s="205" t="s">
        <v>307</v>
      </c>
      <c r="CV10" s="205" t="s">
        <v>308</v>
      </c>
      <c r="CW10" s="171" t="s">
        <v>283</v>
      </c>
      <c r="CX10" s="171" t="s">
        <v>10</v>
      </c>
      <c r="CY10" s="171" t="s">
        <v>284</v>
      </c>
      <c r="CZ10" s="205" t="s">
        <v>305</v>
      </c>
      <c r="DA10" s="914" t="str">
        <f>'Energy NPV'!U63</f>
        <v>Total Recurring Costs</v>
      </c>
      <c r="DB10" s="205" t="s">
        <v>309</v>
      </c>
      <c r="DC10" s="171" t="s">
        <v>287</v>
      </c>
      <c r="DD10" s="171" t="s">
        <v>288</v>
      </c>
      <c r="DE10" s="171" t="s">
        <v>289</v>
      </c>
      <c r="DF10" s="195" t="s">
        <v>290</v>
      </c>
      <c r="DG10" s="171" t="s">
        <v>291</v>
      </c>
      <c r="DH10" s="171" t="s">
        <v>292</v>
      </c>
      <c r="DI10" s="171" t="s">
        <v>293</v>
      </c>
      <c r="DJ10" s="198" t="s">
        <v>294</v>
      </c>
      <c r="DK10" s="195" t="s">
        <v>295</v>
      </c>
      <c r="DL10" s="171" t="s">
        <v>296</v>
      </c>
      <c r="DM10" s="171" t="s">
        <v>297</v>
      </c>
      <c r="DN10" s="171" t="s">
        <v>298</v>
      </c>
      <c r="DO10" s="198" t="s">
        <v>299</v>
      </c>
    </row>
    <row r="11" spans="1:175" x14ac:dyDescent="0.3">
      <c r="B11" s="173"/>
      <c r="C11" s="226" t="s">
        <v>356</v>
      </c>
      <c r="D11" s="226" t="s">
        <v>476</v>
      </c>
      <c r="E11" s="201" t="s">
        <v>474</v>
      </c>
      <c r="F11" s="201" t="s">
        <v>474</v>
      </c>
      <c r="G11" s="201" t="s">
        <v>474</v>
      </c>
      <c r="H11" s="201" t="s">
        <v>474</v>
      </c>
      <c r="I11" s="948" t="str">
        <f>'Energy NPV'!U64</f>
        <v>(£ ha-1)</v>
      </c>
      <c r="J11" s="201" t="s">
        <v>474</v>
      </c>
      <c r="K11" s="201" t="s">
        <v>474</v>
      </c>
      <c r="L11" s="201" t="s">
        <v>474</v>
      </c>
      <c r="M11" s="202" t="s">
        <v>474</v>
      </c>
      <c r="N11" s="201" t="s">
        <v>474</v>
      </c>
      <c r="O11" s="201" t="s">
        <v>474</v>
      </c>
      <c r="P11" s="201" t="s">
        <v>474</v>
      </c>
      <c r="Q11" s="201" t="s">
        <v>474</v>
      </c>
      <c r="R11" s="202" t="s">
        <v>474</v>
      </c>
      <c r="S11" s="201" t="s">
        <v>474</v>
      </c>
      <c r="T11" s="201" t="s">
        <v>474</v>
      </c>
      <c r="U11" s="201" t="s">
        <v>474</v>
      </c>
      <c r="V11" s="201" t="s">
        <v>474</v>
      </c>
      <c r="W11" s="202" t="s">
        <v>474</v>
      </c>
      <c r="Z11" s="173"/>
      <c r="AA11" s="226" t="s">
        <v>356</v>
      </c>
      <c r="AB11" s="226" t="s">
        <v>476</v>
      </c>
      <c r="AC11" s="201" t="s">
        <v>474</v>
      </c>
      <c r="AD11" s="201" t="s">
        <v>474</v>
      </c>
      <c r="AE11" s="201" t="s">
        <v>474</v>
      </c>
      <c r="AF11" s="201" t="s">
        <v>474</v>
      </c>
      <c r="AG11" s="948" t="str">
        <f>'Energy NPV'!U64</f>
        <v>(£ ha-1)</v>
      </c>
      <c r="AH11" s="201" t="s">
        <v>474</v>
      </c>
      <c r="AI11" s="201" t="s">
        <v>474</v>
      </c>
      <c r="AJ11" s="201" t="s">
        <v>474</v>
      </c>
      <c r="AK11" s="202" t="s">
        <v>474</v>
      </c>
      <c r="AL11" s="201" t="s">
        <v>474</v>
      </c>
      <c r="AM11" s="201" t="s">
        <v>474</v>
      </c>
      <c r="AN11" s="201" t="s">
        <v>474</v>
      </c>
      <c r="AO11" s="201" t="s">
        <v>474</v>
      </c>
      <c r="AP11" s="202" t="s">
        <v>474</v>
      </c>
      <c r="AQ11" s="201" t="s">
        <v>474</v>
      </c>
      <c r="AR11" s="201" t="s">
        <v>474</v>
      </c>
      <c r="AS11" s="201" t="s">
        <v>474</v>
      </c>
      <c r="AT11" s="201" t="s">
        <v>474</v>
      </c>
      <c r="AU11" s="202" t="s">
        <v>474</v>
      </c>
      <c r="AX11" s="173"/>
      <c r="AY11" s="226" t="s">
        <v>356</v>
      </c>
      <c r="AZ11" s="226" t="s">
        <v>476</v>
      </c>
      <c r="BA11" s="201" t="s">
        <v>474</v>
      </c>
      <c r="BB11" s="201" t="s">
        <v>474</v>
      </c>
      <c r="BC11" s="201" t="s">
        <v>474</v>
      </c>
      <c r="BD11" s="201" t="s">
        <v>474</v>
      </c>
      <c r="BE11" s="948" t="str">
        <f>'Energy NPV'!U64</f>
        <v>(£ ha-1)</v>
      </c>
      <c r="BF11" s="201" t="s">
        <v>474</v>
      </c>
      <c r="BG11" s="201" t="s">
        <v>474</v>
      </c>
      <c r="BH11" s="201" t="s">
        <v>474</v>
      </c>
      <c r="BI11" s="202" t="s">
        <v>474</v>
      </c>
      <c r="BJ11" s="201" t="s">
        <v>474</v>
      </c>
      <c r="BK11" s="201" t="s">
        <v>474</v>
      </c>
      <c r="BL11" s="201" t="s">
        <v>474</v>
      </c>
      <c r="BM11" s="201" t="s">
        <v>474</v>
      </c>
      <c r="BN11" s="202" t="s">
        <v>474</v>
      </c>
      <c r="BO11" s="201" t="s">
        <v>474</v>
      </c>
      <c r="BP11" s="201" t="s">
        <v>474</v>
      </c>
      <c r="BQ11" s="201" t="s">
        <v>474</v>
      </c>
      <c r="BR11" s="201" t="s">
        <v>474</v>
      </c>
      <c r="BS11" s="202" t="s">
        <v>474</v>
      </c>
      <c r="BV11" s="173"/>
      <c r="BW11" s="226" t="s">
        <v>356</v>
      </c>
      <c r="BX11" s="226" t="s">
        <v>476</v>
      </c>
      <c r="BY11" s="201" t="s">
        <v>474</v>
      </c>
      <c r="BZ11" s="201" t="s">
        <v>474</v>
      </c>
      <c r="CA11" s="201" t="s">
        <v>474</v>
      </c>
      <c r="CB11" s="201" t="s">
        <v>474</v>
      </c>
      <c r="CC11" s="948" t="str">
        <f>'Energy NPV'!U64</f>
        <v>(£ ha-1)</v>
      </c>
      <c r="CD11" s="201" t="s">
        <v>474</v>
      </c>
      <c r="CE11" s="201" t="s">
        <v>474</v>
      </c>
      <c r="CF11" s="201" t="s">
        <v>474</v>
      </c>
      <c r="CG11" s="202" t="s">
        <v>474</v>
      </c>
      <c r="CH11" s="201" t="s">
        <v>474</v>
      </c>
      <c r="CI11" s="201" t="s">
        <v>474</v>
      </c>
      <c r="CJ11" s="201" t="s">
        <v>474</v>
      </c>
      <c r="CK11" s="201" t="s">
        <v>474</v>
      </c>
      <c r="CL11" s="202" t="s">
        <v>474</v>
      </c>
      <c r="CM11" s="201" t="s">
        <v>474</v>
      </c>
      <c r="CN11" s="201" t="s">
        <v>474</v>
      </c>
      <c r="CO11" s="201" t="s">
        <v>474</v>
      </c>
      <c r="CP11" s="201" t="s">
        <v>474</v>
      </c>
      <c r="CQ11" s="202" t="s">
        <v>474</v>
      </c>
      <c r="CT11" s="173"/>
      <c r="CU11" s="226" t="s">
        <v>356</v>
      </c>
      <c r="CV11" s="226" t="s">
        <v>476</v>
      </c>
      <c r="CW11" s="201" t="s">
        <v>474</v>
      </c>
      <c r="CX11" s="201" t="s">
        <v>474</v>
      </c>
      <c r="CY11" s="201" t="s">
        <v>474</v>
      </c>
      <c r="CZ11" s="201" t="s">
        <v>474</v>
      </c>
      <c r="DA11" s="948" t="str">
        <f>'Energy NPV'!U64</f>
        <v>(£ ha-1)</v>
      </c>
      <c r="DB11" s="201" t="s">
        <v>474</v>
      </c>
      <c r="DC11" s="201" t="s">
        <v>474</v>
      </c>
      <c r="DD11" s="201" t="s">
        <v>474</v>
      </c>
      <c r="DE11" s="202" t="s">
        <v>474</v>
      </c>
      <c r="DF11" s="201" t="s">
        <v>474</v>
      </c>
      <c r="DG11" s="201" t="s">
        <v>474</v>
      </c>
      <c r="DH11" s="201" t="s">
        <v>474</v>
      </c>
      <c r="DI11" s="201" t="s">
        <v>474</v>
      </c>
      <c r="DJ11" s="202" t="s">
        <v>474</v>
      </c>
      <c r="DK11" s="201" t="s">
        <v>474</v>
      </c>
      <c r="DL11" s="201" t="s">
        <v>474</v>
      </c>
      <c r="DM11" s="201" t="s">
        <v>474</v>
      </c>
      <c r="DN11" s="201" t="s">
        <v>474</v>
      </c>
      <c r="DO11" s="202" t="s">
        <v>474</v>
      </c>
    </row>
    <row r="12" spans="1:175" x14ac:dyDescent="0.3">
      <c r="B12" s="204">
        <v>1</v>
      </c>
      <c r="C12" s="197">
        <f>'Energy NPV'!$D65*$E$8</f>
        <v>2.0466666666666664</v>
      </c>
      <c r="D12" s="197">
        <f>'Energy margins'!$S$12</f>
        <v>55</v>
      </c>
      <c r="E12" s="197">
        <f>C12*D12</f>
        <v>112.56666666666665</v>
      </c>
      <c r="F12" s="197">
        <f>'Margins summary'!$U$14</f>
        <v>220</v>
      </c>
      <c r="G12" s="197">
        <f>E12+F12</f>
        <v>332.56666666666666</v>
      </c>
      <c r="H12" s="197">
        <f>'Margins summary'!$T$20</f>
        <v>5106.0919999999996</v>
      </c>
      <c r="I12" s="897">
        <f>'Energy NPV'!U65</f>
        <v>0</v>
      </c>
      <c r="J12" s="197"/>
      <c r="K12" s="197">
        <f t="shared" ref="K12:K27" si="0">H12+I12+J12</f>
        <v>5106.0919999999996</v>
      </c>
      <c r="L12" s="197">
        <f t="shared" ref="L12:L27" si="1">E12-K12</f>
        <v>-4993.525333333333</v>
      </c>
      <c r="M12" s="197">
        <f t="shared" ref="M12:M27" si="2">G12-K12</f>
        <v>-4773.525333333333</v>
      </c>
      <c r="N12" s="1016">
        <f>E12/((1+$B$4)^(B12-1))</f>
        <v>112.56666666666665</v>
      </c>
      <c r="O12" s="213">
        <f>F12/((1+$B$4)^(B12-1))</f>
        <v>220</v>
      </c>
      <c r="P12" s="213">
        <f>K12/((1+$B$4)^(B12-1))</f>
        <v>5106.0919999999996</v>
      </c>
      <c r="Q12" s="213">
        <f>L12/((1+$B$4)^(B12-1))</f>
        <v>-4993.525333333333</v>
      </c>
      <c r="R12" s="908">
        <f>M12/((1+$B$4)^(B12-1))</f>
        <v>-4773.525333333333</v>
      </c>
      <c r="S12" s="196">
        <f>N12</f>
        <v>112.56666666666665</v>
      </c>
      <c r="T12" s="197">
        <f>O12</f>
        <v>220</v>
      </c>
      <c r="U12" s="197">
        <f>P12</f>
        <v>5106.0919999999996</v>
      </c>
      <c r="V12" s="197">
        <f>Q12</f>
        <v>-4993.525333333333</v>
      </c>
      <c r="W12" s="199">
        <f>R12</f>
        <v>-4773.525333333333</v>
      </c>
      <c r="Z12" s="204">
        <v>1</v>
      </c>
      <c r="AA12" s="197">
        <f t="shared" ref="AA12:AA27" si="3">$C12*$AB$8</f>
        <v>3.0699999999999994</v>
      </c>
      <c r="AB12" s="197">
        <f>'Energy margins'!$S$12</f>
        <v>55</v>
      </c>
      <c r="AC12" s="197">
        <f>AA12*AB12</f>
        <v>168.84999999999997</v>
      </c>
      <c r="AD12" s="197">
        <f>'Margins summary'!$U$14</f>
        <v>220</v>
      </c>
      <c r="AE12" s="197">
        <f>AC12+AD12</f>
        <v>388.84999999999997</v>
      </c>
      <c r="AF12" s="197">
        <f>'Margins summary'!$T$20</f>
        <v>5106.0919999999996</v>
      </c>
      <c r="AG12" s="897">
        <f>'Energy NPV'!U65</f>
        <v>0</v>
      </c>
      <c r="AH12" s="197"/>
      <c r="AI12" s="197">
        <f t="shared" ref="AI12:AI27" si="4">AF12+AG12+AH12</f>
        <v>5106.0919999999996</v>
      </c>
      <c r="AJ12" s="197">
        <f t="shared" ref="AJ12:AJ27" si="5">AC12-AI12</f>
        <v>-4937.2419999999993</v>
      </c>
      <c r="AK12" s="197">
        <f t="shared" ref="AK12:AK27" si="6">AE12-AI12</f>
        <v>-4717.2419999999993</v>
      </c>
      <c r="AL12" s="1016">
        <f>AC12/((1+$B$4)^(Z12-1))</f>
        <v>168.84999999999997</v>
      </c>
      <c r="AM12" s="213">
        <f>AD12/((1+$B$4)^(Z12-1))</f>
        <v>220</v>
      </c>
      <c r="AN12" s="213">
        <f>AI12/((1+$B$4)^(Z12-1))</f>
        <v>5106.0919999999996</v>
      </c>
      <c r="AO12" s="213">
        <f>AJ12/((1+$B$4)^(Z12-1))</f>
        <v>-4937.2419999999993</v>
      </c>
      <c r="AP12" s="908">
        <f>AK12/((1+$B$4)^(Z12-1))</f>
        <v>-4717.2419999999993</v>
      </c>
      <c r="AQ12" s="196">
        <f>AL12</f>
        <v>168.84999999999997</v>
      </c>
      <c r="AR12" s="197">
        <f>AM12</f>
        <v>220</v>
      </c>
      <c r="AS12" s="197">
        <f>AN12</f>
        <v>5106.0919999999996</v>
      </c>
      <c r="AT12" s="197">
        <f>AO12</f>
        <v>-4937.2419999999993</v>
      </c>
      <c r="AU12" s="199">
        <f>AP12</f>
        <v>-4717.2419999999993</v>
      </c>
      <c r="AX12" s="204">
        <v>1</v>
      </c>
      <c r="AY12" s="197">
        <f t="shared" ref="AY12:AY27" si="7">$C12*$AZ$8</f>
        <v>1.0233333333333332</v>
      </c>
      <c r="AZ12" s="197">
        <f>'Energy margins'!$S$12</f>
        <v>55</v>
      </c>
      <c r="BA12" s="197">
        <f>AY12*AZ12</f>
        <v>56.283333333333324</v>
      </c>
      <c r="BB12" s="197">
        <f>'Margins summary'!$U$14</f>
        <v>220</v>
      </c>
      <c r="BC12" s="197">
        <f>BA12+BB12</f>
        <v>276.2833333333333</v>
      </c>
      <c r="BD12" s="197">
        <f>'Margins summary'!$T$20</f>
        <v>5106.0919999999996</v>
      </c>
      <c r="BE12" s="897">
        <f>'Energy NPV'!U65</f>
        <v>0</v>
      </c>
      <c r="BF12" s="197"/>
      <c r="BG12" s="197">
        <f t="shared" ref="BG12:BG27" si="8">BD12+BE12+BF12</f>
        <v>5106.0919999999996</v>
      </c>
      <c r="BH12" s="197">
        <f t="shared" ref="BH12:BH27" si="9">BA12-BG12</f>
        <v>-5049.8086666666659</v>
      </c>
      <c r="BI12" s="197">
        <f t="shared" ref="BI12:BI27" si="10">BC12-BG12</f>
        <v>-4829.8086666666659</v>
      </c>
      <c r="BJ12" s="1016">
        <f>BA12/((1+$B$4)^(AX12-1))</f>
        <v>56.283333333333324</v>
      </c>
      <c r="BK12" s="213">
        <f>BB12/((1+$B$4)^(AX12-1))</f>
        <v>220</v>
      </c>
      <c r="BL12" s="213">
        <f>BG12/((1+$B$4)^(AX12-1))</f>
        <v>5106.0919999999996</v>
      </c>
      <c r="BM12" s="213">
        <f>BH12/((1+$B$4)^(AX12-1))</f>
        <v>-5049.8086666666659</v>
      </c>
      <c r="BN12" s="908">
        <f>BI12/((1+$B$4)^(AX12-1))</f>
        <v>-4829.8086666666659</v>
      </c>
      <c r="BO12" s="196">
        <f>BJ12</f>
        <v>56.283333333333324</v>
      </c>
      <c r="BP12" s="197">
        <f>BK12</f>
        <v>220</v>
      </c>
      <c r="BQ12" s="197">
        <f>BL12</f>
        <v>5106.0919999999996</v>
      </c>
      <c r="BR12" s="197">
        <f>BM12</f>
        <v>-5049.8086666666659</v>
      </c>
      <c r="BS12" s="199">
        <f>BN12</f>
        <v>-4829.8086666666659</v>
      </c>
      <c r="BV12" s="204">
        <v>1</v>
      </c>
      <c r="BW12" s="197">
        <f t="shared" ref="BW12:BW27" si="11">$C12*$BX$8</f>
        <v>4.0933333333333328</v>
      </c>
      <c r="BX12" s="197">
        <f>'Energy margins'!$S$12</f>
        <v>55</v>
      </c>
      <c r="BY12" s="197">
        <f>BW12*BX12</f>
        <v>225.1333333333333</v>
      </c>
      <c r="BZ12" s="197">
        <f>'Margins summary'!$U$14</f>
        <v>220</v>
      </c>
      <c r="CA12" s="197">
        <f>BY12+BZ12</f>
        <v>445.13333333333333</v>
      </c>
      <c r="CB12" s="197">
        <f>'Margins summary'!$T$20</f>
        <v>5106.0919999999996</v>
      </c>
      <c r="CC12" s="897">
        <f>'Energy NPV'!U65</f>
        <v>0</v>
      </c>
      <c r="CD12" s="197"/>
      <c r="CE12" s="197">
        <f t="shared" ref="CE12:CE27" si="12">CB12+CC12+CD12</f>
        <v>5106.0919999999996</v>
      </c>
      <c r="CF12" s="197">
        <f t="shared" ref="CF12:CF27" si="13">BY12-CE12</f>
        <v>-4880.9586666666664</v>
      </c>
      <c r="CG12" s="197">
        <f t="shared" ref="CG12:CG27" si="14">CA12-CE12</f>
        <v>-4660.9586666666664</v>
      </c>
      <c r="CH12" s="1016">
        <f>BY12/((1+$B$4)^(BV12-1))</f>
        <v>225.1333333333333</v>
      </c>
      <c r="CI12" s="213">
        <f>BZ12/((1+$B$4)^(BV12-1))</f>
        <v>220</v>
      </c>
      <c r="CJ12" s="213">
        <f>CE12/((1+$B$4)^(BV12-1))</f>
        <v>5106.0919999999996</v>
      </c>
      <c r="CK12" s="213">
        <f>CF12/((1+$B$4)^(BV12-1))</f>
        <v>-4880.9586666666664</v>
      </c>
      <c r="CL12" s="908">
        <f>CG12/((1+$B$4)^(BV12-1))</f>
        <v>-4660.9586666666664</v>
      </c>
      <c r="CM12" s="196">
        <f>CH12</f>
        <v>225.1333333333333</v>
      </c>
      <c r="CN12" s="197">
        <f>CI12</f>
        <v>220</v>
      </c>
      <c r="CO12" s="197">
        <f>CJ12</f>
        <v>5106.0919999999996</v>
      </c>
      <c r="CP12" s="197">
        <f>CK12</f>
        <v>-4880.9586666666664</v>
      </c>
      <c r="CQ12" s="199">
        <f>CL12</f>
        <v>-4660.9586666666664</v>
      </c>
      <c r="CT12" s="204">
        <v>1</v>
      </c>
      <c r="CU12" s="197">
        <f t="shared" ref="CU12:CU27" si="15">$C12*$CV$8</f>
        <v>0</v>
      </c>
      <c r="CV12" s="197">
        <f>'Energy margins'!$S$12</f>
        <v>55</v>
      </c>
      <c r="CW12" s="197">
        <f>CU12*CV12</f>
        <v>0</v>
      </c>
      <c r="CX12" s="197">
        <f>'Margins summary'!$U$14</f>
        <v>220</v>
      </c>
      <c r="CY12" s="197">
        <f>CW12+CX12</f>
        <v>220</v>
      </c>
      <c r="CZ12" s="197">
        <f>'Margins summary'!$T$20</f>
        <v>5106.0919999999996</v>
      </c>
      <c r="DA12" s="897">
        <f>'Energy NPV'!U65</f>
        <v>0</v>
      </c>
      <c r="DB12" s="197"/>
      <c r="DC12" s="197">
        <f t="shared" ref="DC12:DC27" si="16">CZ12+DA12+DB12</f>
        <v>5106.0919999999996</v>
      </c>
      <c r="DD12" s="197">
        <f t="shared" ref="DD12:DD27" si="17">CW12-DC12</f>
        <v>-5106.0919999999996</v>
      </c>
      <c r="DE12" s="197">
        <f t="shared" ref="DE12:DE27" si="18">CY12-DC12</f>
        <v>-4886.0919999999996</v>
      </c>
      <c r="DF12" s="1016">
        <f>CW12/((1+$B$4)^(CT12-1))</f>
        <v>0</v>
      </c>
      <c r="DG12" s="213">
        <f>CX12/((1+$B$4)^(CT12-1))</f>
        <v>220</v>
      </c>
      <c r="DH12" s="213">
        <f>DC12/((1+$B$4)^(CT12-1))</f>
        <v>5106.0919999999996</v>
      </c>
      <c r="DI12" s="213">
        <f>DD12/((1+$B$4)^(CT12-1))</f>
        <v>-5106.0919999999996</v>
      </c>
      <c r="DJ12" s="908">
        <f>DE12/((1+$B$4)^(CT12-1))</f>
        <v>-4886.0919999999996</v>
      </c>
      <c r="DK12" s="196">
        <f>DF12</f>
        <v>0</v>
      </c>
      <c r="DL12" s="197">
        <f>DG12</f>
        <v>220</v>
      </c>
      <c r="DM12" s="197">
        <f>DH12</f>
        <v>5106.0919999999996</v>
      </c>
      <c r="DN12" s="197">
        <f>DI12</f>
        <v>-5106.0919999999996</v>
      </c>
      <c r="DO12" s="199">
        <f>DJ12</f>
        <v>-4886.0919999999996</v>
      </c>
    </row>
    <row r="13" spans="1:175" x14ac:dyDescent="0.3">
      <c r="B13" s="204">
        <v>2</v>
      </c>
      <c r="C13" s="197">
        <f>'Energy NPV'!$D66*$E$8</f>
        <v>8.27</v>
      </c>
      <c r="D13" s="197">
        <f>'Energy margins'!$S$12</f>
        <v>55</v>
      </c>
      <c r="E13" s="197">
        <f t="shared" ref="E13:E27" si="19">C13*D13</f>
        <v>454.84999999999997</v>
      </c>
      <c r="F13" s="197">
        <f>'Margins summary'!$U$14</f>
        <v>220</v>
      </c>
      <c r="G13" s="197">
        <f t="shared" ref="G13:G27" si="20">E13+F13</f>
        <v>674.84999999999991</v>
      </c>
      <c r="H13" s="197"/>
      <c r="I13" s="897">
        <f>'Energy NPV'!U66</f>
        <v>439.04199999999997</v>
      </c>
      <c r="J13" s="197"/>
      <c r="K13" s="197">
        <f t="shared" si="0"/>
        <v>439.04199999999997</v>
      </c>
      <c r="L13" s="197">
        <f t="shared" si="1"/>
        <v>15.807999999999993</v>
      </c>
      <c r="M13" s="197">
        <f t="shared" si="2"/>
        <v>235.80799999999994</v>
      </c>
      <c r="N13" s="196">
        <f t="shared" ref="N13:N27" si="21">E13/((1+$B$4)^(B13-1))</f>
        <v>437.35576923076917</v>
      </c>
      <c r="O13" s="197">
        <f t="shared" ref="O13:O27" si="22">F13/((1+$B$4)^(B13-1))</f>
        <v>211.53846153846152</v>
      </c>
      <c r="P13" s="197">
        <f t="shared" ref="P13:P27" si="23">K13/((1+$B$4)^(B13-1))</f>
        <v>422.15576923076918</v>
      </c>
      <c r="Q13" s="197">
        <f t="shared" ref="Q13:Q27" si="24">L13/((1+$B$4)^(B13-1))</f>
        <v>15.199999999999992</v>
      </c>
      <c r="R13" s="199">
        <f t="shared" ref="R13:R27" si="25">M13/((1+$B$4)^(B13-1))</f>
        <v>226.73846153846148</v>
      </c>
      <c r="S13" s="196">
        <f>S12+N13</f>
        <v>549.92243589743578</v>
      </c>
      <c r="T13" s="197">
        <f t="shared" ref="T13:W27" si="26">T12+O13</f>
        <v>431.53846153846155</v>
      </c>
      <c r="U13" s="197">
        <f t="shared" si="26"/>
        <v>5528.2477692307684</v>
      </c>
      <c r="V13" s="197">
        <f t="shared" si="26"/>
        <v>-4978.3253333333332</v>
      </c>
      <c r="W13" s="199">
        <f t="shared" si="26"/>
        <v>-4546.7868717948713</v>
      </c>
      <c r="Z13" s="204">
        <v>2</v>
      </c>
      <c r="AA13" s="197">
        <f t="shared" si="3"/>
        <v>12.404999999999999</v>
      </c>
      <c r="AB13" s="197">
        <f>'Energy margins'!$S$12</f>
        <v>55</v>
      </c>
      <c r="AC13" s="197">
        <f t="shared" ref="AC13:AC26" si="27">AA13*AB13</f>
        <v>682.27499999999998</v>
      </c>
      <c r="AD13" s="197">
        <f>'Margins summary'!$U$14</f>
        <v>220</v>
      </c>
      <c r="AE13" s="197">
        <f t="shared" ref="AE13:AE27" si="28">AC13+AD13</f>
        <v>902.27499999999998</v>
      </c>
      <c r="AF13" s="197"/>
      <c r="AG13" s="897">
        <f>'Energy NPV'!U66</f>
        <v>439.04199999999997</v>
      </c>
      <c r="AH13" s="197"/>
      <c r="AI13" s="197">
        <f t="shared" si="4"/>
        <v>439.04199999999997</v>
      </c>
      <c r="AJ13" s="197">
        <f t="shared" si="5"/>
        <v>243.233</v>
      </c>
      <c r="AK13" s="197">
        <f t="shared" si="6"/>
        <v>463.233</v>
      </c>
      <c r="AL13" s="196">
        <f t="shared" ref="AL13:AL27" si="29">AC13/((1+$B$4)^(Z13-1))</f>
        <v>656.03365384615381</v>
      </c>
      <c r="AM13" s="197">
        <f t="shared" ref="AM13:AM27" si="30">AD13/((1+$B$4)^(Z13-1))</f>
        <v>211.53846153846152</v>
      </c>
      <c r="AN13" s="197">
        <f t="shared" ref="AN13:AN27" si="31">AI13/((1+$B$4)^(Z13-1))</f>
        <v>422.15576923076918</v>
      </c>
      <c r="AO13" s="197">
        <f t="shared" ref="AO13:AO27" si="32">AJ13/((1+$B$4)^(Z13-1))</f>
        <v>233.8778846153846</v>
      </c>
      <c r="AP13" s="199">
        <f t="shared" ref="AP13:AP27" si="33">AK13/((1+$B$4)^(Z13-1))</f>
        <v>445.41634615384612</v>
      </c>
      <c r="AQ13" s="196">
        <f>AQ12+AL13</f>
        <v>824.88365384615372</v>
      </c>
      <c r="AR13" s="197">
        <f t="shared" ref="AR13:AU27" si="34">AR12+AM13</f>
        <v>431.53846153846155</v>
      </c>
      <c r="AS13" s="197">
        <f t="shared" si="34"/>
        <v>5528.2477692307684</v>
      </c>
      <c r="AT13" s="197">
        <f t="shared" si="34"/>
        <v>-4703.3641153846147</v>
      </c>
      <c r="AU13" s="199">
        <f t="shared" si="34"/>
        <v>-4271.8256538461528</v>
      </c>
      <c r="AX13" s="204">
        <v>2</v>
      </c>
      <c r="AY13" s="197">
        <f t="shared" si="7"/>
        <v>4.1349999999999998</v>
      </c>
      <c r="AZ13" s="197">
        <f>'Energy margins'!$S$12</f>
        <v>55</v>
      </c>
      <c r="BA13" s="197">
        <f t="shared" ref="BA13:BA26" si="35">AY13*AZ13</f>
        <v>227.42499999999998</v>
      </c>
      <c r="BB13" s="197">
        <f>'Margins summary'!$U$14</f>
        <v>220</v>
      </c>
      <c r="BC13" s="197">
        <f t="shared" ref="BC13:BC27" si="36">BA13+BB13</f>
        <v>447.42499999999995</v>
      </c>
      <c r="BD13" s="197"/>
      <c r="BE13" s="897">
        <f>'Energy NPV'!U66</f>
        <v>439.04199999999997</v>
      </c>
      <c r="BF13" s="197"/>
      <c r="BG13" s="197">
        <f t="shared" si="8"/>
        <v>439.04199999999997</v>
      </c>
      <c r="BH13" s="197">
        <f t="shared" si="9"/>
        <v>-211.61699999999999</v>
      </c>
      <c r="BI13" s="197">
        <f t="shared" si="10"/>
        <v>8.3829999999999814</v>
      </c>
      <c r="BJ13" s="196">
        <f t="shared" ref="BJ13:BJ27" si="37">BA13/((1+$B$4)^(AX13-1))</f>
        <v>218.67788461538458</v>
      </c>
      <c r="BK13" s="197">
        <f t="shared" ref="BK13:BK27" si="38">BB13/((1+$B$4)^(AX13-1))</f>
        <v>211.53846153846152</v>
      </c>
      <c r="BL13" s="197">
        <f t="shared" ref="BL13:BL27" si="39">BG13/((1+$B$4)^(AX13-1))</f>
        <v>422.15576923076918</v>
      </c>
      <c r="BM13" s="197">
        <f t="shared" ref="BM13:BM27" si="40">BH13/((1+$B$4)^(AX13-1))</f>
        <v>-203.4778846153846</v>
      </c>
      <c r="BN13" s="199">
        <f t="shared" ref="BN13:BN27" si="41">BI13/((1+$B$4)^(AX13-1))</f>
        <v>8.0605769230769049</v>
      </c>
      <c r="BO13" s="196">
        <f>BO12+BJ13</f>
        <v>274.96121794871789</v>
      </c>
      <c r="BP13" s="197">
        <f t="shared" ref="BP13:BP27" si="42">BP12+BK13</f>
        <v>431.53846153846155</v>
      </c>
      <c r="BQ13" s="197">
        <f t="shared" ref="BQ13:BQ27" si="43">BQ12+BL13</f>
        <v>5528.2477692307684</v>
      </c>
      <c r="BR13" s="197">
        <f t="shared" ref="BR13:BR27" si="44">BR12+BM13</f>
        <v>-5253.2865512820508</v>
      </c>
      <c r="BS13" s="199">
        <f t="shared" ref="BS13:BS27" si="45">BS12+BN13</f>
        <v>-4821.7480897435889</v>
      </c>
      <c r="BV13" s="204">
        <v>2</v>
      </c>
      <c r="BW13" s="197">
        <f t="shared" si="11"/>
        <v>16.54</v>
      </c>
      <c r="BX13" s="197">
        <f>'Energy margins'!$S$12</f>
        <v>55</v>
      </c>
      <c r="BY13" s="197">
        <f t="shared" ref="BY13:BY27" si="46">BW13*BX13</f>
        <v>909.69999999999993</v>
      </c>
      <c r="BZ13" s="197">
        <f>'Margins summary'!$U$14</f>
        <v>220</v>
      </c>
      <c r="CA13" s="197">
        <f t="shared" ref="CA13:CA27" si="47">BY13+BZ13</f>
        <v>1129.6999999999998</v>
      </c>
      <c r="CB13" s="197"/>
      <c r="CC13" s="897">
        <f>'Energy NPV'!U66</f>
        <v>439.04199999999997</v>
      </c>
      <c r="CD13" s="197"/>
      <c r="CE13" s="197">
        <f t="shared" si="12"/>
        <v>439.04199999999997</v>
      </c>
      <c r="CF13" s="197">
        <f t="shared" si="13"/>
        <v>470.65799999999996</v>
      </c>
      <c r="CG13" s="197">
        <f t="shared" si="14"/>
        <v>690.6579999999999</v>
      </c>
      <c r="CH13" s="196">
        <f t="shared" ref="CH13:CH27" si="48">BY13/((1+$B$4)^(BV13-1))</f>
        <v>874.71153846153834</v>
      </c>
      <c r="CI13" s="197">
        <f t="shared" ref="CI13:CI27" si="49">BZ13/((1+$B$4)^(BV13-1))</f>
        <v>211.53846153846152</v>
      </c>
      <c r="CJ13" s="197">
        <f t="shared" ref="CJ13:CJ27" si="50">CE13/((1+$B$4)^(BV13-1))</f>
        <v>422.15576923076918</v>
      </c>
      <c r="CK13" s="197">
        <f t="shared" ref="CK13:CK27" si="51">CF13/((1+$B$4)^(BV13-1))</f>
        <v>452.55576923076916</v>
      </c>
      <c r="CL13" s="199">
        <f t="shared" ref="CL13:CL27" si="52">CG13/((1+$B$4)^(BV13-1))</f>
        <v>664.09423076923065</v>
      </c>
      <c r="CM13" s="196">
        <f>CM12+CH13</f>
        <v>1099.8448717948716</v>
      </c>
      <c r="CN13" s="197">
        <f t="shared" ref="CN13:CN27" si="53">CN12+CI13</f>
        <v>431.53846153846155</v>
      </c>
      <c r="CO13" s="197">
        <f t="shared" ref="CO13:CO27" si="54">CO12+CJ13</f>
        <v>5528.2477692307684</v>
      </c>
      <c r="CP13" s="197">
        <f t="shared" ref="CP13:CP27" si="55">CP12+CK13</f>
        <v>-4428.4028974358971</v>
      </c>
      <c r="CQ13" s="199">
        <f t="shared" ref="CQ13:CQ27" si="56">CQ12+CL13</f>
        <v>-3996.8644358974357</v>
      </c>
      <c r="CT13" s="204">
        <v>2</v>
      </c>
      <c r="CU13" s="197">
        <f t="shared" si="15"/>
        <v>0</v>
      </c>
      <c r="CV13" s="197">
        <f>'Energy margins'!$S$12</f>
        <v>55</v>
      </c>
      <c r="CW13" s="197">
        <f t="shared" ref="CW13:CW27" si="57">CU13*CV13</f>
        <v>0</v>
      </c>
      <c r="CX13" s="197">
        <f>'Margins summary'!$U$14</f>
        <v>220</v>
      </c>
      <c r="CY13" s="197">
        <f t="shared" ref="CY13:CY27" si="58">CW13+CX13</f>
        <v>220</v>
      </c>
      <c r="CZ13" s="197"/>
      <c r="DA13" s="897">
        <f>'Energy NPV'!U66</f>
        <v>439.04199999999997</v>
      </c>
      <c r="DB13" s="197"/>
      <c r="DC13" s="197">
        <f t="shared" si="16"/>
        <v>439.04199999999997</v>
      </c>
      <c r="DD13" s="197">
        <f t="shared" si="17"/>
        <v>-439.04199999999997</v>
      </c>
      <c r="DE13" s="197">
        <f t="shared" si="18"/>
        <v>-219.04199999999997</v>
      </c>
      <c r="DF13" s="196">
        <f t="shared" ref="DF13:DF27" si="59">CW13/((1+$B$4)^(CT13-1))</f>
        <v>0</v>
      </c>
      <c r="DG13" s="197">
        <f t="shared" ref="DG13:DG27" si="60">CX13/((1+$B$4)^(CT13-1))</f>
        <v>211.53846153846152</v>
      </c>
      <c r="DH13" s="197">
        <f t="shared" ref="DH13:DH27" si="61">DC13/((1+$B$4)^(CT13-1))</f>
        <v>422.15576923076918</v>
      </c>
      <c r="DI13" s="197">
        <f t="shared" ref="DI13:DI27" si="62">DD13/((1+$B$4)^(CT13-1))</f>
        <v>-422.15576923076918</v>
      </c>
      <c r="DJ13" s="199">
        <f t="shared" ref="DJ13:DJ27" si="63">DE13/((1+$B$4)^(CT13-1))</f>
        <v>-210.61730769230766</v>
      </c>
      <c r="DK13" s="196">
        <f>DK12+DF13</f>
        <v>0</v>
      </c>
      <c r="DL13" s="197">
        <f t="shared" ref="DL13:DL27" si="64">DL12+DG13</f>
        <v>431.53846153846155</v>
      </c>
      <c r="DM13" s="197">
        <f t="shared" ref="DM13:DM27" si="65">DM12+DH13</f>
        <v>5528.2477692307684</v>
      </c>
      <c r="DN13" s="197">
        <f t="shared" ref="DN13:DN27" si="66">DN12+DI13</f>
        <v>-5528.2477692307684</v>
      </c>
      <c r="DO13" s="199">
        <f t="shared" ref="DO13:DO27" si="67">DO12+DJ13</f>
        <v>-5096.7093076923074</v>
      </c>
    </row>
    <row r="14" spans="1:175" x14ac:dyDescent="0.3">
      <c r="B14" s="204">
        <f t="shared" ref="B14:B27" si="68">B13+1</f>
        <v>3</v>
      </c>
      <c r="C14" s="197">
        <f>'Energy NPV'!$D67*$E$8</f>
        <v>10.926666666666668</v>
      </c>
      <c r="D14" s="197">
        <f>'Energy margins'!$S$12</f>
        <v>55</v>
      </c>
      <c r="E14" s="197">
        <f t="shared" si="19"/>
        <v>600.9666666666667</v>
      </c>
      <c r="F14" s="197">
        <f>'Margins summary'!$U$14</f>
        <v>220</v>
      </c>
      <c r="G14" s="197">
        <f t="shared" si="20"/>
        <v>820.9666666666667</v>
      </c>
      <c r="H14" s="197"/>
      <c r="I14" s="897">
        <f>'Energy NPV'!U67</f>
        <v>439.04199999999997</v>
      </c>
      <c r="J14" s="197"/>
      <c r="K14" s="197">
        <f t="shared" si="0"/>
        <v>439.04199999999997</v>
      </c>
      <c r="L14" s="197">
        <f t="shared" si="1"/>
        <v>161.92466666666672</v>
      </c>
      <c r="M14" s="197">
        <f t="shared" si="2"/>
        <v>381.92466666666672</v>
      </c>
      <c r="N14" s="196">
        <f t="shared" si="21"/>
        <v>555.62746548323469</v>
      </c>
      <c r="O14" s="197">
        <f t="shared" si="22"/>
        <v>203.40236686390531</v>
      </c>
      <c r="P14" s="197">
        <f t="shared" si="23"/>
        <v>405.91900887573956</v>
      </c>
      <c r="Q14" s="197">
        <f t="shared" si="24"/>
        <v>149.70845660749509</v>
      </c>
      <c r="R14" s="199">
        <f t="shared" si="25"/>
        <v>353.11082347140041</v>
      </c>
      <c r="S14" s="196">
        <f t="shared" ref="S14:S27" si="69">S13+N14</f>
        <v>1105.5499013806705</v>
      </c>
      <c r="T14" s="197">
        <f t="shared" si="26"/>
        <v>634.94082840236683</v>
      </c>
      <c r="U14" s="197">
        <f t="shared" si="26"/>
        <v>5934.166778106508</v>
      </c>
      <c r="V14" s="197">
        <f t="shared" si="26"/>
        <v>-4828.6168767258378</v>
      </c>
      <c r="W14" s="199">
        <f t="shared" si="26"/>
        <v>-4193.6760483234712</v>
      </c>
      <c r="Z14" s="204">
        <f t="shared" ref="Z14:Z27" si="70">Z13+1</f>
        <v>3</v>
      </c>
      <c r="AA14" s="197">
        <f t="shared" si="3"/>
        <v>16.39</v>
      </c>
      <c r="AB14" s="197">
        <f>'Energy margins'!$S$12</f>
        <v>55</v>
      </c>
      <c r="AC14" s="197">
        <f t="shared" si="27"/>
        <v>901.45</v>
      </c>
      <c r="AD14" s="197">
        <f>'Margins summary'!$U$14</f>
        <v>220</v>
      </c>
      <c r="AE14" s="197">
        <f t="shared" si="28"/>
        <v>1121.45</v>
      </c>
      <c r="AF14" s="197"/>
      <c r="AG14" s="897">
        <f>'Energy NPV'!U67</f>
        <v>439.04199999999997</v>
      </c>
      <c r="AH14" s="197"/>
      <c r="AI14" s="197">
        <f t="shared" si="4"/>
        <v>439.04199999999997</v>
      </c>
      <c r="AJ14" s="197">
        <f t="shared" si="5"/>
        <v>462.40800000000007</v>
      </c>
      <c r="AK14" s="197">
        <f t="shared" si="6"/>
        <v>682.40800000000013</v>
      </c>
      <c r="AL14" s="196">
        <f t="shared" si="29"/>
        <v>833.44119822485197</v>
      </c>
      <c r="AM14" s="197">
        <f t="shared" si="30"/>
        <v>203.40236686390531</v>
      </c>
      <c r="AN14" s="197">
        <f t="shared" si="31"/>
        <v>405.91900887573956</v>
      </c>
      <c r="AO14" s="197">
        <f t="shared" si="32"/>
        <v>427.52218934911247</v>
      </c>
      <c r="AP14" s="199">
        <f t="shared" si="33"/>
        <v>630.92455621301781</v>
      </c>
      <c r="AQ14" s="196">
        <f t="shared" ref="AQ14:AQ27" si="71">AQ13+AL14</f>
        <v>1658.3248520710058</v>
      </c>
      <c r="AR14" s="197">
        <f t="shared" si="34"/>
        <v>634.94082840236683</v>
      </c>
      <c r="AS14" s="197">
        <f t="shared" si="34"/>
        <v>5934.166778106508</v>
      </c>
      <c r="AT14" s="197">
        <f t="shared" si="34"/>
        <v>-4275.8419260355022</v>
      </c>
      <c r="AU14" s="199">
        <f t="shared" si="34"/>
        <v>-3640.9010976331351</v>
      </c>
      <c r="AX14" s="204">
        <f t="shared" ref="AX14:AX27" si="72">AX13+1</f>
        <v>3</v>
      </c>
      <c r="AY14" s="197">
        <f t="shared" si="7"/>
        <v>5.4633333333333338</v>
      </c>
      <c r="AZ14" s="197">
        <f>'Energy margins'!$S$12</f>
        <v>55</v>
      </c>
      <c r="BA14" s="197">
        <f t="shared" si="35"/>
        <v>300.48333333333335</v>
      </c>
      <c r="BB14" s="197">
        <f>'Margins summary'!$U$14</f>
        <v>220</v>
      </c>
      <c r="BC14" s="197">
        <f t="shared" si="36"/>
        <v>520.48333333333335</v>
      </c>
      <c r="BD14" s="197"/>
      <c r="BE14" s="897">
        <f>'Energy NPV'!U67</f>
        <v>439.04199999999997</v>
      </c>
      <c r="BF14" s="197"/>
      <c r="BG14" s="197">
        <f t="shared" si="8"/>
        <v>439.04199999999997</v>
      </c>
      <c r="BH14" s="197">
        <f t="shared" si="9"/>
        <v>-138.55866666666662</v>
      </c>
      <c r="BI14" s="197">
        <f t="shared" si="10"/>
        <v>81.441333333333375</v>
      </c>
      <c r="BJ14" s="196">
        <f t="shared" si="37"/>
        <v>277.81373274161734</v>
      </c>
      <c r="BK14" s="197">
        <f t="shared" si="38"/>
        <v>203.40236686390531</v>
      </c>
      <c r="BL14" s="197">
        <f t="shared" si="39"/>
        <v>405.91900887573956</v>
      </c>
      <c r="BM14" s="197">
        <f t="shared" si="40"/>
        <v>-128.10527613412225</v>
      </c>
      <c r="BN14" s="199">
        <f t="shared" si="41"/>
        <v>75.297090729783065</v>
      </c>
      <c r="BO14" s="196">
        <f t="shared" ref="BO14:BO27" si="73">BO13+BJ14</f>
        <v>552.77495069033523</v>
      </c>
      <c r="BP14" s="197">
        <f t="shared" si="42"/>
        <v>634.94082840236683</v>
      </c>
      <c r="BQ14" s="197">
        <f t="shared" si="43"/>
        <v>5934.166778106508</v>
      </c>
      <c r="BR14" s="197">
        <f t="shared" si="44"/>
        <v>-5381.3918274161733</v>
      </c>
      <c r="BS14" s="199">
        <f t="shared" si="45"/>
        <v>-4746.4509990138058</v>
      </c>
      <c r="BV14" s="204">
        <f t="shared" ref="BV14:BV27" si="74">BV13+1</f>
        <v>3</v>
      </c>
      <c r="BW14" s="197">
        <f t="shared" si="11"/>
        <v>21.853333333333335</v>
      </c>
      <c r="BX14" s="197">
        <f>'Energy margins'!$S$12</f>
        <v>55</v>
      </c>
      <c r="BY14" s="197">
        <f t="shared" si="46"/>
        <v>1201.9333333333334</v>
      </c>
      <c r="BZ14" s="197">
        <f>'Margins summary'!$U$14</f>
        <v>220</v>
      </c>
      <c r="CA14" s="197">
        <f t="shared" si="47"/>
        <v>1421.9333333333334</v>
      </c>
      <c r="CB14" s="197"/>
      <c r="CC14" s="897">
        <f>'Energy NPV'!U67</f>
        <v>439.04199999999997</v>
      </c>
      <c r="CD14" s="197"/>
      <c r="CE14" s="197">
        <f t="shared" si="12"/>
        <v>439.04199999999997</v>
      </c>
      <c r="CF14" s="197">
        <f t="shared" si="13"/>
        <v>762.89133333333348</v>
      </c>
      <c r="CG14" s="197">
        <f t="shared" si="14"/>
        <v>982.89133333333348</v>
      </c>
      <c r="CH14" s="196">
        <f t="shared" si="48"/>
        <v>1111.2549309664694</v>
      </c>
      <c r="CI14" s="197">
        <f t="shared" si="49"/>
        <v>203.40236686390531</v>
      </c>
      <c r="CJ14" s="197">
        <f t="shared" si="50"/>
        <v>405.91900887573956</v>
      </c>
      <c r="CK14" s="197">
        <f t="shared" si="51"/>
        <v>705.33592209072981</v>
      </c>
      <c r="CL14" s="199">
        <f t="shared" si="52"/>
        <v>908.7382889546351</v>
      </c>
      <c r="CM14" s="196">
        <f t="shared" ref="CM14:CM27" si="75">CM13+CH14</f>
        <v>2211.0998027613409</v>
      </c>
      <c r="CN14" s="197">
        <f t="shared" si="53"/>
        <v>634.94082840236683</v>
      </c>
      <c r="CO14" s="197">
        <f t="shared" si="54"/>
        <v>5934.166778106508</v>
      </c>
      <c r="CP14" s="197">
        <f t="shared" si="55"/>
        <v>-3723.0669753451675</v>
      </c>
      <c r="CQ14" s="199">
        <f t="shared" si="56"/>
        <v>-3088.1261469428005</v>
      </c>
      <c r="CT14" s="204">
        <f t="shared" ref="CT14:CT27" si="76">CT13+1</f>
        <v>3</v>
      </c>
      <c r="CU14" s="197">
        <f t="shared" si="15"/>
        <v>0</v>
      </c>
      <c r="CV14" s="197">
        <f>'Energy margins'!$S$12</f>
        <v>55</v>
      </c>
      <c r="CW14" s="197">
        <f t="shared" si="57"/>
        <v>0</v>
      </c>
      <c r="CX14" s="197">
        <f>'Margins summary'!$U$14</f>
        <v>220</v>
      </c>
      <c r="CY14" s="197">
        <f t="shared" si="58"/>
        <v>220</v>
      </c>
      <c r="CZ14" s="197"/>
      <c r="DA14" s="897">
        <f>'Energy NPV'!U67</f>
        <v>439.04199999999997</v>
      </c>
      <c r="DB14" s="197"/>
      <c r="DC14" s="197">
        <f t="shared" si="16"/>
        <v>439.04199999999997</v>
      </c>
      <c r="DD14" s="197">
        <f t="shared" si="17"/>
        <v>-439.04199999999997</v>
      </c>
      <c r="DE14" s="197">
        <f t="shared" si="18"/>
        <v>-219.04199999999997</v>
      </c>
      <c r="DF14" s="196">
        <f t="shared" si="59"/>
        <v>0</v>
      </c>
      <c r="DG14" s="197">
        <f t="shared" si="60"/>
        <v>203.40236686390531</v>
      </c>
      <c r="DH14" s="197">
        <f t="shared" si="61"/>
        <v>405.91900887573956</v>
      </c>
      <c r="DI14" s="197">
        <f t="shared" si="62"/>
        <v>-405.91900887573956</v>
      </c>
      <c r="DJ14" s="199">
        <f t="shared" si="63"/>
        <v>-202.51664201183428</v>
      </c>
      <c r="DK14" s="196">
        <f t="shared" ref="DK14:DK27" si="77">DK13+DF14</f>
        <v>0</v>
      </c>
      <c r="DL14" s="197">
        <f t="shared" si="64"/>
        <v>634.94082840236683</v>
      </c>
      <c r="DM14" s="197">
        <f t="shared" si="65"/>
        <v>5934.166778106508</v>
      </c>
      <c r="DN14" s="197">
        <f t="shared" si="66"/>
        <v>-5934.166778106508</v>
      </c>
      <c r="DO14" s="199">
        <f t="shared" si="67"/>
        <v>-5299.2259497041414</v>
      </c>
    </row>
    <row r="15" spans="1:175" x14ac:dyDescent="0.3">
      <c r="B15" s="204">
        <f t="shared" si="68"/>
        <v>4</v>
      </c>
      <c r="C15" s="197">
        <f>'Energy NPV'!$D68*$E$8</f>
        <v>11.617000000000001</v>
      </c>
      <c r="D15" s="197">
        <f>'Energy margins'!$S$12</f>
        <v>55</v>
      </c>
      <c r="E15" s="197">
        <f t="shared" si="19"/>
        <v>638.93500000000006</v>
      </c>
      <c r="F15" s="197">
        <f>'Margins summary'!$U$14</f>
        <v>220</v>
      </c>
      <c r="G15" s="197">
        <f t="shared" si="20"/>
        <v>858.93500000000006</v>
      </c>
      <c r="H15" s="197"/>
      <c r="I15" s="897">
        <f>'Energy NPV'!U68</f>
        <v>278.04200000000003</v>
      </c>
      <c r="J15" s="197"/>
      <c r="K15" s="197">
        <f t="shared" si="0"/>
        <v>278.04200000000003</v>
      </c>
      <c r="L15" s="197">
        <f t="shared" si="1"/>
        <v>360.89300000000003</v>
      </c>
      <c r="M15" s="197">
        <f t="shared" si="2"/>
        <v>580.89300000000003</v>
      </c>
      <c r="N15" s="196">
        <f t="shared" si="21"/>
        <v>568.01088842740103</v>
      </c>
      <c r="O15" s="197">
        <f t="shared" si="22"/>
        <v>195.57919890760127</v>
      </c>
      <c r="P15" s="197">
        <f t="shared" si="23"/>
        <v>247.17832555757852</v>
      </c>
      <c r="Q15" s="197">
        <f t="shared" si="24"/>
        <v>320.83256286982248</v>
      </c>
      <c r="R15" s="199">
        <f t="shared" si="25"/>
        <v>516.41176177742375</v>
      </c>
      <c r="S15" s="196">
        <f t="shared" si="69"/>
        <v>1673.5607898080716</v>
      </c>
      <c r="T15" s="197">
        <f t="shared" si="26"/>
        <v>830.5200273099681</v>
      </c>
      <c r="U15" s="197">
        <f t="shared" si="26"/>
        <v>6181.3451036640863</v>
      </c>
      <c r="V15" s="197">
        <f t="shared" si="26"/>
        <v>-4507.7843138560156</v>
      </c>
      <c r="W15" s="199">
        <f t="shared" si="26"/>
        <v>-3677.2642865460475</v>
      </c>
      <c r="Z15" s="204">
        <f t="shared" si="70"/>
        <v>4</v>
      </c>
      <c r="AA15" s="197">
        <f t="shared" si="3"/>
        <v>17.4255</v>
      </c>
      <c r="AB15" s="197">
        <f>'Energy margins'!$S$12</f>
        <v>55</v>
      </c>
      <c r="AC15" s="197">
        <f t="shared" si="27"/>
        <v>958.40249999999992</v>
      </c>
      <c r="AD15" s="197">
        <f>'Margins summary'!$U$14</f>
        <v>220</v>
      </c>
      <c r="AE15" s="197">
        <f t="shared" si="28"/>
        <v>1178.4024999999999</v>
      </c>
      <c r="AF15" s="197"/>
      <c r="AG15" s="897">
        <f>'Energy NPV'!U68</f>
        <v>278.04200000000003</v>
      </c>
      <c r="AH15" s="197"/>
      <c r="AI15" s="197">
        <f t="shared" si="4"/>
        <v>278.04200000000003</v>
      </c>
      <c r="AJ15" s="197">
        <f t="shared" si="5"/>
        <v>680.36049999999989</v>
      </c>
      <c r="AK15" s="197">
        <f t="shared" si="6"/>
        <v>900.36049999999989</v>
      </c>
      <c r="AL15" s="196">
        <f t="shared" si="29"/>
        <v>852.01633264110137</v>
      </c>
      <c r="AM15" s="197">
        <f t="shared" si="30"/>
        <v>195.57919890760127</v>
      </c>
      <c r="AN15" s="197">
        <f t="shared" si="31"/>
        <v>247.17832555757852</v>
      </c>
      <c r="AO15" s="197">
        <f t="shared" si="32"/>
        <v>604.83800708352283</v>
      </c>
      <c r="AP15" s="199">
        <f t="shared" si="33"/>
        <v>800.41720599112409</v>
      </c>
      <c r="AQ15" s="196">
        <f t="shared" si="71"/>
        <v>2510.341184712107</v>
      </c>
      <c r="AR15" s="197">
        <f t="shared" si="34"/>
        <v>830.5200273099681</v>
      </c>
      <c r="AS15" s="197">
        <f t="shared" si="34"/>
        <v>6181.3451036640863</v>
      </c>
      <c r="AT15" s="197">
        <f t="shared" si="34"/>
        <v>-3671.0039189519794</v>
      </c>
      <c r="AU15" s="199">
        <f t="shared" si="34"/>
        <v>-2840.4838916420113</v>
      </c>
      <c r="AX15" s="204">
        <f t="shared" si="72"/>
        <v>4</v>
      </c>
      <c r="AY15" s="197">
        <f t="shared" si="7"/>
        <v>5.8085000000000004</v>
      </c>
      <c r="AZ15" s="197">
        <f>'Energy margins'!$S$12</f>
        <v>55</v>
      </c>
      <c r="BA15" s="197">
        <f t="shared" si="35"/>
        <v>319.46750000000003</v>
      </c>
      <c r="BB15" s="197">
        <f>'Margins summary'!$U$14</f>
        <v>220</v>
      </c>
      <c r="BC15" s="197">
        <f t="shared" si="36"/>
        <v>539.46749999999997</v>
      </c>
      <c r="BD15" s="197"/>
      <c r="BE15" s="897">
        <f>'Energy NPV'!U68</f>
        <v>278.04200000000003</v>
      </c>
      <c r="BF15" s="197"/>
      <c r="BG15" s="197">
        <f t="shared" si="8"/>
        <v>278.04200000000003</v>
      </c>
      <c r="BH15" s="197">
        <f t="shared" si="9"/>
        <v>41.4255</v>
      </c>
      <c r="BI15" s="197">
        <f t="shared" si="10"/>
        <v>261.42549999999994</v>
      </c>
      <c r="BJ15" s="196">
        <f t="shared" si="37"/>
        <v>284.00544421370051</v>
      </c>
      <c r="BK15" s="197">
        <f t="shared" si="38"/>
        <v>195.57919890760127</v>
      </c>
      <c r="BL15" s="197">
        <f t="shared" si="39"/>
        <v>247.17832555757852</v>
      </c>
      <c r="BM15" s="197">
        <f t="shared" si="40"/>
        <v>36.827118656121982</v>
      </c>
      <c r="BN15" s="199">
        <f t="shared" si="41"/>
        <v>232.40631756372318</v>
      </c>
      <c r="BO15" s="196">
        <f t="shared" si="73"/>
        <v>836.7803949040358</v>
      </c>
      <c r="BP15" s="197">
        <f t="shared" si="42"/>
        <v>830.5200273099681</v>
      </c>
      <c r="BQ15" s="197">
        <f t="shared" si="43"/>
        <v>6181.3451036640863</v>
      </c>
      <c r="BR15" s="197">
        <f t="shared" si="44"/>
        <v>-5344.564708760051</v>
      </c>
      <c r="BS15" s="199">
        <f t="shared" si="45"/>
        <v>-4514.0446814500829</v>
      </c>
      <c r="BV15" s="204">
        <f t="shared" si="74"/>
        <v>4</v>
      </c>
      <c r="BW15" s="197">
        <f t="shared" si="11"/>
        <v>23.234000000000002</v>
      </c>
      <c r="BX15" s="197">
        <f>'Energy margins'!$S$12</f>
        <v>55</v>
      </c>
      <c r="BY15" s="197">
        <f t="shared" si="46"/>
        <v>1277.8700000000001</v>
      </c>
      <c r="BZ15" s="197">
        <f>'Margins summary'!$U$14</f>
        <v>220</v>
      </c>
      <c r="CA15" s="197">
        <f t="shared" si="47"/>
        <v>1497.8700000000001</v>
      </c>
      <c r="CB15" s="197"/>
      <c r="CC15" s="897">
        <f>'Energy NPV'!U68</f>
        <v>278.04200000000003</v>
      </c>
      <c r="CD15" s="197"/>
      <c r="CE15" s="197">
        <f t="shared" si="12"/>
        <v>278.04200000000003</v>
      </c>
      <c r="CF15" s="197">
        <f t="shared" si="13"/>
        <v>999.82800000000009</v>
      </c>
      <c r="CG15" s="197">
        <f t="shared" si="14"/>
        <v>1219.828</v>
      </c>
      <c r="CH15" s="196">
        <f t="shared" si="48"/>
        <v>1136.0217768548021</v>
      </c>
      <c r="CI15" s="197">
        <f t="shared" si="49"/>
        <v>195.57919890760127</v>
      </c>
      <c r="CJ15" s="197">
        <f t="shared" si="50"/>
        <v>247.17832555757852</v>
      </c>
      <c r="CK15" s="197">
        <f t="shared" si="51"/>
        <v>888.84345129722351</v>
      </c>
      <c r="CL15" s="199">
        <f t="shared" si="52"/>
        <v>1084.4226502048245</v>
      </c>
      <c r="CM15" s="196">
        <f t="shared" si="75"/>
        <v>3347.1215796161432</v>
      </c>
      <c r="CN15" s="197">
        <f t="shared" si="53"/>
        <v>830.5200273099681</v>
      </c>
      <c r="CO15" s="197">
        <f t="shared" si="54"/>
        <v>6181.3451036640863</v>
      </c>
      <c r="CP15" s="197">
        <f t="shared" si="55"/>
        <v>-2834.223524047944</v>
      </c>
      <c r="CQ15" s="199">
        <f t="shared" si="56"/>
        <v>-2003.7034967379759</v>
      </c>
      <c r="CT15" s="204">
        <f t="shared" si="76"/>
        <v>4</v>
      </c>
      <c r="CU15" s="197">
        <f t="shared" si="15"/>
        <v>0</v>
      </c>
      <c r="CV15" s="197">
        <f>'Energy margins'!$S$12</f>
        <v>55</v>
      </c>
      <c r="CW15" s="197">
        <f t="shared" si="57"/>
        <v>0</v>
      </c>
      <c r="CX15" s="197">
        <f>'Margins summary'!$U$14</f>
        <v>220</v>
      </c>
      <c r="CY15" s="197">
        <f t="shared" si="58"/>
        <v>220</v>
      </c>
      <c r="CZ15" s="197"/>
      <c r="DA15" s="897">
        <f>'Energy NPV'!U68</f>
        <v>278.04200000000003</v>
      </c>
      <c r="DB15" s="197"/>
      <c r="DC15" s="197">
        <f t="shared" si="16"/>
        <v>278.04200000000003</v>
      </c>
      <c r="DD15" s="197">
        <f t="shared" si="17"/>
        <v>-278.04200000000003</v>
      </c>
      <c r="DE15" s="197">
        <f t="shared" si="18"/>
        <v>-58.04200000000003</v>
      </c>
      <c r="DF15" s="196">
        <f t="shared" si="59"/>
        <v>0</v>
      </c>
      <c r="DG15" s="197">
        <f t="shared" si="60"/>
        <v>195.57919890760127</v>
      </c>
      <c r="DH15" s="197">
        <f t="shared" si="61"/>
        <v>247.17832555757852</v>
      </c>
      <c r="DI15" s="197">
        <f t="shared" si="62"/>
        <v>-247.17832555757852</v>
      </c>
      <c r="DJ15" s="199">
        <f t="shared" si="63"/>
        <v>-51.599126649977265</v>
      </c>
      <c r="DK15" s="196">
        <f t="shared" si="77"/>
        <v>0</v>
      </c>
      <c r="DL15" s="197">
        <f t="shared" si="64"/>
        <v>830.5200273099681</v>
      </c>
      <c r="DM15" s="197">
        <f t="shared" si="65"/>
        <v>6181.3451036640863</v>
      </c>
      <c r="DN15" s="197">
        <f t="shared" si="66"/>
        <v>-6181.3451036640863</v>
      </c>
      <c r="DO15" s="199">
        <f t="shared" si="67"/>
        <v>-5350.8250763541182</v>
      </c>
    </row>
    <row r="16" spans="1:175" x14ac:dyDescent="0.3">
      <c r="B16" s="204">
        <f t="shared" si="68"/>
        <v>5</v>
      </c>
      <c r="C16" s="197">
        <f>'Energy NPV'!$D69*$E$8</f>
        <v>11.617000000000001</v>
      </c>
      <c r="D16" s="197">
        <f>'Energy margins'!$S$12</f>
        <v>55</v>
      </c>
      <c r="E16" s="197">
        <f t="shared" si="19"/>
        <v>638.93500000000006</v>
      </c>
      <c r="F16" s="197">
        <f>'Margins summary'!$U$14</f>
        <v>220</v>
      </c>
      <c r="G16" s="197">
        <f t="shared" si="20"/>
        <v>858.93500000000006</v>
      </c>
      <c r="H16" s="197"/>
      <c r="I16" s="897">
        <f>'Energy NPV'!U69</f>
        <v>278.04200000000003</v>
      </c>
      <c r="J16" s="197"/>
      <c r="K16" s="197">
        <f t="shared" si="0"/>
        <v>278.04200000000003</v>
      </c>
      <c r="L16" s="197">
        <f t="shared" si="1"/>
        <v>360.89300000000003</v>
      </c>
      <c r="M16" s="197">
        <f t="shared" si="2"/>
        <v>580.89300000000003</v>
      </c>
      <c r="N16" s="196">
        <f t="shared" si="21"/>
        <v>546.16431579557786</v>
      </c>
      <c r="O16" s="197">
        <f t="shared" si="22"/>
        <v>188.05692202653967</v>
      </c>
      <c r="P16" s="197">
        <f t="shared" si="23"/>
        <v>237.67146688228701</v>
      </c>
      <c r="Q16" s="197">
        <f t="shared" si="24"/>
        <v>308.4928489132908</v>
      </c>
      <c r="R16" s="199">
        <f t="shared" si="25"/>
        <v>496.54977093983047</v>
      </c>
      <c r="S16" s="196">
        <f t="shared" si="69"/>
        <v>2219.7251056036494</v>
      </c>
      <c r="T16" s="197">
        <f t="shared" si="26"/>
        <v>1018.5769493365078</v>
      </c>
      <c r="U16" s="197">
        <f t="shared" si="26"/>
        <v>6419.0165705463733</v>
      </c>
      <c r="V16" s="197">
        <f t="shared" si="26"/>
        <v>-4199.2914649427248</v>
      </c>
      <c r="W16" s="199">
        <f t="shared" si="26"/>
        <v>-3180.714515606217</v>
      </c>
      <c r="Z16" s="204">
        <f t="shared" si="70"/>
        <v>5</v>
      </c>
      <c r="AA16" s="197">
        <f t="shared" si="3"/>
        <v>17.4255</v>
      </c>
      <c r="AB16" s="197">
        <f>'Energy margins'!$S$12</f>
        <v>55</v>
      </c>
      <c r="AC16" s="197">
        <f t="shared" si="27"/>
        <v>958.40249999999992</v>
      </c>
      <c r="AD16" s="197">
        <f>'Margins summary'!$U$14</f>
        <v>220</v>
      </c>
      <c r="AE16" s="197">
        <f t="shared" si="28"/>
        <v>1178.4024999999999</v>
      </c>
      <c r="AF16" s="197"/>
      <c r="AG16" s="897">
        <f>'Energy NPV'!U69</f>
        <v>278.04200000000003</v>
      </c>
      <c r="AH16" s="197"/>
      <c r="AI16" s="197">
        <f t="shared" si="4"/>
        <v>278.04200000000003</v>
      </c>
      <c r="AJ16" s="197">
        <f t="shared" si="5"/>
        <v>680.36049999999989</v>
      </c>
      <c r="AK16" s="197">
        <f t="shared" si="6"/>
        <v>900.36049999999989</v>
      </c>
      <c r="AL16" s="196">
        <f t="shared" si="29"/>
        <v>819.24647369336662</v>
      </c>
      <c r="AM16" s="197">
        <f t="shared" si="30"/>
        <v>188.05692202653967</v>
      </c>
      <c r="AN16" s="197">
        <f t="shared" si="31"/>
        <v>237.67146688228701</v>
      </c>
      <c r="AO16" s="197">
        <f t="shared" si="32"/>
        <v>581.57500681107956</v>
      </c>
      <c r="AP16" s="199">
        <f t="shared" si="33"/>
        <v>769.63192883761928</v>
      </c>
      <c r="AQ16" s="196">
        <f t="shared" si="71"/>
        <v>3329.5876584054736</v>
      </c>
      <c r="AR16" s="197">
        <f t="shared" si="34"/>
        <v>1018.5769493365078</v>
      </c>
      <c r="AS16" s="197">
        <f t="shared" si="34"/>
        <v>6419.0165705463733</v>
      </c>
      <c r="AT16" s="197">
        <f t="shared" si="34"/>
        <v>-3089.4289121408997</v>
      </c>
      <c r="AU16" s="199">
        <f t="shared" si="34"/>
        <v>-2070.8519628043919</v>
      </c>
      <c r="AX16" s="204">
        <f t="shared" si="72"/>
        <v>5</v>
      </c>
      <c r="AY16" s="197">
        <f t="shared" si="7"/>
        <v>5.8085000000000004</v>
      </c>
      <c r="AZ16" s="197">
        <f>'Energy margins'!$S$12</f>
        <v>55</v>
      </c>
      <c r="BA16" s="197">
        <f t="shared" si="35"/>
        <v>319.46750000000003</v>
      </c>
      <c r="BB16" s="197">
        <f>'Margins summary'!$U$14</f>
        <v>220</v>
      </c>
      <c r="BC16" s="197">
        <f t="shared" si="36"/>
        <v>539.46749999999997</v>
      </c>
      <c r="BD16" s="197"/>
      <c r="BE16" s="897">
        <f>'Energy NPV'!U69</f>
        <v>278.04200000000003</v>
      </c>
      <c r="BF16" s="197"/>
      <c r="BG16" s="197">
        <f t="shared" si="8"/>
        <v>278.04200000000003</v>
      </c>
      <c r="BH16" s="197">
        <f t="shared" si="9"/>
        <v>41.4255</v>
      </c>
      <c r="BI16" s="197">
        <f t="shared" si="10"/>
        <v>261.42549999999994</v>
      </c>
      <c r="BJ16" s="196">
        <f t="shared" si="37"/>
        <v>273.08215789778893</v>
      </c>
      <c r="BK16" s="197">
        <f t="shared" si="38"/>
        <v>188.05692202653967</v>
      </c>
      <c r="BL16" s="197">
        <f t="shared" si="39"/>
        <v>237.67146688228701</v>
      </c>
      <c r="BM16" s="197">
        <f t="shared" si="40"/>
        <v>35.410691015501904</v>
      </c>
      <c r="BN16" s="199">
        <f t="shared" si="41"/>
        <v>223.46761304204151</v>
      </c>
      <c r="BO16" s="196">
        <f t="shared" si="73"/>
        <v>1109.8625528018247</v>
      </c>
      <c r="BP16" s="197">
        <f t="shared" si="42"/>
        <v>1018.5769493365078</v>
      </c>
      <c r="BQ16" s="197">
        <f t="shared" si="43"/>
        <v>6419.0165705463733</v>
      </c>
      <c r="BR16" s="197">
        <f t="shared" si="44"/>
        <v>-5309.1540177445495</v>
      </c>
      <c r="BS16" s="199">
        <f t="shared" si="45"/>
        <v>-4290.5770684080417</v>
      </c>
      <c r="BV16" s="204">
        <f t="shared" si="74"/>
        <v>5</v>
      </c>
      <c r="BW16" s="197">
        <f t="shared" si="11"/>
        <v>23.234000000000002</v>
      </c>
      <c r="BX16" s="197">
        <f>'Energy margins'!$S$12</f>
        <v>55</v>
      </c>
      <c r="BY16" s="197">
        <f t="shared" si="46"/>
        <v>1277.8700000000001</v>
      </c>
      <c r="BZ16" s="197">
        <f>'Margins summary'!$U$14</f>
        <v>220</v>
      </c>
      <c r="CA16" s="197">
        <f t="shared" si="47"/>
        <v>1497.8700000000001</v>
      </c>
      <c r="CB16" s="197"/>
      <c r="CC16" s="897">
        <f>'Energy NPV'!U69</f>
        <v>278.04200000000003</v>
      </c>
      <c r="CD16" s="197"/>
      <c r="CE16" s="197">
        <f t="shared" si="12"/>
        <v>278.04200000000003</v>
      </c>
      <c r="CF16" s="197">
        <f t="shared" si="13"/>
        <v>999.82800000000009</v>
      </c>
      <c r="CG16" s="197">
        <f t="shared" si="14"/>
        <v>1219.828</v>
      </c>
      <c r="CH16" s="196">
        <f t="shared" si="48"/>
        <v>1092.3286315911557</v>
      </c>
      <c r="CI16" s="197">
        <f t="shared" si="49"/>
        <v>188.05692202653967</v>
      </c>
      <c r="CJ16" s="197">
        <f t="shared" si="50"/>
        <v>237.67146688228701</v>
      </c>
      <c r="CK16" s="197">
        <f t="shared" si="51"/>
        <v>854.65716470886866</v>
      </c>
      <c r="CL16" s="199">
        <f t="shared" si="52"/>
        <v>1042.7140867354083</v>
      </c>
      <c r="CM16" s="196">
        <f t="shared" si="75"/>
        <v>4439.4502112072987</v>
      </c>
      <c r="CN16" s="197">
        <f t="shared" si="53"/>
        <v>1018.5769493365078</v>
      </c>
      <c r="CO16" s="197">
        <f t="shared" si="54"/>
        <v>6419.0165705463733</v>
      </c>
      <c r="CP16" s="197">
        <f t="shared" si="55"/>
        <v>-1979.5663593390755</v>
      </c>
      <c r="CQ16" s="199">
        <f t="shared" si="56"/>
        <v>-960.98941000256764</v>
      </c>
      <c r="CT16" s="204">
        <f t="shared" si="76"/>
        <v>5</v>
      </c>
      <c r="CU16" s="197">
        <f t="shared" si="15"/>
        <v>0</v>
      </c>
      <c r="CV16" s="197">
        <f>'Energy margins'!$S$12</f>
        <v>55</v>
      </c>
      <c r="CW16" s="197">
        <f t="shared" si="57"/>
        <v>0</v>
      </c>
      <c r="CX16" s="197">
        <f>'Margins summary'!$U$14</f>
        <v>220</v>
      </c>
      <c r="CY16" s="197">
        <f t="shared" si="58"/>
        <v>220</v>
      </c>
      <c r="CZ16" s="197"/>
      <c r="DA16" s="897">
        <f>'Energy NPV'!U69</f>
        <v>278.04200000000003</v>
      </c>
      <c r="DB16" s="197"/>
      <c r="DC16" s="197">
        <f t="shared" si="16"/>
        <v>278.04200000000003</v>
      </c>
      <c r="DD16" s="197">
        <f t="shared" si="17"/>
        <v>-278.04200000000003</v>
      </c>
      <c r="DE16" s="197">
        <f t="shared" si="18"/>
        <v>-58.04200000000003</v>
      </c>
      <c r="DF16" s="196">
        <f t="shared" si="59"/>
        <v>0</v>
      </c>
      <c r="DG16" s="197">
        <f t="shared" si="60"/>
        <v>188.05692202653967</v>
      </c>
      <c r="DH16" s="197">
        <f t="shared" si="61"/>
        <v>237.67146688228701</v>
      </c>
      <c r="DI16" s="197">
        <f t="shared" si="62"/>
        <v>-237.67146688228701</v>
      </c>
      <c r="DJ16" s="199">
        <f t="shared" si="63"/>
        <v>-49.614544855747361</v>
      </c>
      <c r="DK16" s="196">
        <f t="shared" si="77"/>
        <v>0</v>
      </c>
      <c r="DL16" s="197">
        <f t="shared" si="64"/>
        <v>1018.5769493365078</v>
      </c>
      <c r="DM16" s="197">
        <f t="shared" si="65"/>
        <v>6419.0165705463733</v>
      </c>
      <c r="DN16" s="197">
        <f t="shared" si="66"/>
        <v>-6419.0165705463733</v>
      </c>
      <c r="DO16" s="199">
        <f t="shared" si="67"/>
        <v>-5400.4396212098654</v>
      </c>
    </row>
    <row r="17" spans="2:119" x14ac:dyDescent="0.3">
      <c r="B17" s="204">
        <f t="shared" si="68"/>
        <v>6</v>
      </c>
      <c r="C17" s="197">
        <f>'Energy NPV'!$D70*$E$8</f>
        <v>11.617000000000001</v>
      </c>
      <c r="D17" s="197">
        <f>'Energy margins'!$S$12</f>
        <v>55</v>
      </c>
      <c r="E17" s="197">
        <f t="shared" si="19"/>
        <v>638.93500000000006</v>
      </c>
      <c r="F17" s="197">
        <f>'Margins summary'!$U$14</f>
        <v>220</v>
      </c>
      <c r="G17" s="197">
        <f t="shared" si="20"/>
        <v>858.93500000000006</v>
      </c>
      <c r="H17" s="197"/>
      <c r="I17" s="897">
        <f>'Energy NPV'!U70</f>
        <v>278.04200000000003</v>
      </c>
      <c r="J17" s="197"/>
      <c r="K17" s="197">
        <f t="shared" si="0"/>
        <v>278.04200000000003</v>
      </c>
      <c r="L17" s="197">
        <f t="shared" si="1"/>
        <v>360.89300000000003</v>
      </c>
      <c r="M17" s="197">
        <f t="shared" si="2"/>
        <v>580.89300000000003</v>
      </c>
      <c r="N17" s="196">
        <f t="shared" si="21"/>
        <v>525.15799595728629</v>
      </c>
      <c r="O17" s="197">
        <f t="shared" si="22"/>
        <v>180.82396348705734</v>
      </c>
      <c r="P17" s="197">
        <f t="shared" si="23"/>
        <v>228.53025661758366</v>
      </c>
      <c r="Q17" s="197">
        <f t="shared" si="24"/>
        <v>296.62773933970266</v>
      </c>
      <c r="R17" s="199">
        <f t="shared" si="25"/>
        <v>477.45170282676003</v>
      </c>
      <c r="S17" s="196">
        <f t="shared" si="69"/>
        <v>2744.8831015609358</v>
      </c>
      <c r="T17" s="197">
        <f t="shared" si="26"/>
        <v>1199.4009128235652</v>
      </c>
      <c r="U17" s="197">
        <f t="shared" si="26"/>
        <v>6647.5468271639566</v>
      </c>
      <c r="V17" s="197">
        <f t="shared" si="26"/>
        <v>-3902.6637256030222</v>
      </c>
      <c r="W17" s="199">
        <f t="shared" si="26"/>
        <v>-2703.2628127794569</v>
      </c>
      <c r="Z17" s="204">
        <f t="shared" si="70"/>
        <v>6</v>
      </c>
      <c r="AA17" s="197">
        <f t="shared" si="3"/>
        <v>17.4255</v>
      </c>
      <c r="AB17" s="197">
        <f>'Energy margins'!$S$12</f>
        <v>55</v>
      </c>
      <c r="AC17" s="197">
        <f t="shared" si="27"/>
        <v>958.40249999999992</v>
      </c>
      <c r="AD17" s="197">
        <f>'Margins summary'!$U$14</f>
        <v>220</v>
      </c>
      <c r="AE17" s="197">
        <f t="shared" si="28"/>
        <v>1178.4024999999999</v>
      </c>
      <c r="AF17" s="197"/>
      <c r="AG17" s="897">
        <f>'Energy NPV'!U70</f>
        <v>278.04200000000003</v>
      </c>
      <c r="AH17" s="197"/>
      <c r="AI17" s="197">
        <f t="shared" si="4"/>
        <v>278.04200000000003</v>
      </c>
      <c r="AJ17" s="197">
        <f t="shared" si="5"/>
        <v>680.36049999999989</v>
      </c>
      <c r="AK17" s="197">
        <f t="shared" si="6"/>
        <v>900.36049999999989</v>
      </c>
      <c r="AL17" s="196">
        <f t="shared" si="29"/>
        <v>787.73699393592938</v>
      </c>
      <c r="AM17" s="197">
        <f t="shared" si="30"/>
        <v>180.82396348705734</v>
      </c>
      <c r="AN17" s="197">
        <f t="shared" si="31"/>
        <v>228.53025661758366</v>
      </c>
      <c r="AO17" s="197">
        <f t="shared" si="32"/>
        <v>559.20673731834574</v>
      </c>
      <c r="AP17" s="199">
        <f t="shared" si="33"/>
        <v>740.03070080540306</v>
      </c>
      <c r="AQ17" s="196">
        <f t="shared" si="71"/>
        <v>4117.3246523414027</v>
      </c>
      <c r="AR17" s="197">
        <f t="shared" si="34"/>
        <v>1199.4009128235652</v>
      </c>
      <c r="AS17" s="197">
        <f t="shared" si="34"/>
        <v>6647.5468271639566</v>
      </c>
      <c r="AT17" s="197">
        <f t="shared" si="34"/>
        <v>-2530.2221748225538</v>
      </c>
      <c r="AU17" s="199">
        <f t="shared" si="34"/>
        <v>-1330.8212619989888</v>
      </c>
      <c r="AX17" s="204">
        <f t="shared" si="72"/>
        <v>6</v>
      </c>
      <c r="AY17" s="197">
        <f t="shared" si="7"/>
        <v>5.8085000000000004</v>
      </c>
      <c r="AZ17" s="197">
        <f>'Energy margins'!$S$12</f>
        <v>55</v>
      </c>
      <c r="BA17" s="197">
        <f t="shared" si="35"/>
        <v>319.46750000000003</v>
      </c>
      <c r="BB17" s="197">
        <f>'Margins summary'!$U$14</f>
        <v>220</v>
      </c>
      <c r="BC17" s="197">
        <f t="shared" si="36"/>
        <v>539.46749999999997</v>
      </c>
      <c r="BD17" s="197"/>
      <c r="BE17" s="897">
        <f>'Energy NPV'!U70</f>
        <v>278.04200000000003</v>
      </c>
      <c r="BF17" s="197"/>
      <c r="BG17" s="197">
        <f t="shared" si="8"/>
        <v>278.04200000000003</v>
      </c>
      <c r="BH17" s="197">
        <f t="shared" si="9"/>
        <v>41.4255</v>
      </c>
      <c r="BI17" s="197">
        <f t="shared" si="10"/>
        <v>261.42549999999994</v>
      </c>
      <c r="BJ17" s="196">
        <f t="shared" si="37"/>
        <v>262.57899797864314</v>
      </c>
      <c r="BK17" s="197">
        <f t="shared" si="38"/>
        <v>180.82396348705734</v>
      </c>
      <c r="BL17" s="197">
        <f t="shared" si="39"/>
        <v>228.53025661758366</v>
      </c>
      <c r="BM17" s="197">
        <f t="shared" si="40"/>
        <v>34.04874136105952</v>
      </c>
      <c r="BN17" s="199">
        <f t="shared" si="41"/>
        <v>214.8727048481168</v>
      </c>
      <c r="BO17" s="196">
        <f t="shared" si="73"/>
        <v>1372.4415507804679</v>
      </c>
      <c r="BP17" s="197">
        <f t="shared" si="42"/>
        <v>1199.4009128235652</v>
      </c>
      <c r="BQ17" s="197">
        <f t="shared" si="43"/>
        <v>6647.5468271639566</v>
      </c>
      <c r="BR17" s="197">
        <f t="shared" si="44"/>
        <v>-5275.1052763834896</v>
      </c>
      <c r="BS17" s="199">
        <f t="shared" si="45"/>
        <v>-4075.7043635599248</v>
      </c>
      <c r="BV17" s="204">
        <f t="shared" si="74"/>
        <v>6</v>
      </c>
      <c r="BW17" s="197">
        <f t="shared" si="11"/>
        <v>23.234000000000002</v>
      </c>
      <c r="BX17" s="197">
        <f>'Energy margins'!$S$12</f>
        <v>55</v>
      </c>
      <c r="BY17" s="197">
        <f t="shared" si="46"/>
        <v>1277.8700000000001</v>
      </c>
      <c r="BZ17" s="197">
        <f>'Margins summary'!$U$14</f>
        <v>220</v>
      </c>
      <c r="CA17" s="197">
        <f t="shared" si="47"/>
        <v>1497.8700000000001</v>
      </c>
      <c r="CB17" s="197"/>
      <c r="CC17" s="897">
        <f>'Energy NPV'!U70</f>
        <v>278.04200000000003</v>
      </c>
      <c r="CD17" s="197"/>
      <c r="CE17" s="197">
        <f t="shared" si="12"/>
        <v>278.04200000000003</v>
      </c>
      <c r="CF17" s="197">
        <f t="shared" si="13"/>
        <v>999.82800000000009</v>
      </c>
      <c r="CG17" s="197">
        <f t="shared" si="14"/>
        <v>1219.828</v>
      </c>
      <c r="CH17" s="196">
        <f t="shared" si="48"/>
        <v>1050.3159919145726</v>
      </c>
      <c r="CI17" s="197">
        <f t="shared" si="49"/>
        <v>180.82396348705734</v>
      </c>
      <c r="CJ17" s="197">
        <f t="shared" si="50"/>
        <v>228.53025661758366</v>
      </c>
      <c r="CK17" s="197">
        <f t="shared" si="51"/>
        <v>821.78573529698906</v>
      </c>
      <c r="CL17" s="199">
        <f t="shared" si="52"/>
        <v>1002.6096987840463</v>
      </c>
      <c r="CM17" s="196">
        <f t="shared" si="75"/>
        <v>5489.7662031218715</v>
      </c>
      <c r="CN17" s="197">
        <f t="shared" si="53"/>
        <v>1199.4009128235652</v>
      </c>
      <c r="CO17" s="197">
        <f t="shared" si="54"/>
        <v>6647.5468271639566</v>
      </c>
      <c r="CP17" s="197">
        <f t="shared" si="55"/>
        <v>-1157.7806240420864</v>
      </c>
      <c r="CQ17" s="199">
        <f t="shared" si="56"/>
        <v>41.620288781478621</v>
      </c>
      <c r="CT17" s="204">
        <f t="shared" si="76"/>
        <v>6</v>
      </c>
      <c r="CU17" s="197">
        <f t="shared" si="15"/>
        <v>0</v>
      </c>
      <c r="CV17" s="197">
        <f>'Energy margins'!$S$12</f>
        <v>55</v>
      </c>
      <c r="CW17" s="197">
        <f t="shared" si="57"/>
        <v>0</v>
      </c>
      <c r="CX17" s="197">
        <f>'Margins summary'!$U$14</f>
        <v>220</v>
      </c>
      <c r="CY17" s="197">
        <f t="shared" si="58"/>
        <v>220</v>
      </c>
      <c r="CZ17" s="197"/>
      <c r="DA17" s="897">
        <f>'Energy NPV'!U70</f>
        <v>278.04200000000003</v>
      </c>
      <c r="DB17" s="197"/>
      <c r="DC17" s="197">
        <f t="shared" si="16"/>
        <v>278.04200000000003</v>
      </c>
      <c r="DD17" s="197">
        <f t="shared" si="17"/>
        <v>-278.04200000000003</v>
      </c>
      <c r="DE17" s="197">
        <f t="shared" si="18"/>
        <v>-58.04200000000003</v>
      </c>
      <c r="DF17" s="196">
        <f t="shared" si="59"/>
        <v>0</v>
      </c>
      <c r="DG17" s="197">
        <f t="shared" si="60"/>
        <v>180.82396348705734</v>
      </c>
      <c r="DH17" s="197">
        <f t="shared" si="61"/>
        <v>228.53025661758366</v>
      </c>
      <c r="DI17" s="197">
        <f t="shared" si="62"/>
        <v>-228.53025661758366</v>
      </c>
      <c r="DJ17" s="199">
        <f t="shared" si="63"/>
        <v>-47.706293130526305</v>
      </c>
      <c r="DK17" s="196">
        <f t="shared" si="77"/>
        <v>0</v>
      </c>
      <c r="DL17" s="197">
        <f t="shared" si="64"/>
        <v>1199.4009128235652</v>
      </c>
      <c r="DM17" s="197">
        <f t="shared" si="65"/>
        <v>6647.5468271639566</v>
      </c>
      <c r="DN17" s="197">
        <f t="shared" si="66"/>
        <v>-6647.5468271639566</v>
      </c>
      <c r="DO17" s="199">
        <f t="shared" si="67"/>
        <v>-5448.1459143403918</v>
      </c>
    </row>
    <row r="18" spans="2:119" x14ac:dyDescent="0.3">
      <c r="B18" s="204">
        <f t="shared" si="68"/>
        <v>7</v>
      </c>
      <c r="C18" s="197">
        <f>'Energy NPV'!$D71*$E$8</f>
        <v>11.617000000000001</v>
      </c>
      <c r="D18" s="197">
        <f>'Energy margins'!$S$12</f>
        <v>55</v>
      </c>
      <c r="E18" s="197">
        <f t="shared" si="19"/>
        <v>638.93500000000006</v>
      </c>
      <c r="F18" s="197">
        <f>'Margins summary'!$U$14</f>
        <v>220</v>
      </c>
      <c r="G18" s="197">
        <f t="shared" si="20"/>
        <v>858.93500000000006</v>
      </c>
      <c r="H18" s="197"/>
      <c r="I18" s="897">
        <f>'Energy NPV'!U71</f>
        <v>278.04200000000003</v>
      </c>
      <c r="J18" s="197"/>
      <c r="K18" s="197">
        <f t="shared" si="0"/>
        <v>278.04200000000003</v>
      </c>
      <c r="L18" s="197">
        <f t="shared" si="1"/>
        <v>360.89300000000003</v>
      </c>
      <c r="M18" s="197">
        <f t="shared" si="2"/>
        <v>580.89300000000003</v>
      </c>
      <c r="N18" s="196">
        <f t="shared" si="21"/>
        <v>504.95961149739071</v>
      </c>
      <c r="O18" s="197">
        <f t="shared" si="22"/>
        <v>173.86919566063204</v>
      </c>
      <c r="P18" s="197">
        <f t="shared" si="23"/>
        <v>219.7406313630612</v>
      </c>
      <c r="Q18" s="197">
        <f t="shared" si="24"/>
        <v>285.21898013432951</v>
      </c>
      <c r="R18" s="199">
        <f t="shared" si="25"/>
        <v>459.08817579496156</v>
      </c>
      <c r="S18" s="196">
        <f t="shared" si="69"/>
        <v>3249.8427130583264</v>
      </c>
      <c r="T18" s="197">
        <f t="shared" si="26"/>
        <v>1373.2701084841974</v>
      </c>
      <c r="U18" s="197">
        <f t="shared" si="26"/>
        <v>6867.2874585270174</v>
      </c>
      <c r="V18" s="197">
        <f t="shared" si="26"/>
        <v>-3617.4447454686924</v>
      </c>
      <c r="W18" s="199">
        <f t="shared" si="26"/>
        <v>-2244.1746369844955</v>
      </c>
      <c r="Z18" s="204">
        <f t="shared" si="70"/>
        <v>7</v>
      </c>
      <c r="AA18" s="197">
        <f t="shared" si="3"/>
        <v>17.4255</v>
      </c>
      <c r="AB18" s="197">
        <f>'Energy margins'!$S$12</f>
        <v>55</v>
      </c>
      <c r="AC18" s="197">
        <f t="shared" si="27"/>
        <v>958.40249999999992</v>
      </c>
      <c r="AD18" s="197">
        <f>'Margins summary'!$U$14</f>
        <v>220</v>
      </c>
      <c r="AE18" s="197">
        <f t="shared" si="28"/>
        <v>1178.4024999999999</v>
      </c>
      <c r="AF18" s="197"/>
      <c r="AG18" s="897">
        <f>'Energy NPV'!U71</f>
        <v>278.04200000000003</v>
      </c>
      <c r="AH18" s="197"/>
      <c r="AI18" s="197">
        <f t="shared" si="4"/>
        <v>278.04200000000003</v>
      </c>
      <c r="AJ18" s="197">
        <f t="shared" si="5"/>
        <v>680.36049999999989</v>
      </c>
      <c r="AK18" s="197">
        <f t="shared" si="6"/>
        <v>900.36049999999989</v>
      </c>
      <c r="AL18" s="196">
        <f t="shared" si="29"/>
        <v>757.4394172460859</v>
      </c>
      <c r="AM18" s="197">
        <f t="shared" si="30"/>
        <v>173.86919566063204</v>
      </c>
      <c r="AN18" s="197">
        <f t="shared" si="31"/>
        <v>219.7406313630612</v>
      </c>
      <c r="AO18" s="197">
        <f t="shared" si="32"/>
        <v>537.6987858830247</v>
      </c>
      <c r="AP18" s="199">
        <f t="shared" si="33"/>
        <v>711.56798154365674</v>
      </c>
      <c r="AQ18" s="196">
        <f t="shared" si="71"/>
        <v>4874.7640695874888</v>
      </c>
      <c r="AR18" s="197">
        <f t="shared" si="34"/>
        <v>1373.2701084841974</v>
      </c>
      <c r="AS18" s="197">
        <f t="shared" si="34"/>
        <v>6867.2874585270174</v>
      </c>
      <c r="AT18" s="197">
        <f t="shared" si="34"/>
        <v>-1992.523388939529</v>
      </c>
      <c r="AU18" s="199">
        <f t="shared" si="34"/>
        <v>-619.25328045533206</v>
      </c>
      <c r="AX18" s="204">
        <f t="shared" si="72"/>
        <v>7</v>
      </c>
      <c r="AY18" s="197">
        <f t="shared" si="7"/>
        <v>5.8085000000000004</v>
      </c>
      <c r="AZ18" s="197">
        <f>'Energy margins'!$S$12</f>
        <v>55</v>
      </c>
      <c r="BA18" s="197">
        <f t="shared" si="35"/>
        <v>319.46750000000003</v>
      </c>
      <c r="BB18" s="197">
        <f>'Margins summary'!$U$14</f>
        <v>220</v>
      </c>
      <c r="BC18" s="197">
        <f t="shared" si="36"/>
        <v>539.46749999999997</v>
      </c>
      <c r="BD18" s="197"/>
      <c r="BE18" s="897">
        <f>'Energy NPV'!U71</f>
        <v>278.04200000000003</v>
      </c>
      <c r="BF18" s="197"/>
      <c r="BG18" s="197">
        <f t="shared" si="8"/>
        <v>278.04200000000003</v>
      </c>
      <c r="BH18" s="197">
        <f t="shared" si="9"/>
        <v>41.4255</v>
      </c>
      <c r="BI18" s="197">
        <f t="shared" si="10"/>
        <v>261.42549999999994</v>
      </c>
      <c r="BJ18" s="196">
        <f t="shared" si="37"/>
        <v>252.47980574869536</v>
      </c>
      <c r="BK18" s="197">
        <f t="shared" si="38"/>
        <v>173.86919566063204</v>
      </c>
      <c r="BL18" s="197">
        <f t="shared" si="39"/>
        <v>219.7406313630612</v>
      </c>
      <c r="BM18" s="197">
        <f t="shared" si="40"/>
        <v>32.739174385634151</v>
      </c>
      <c r="BN18" s="199">
        <f t="shared" si="41"/>
        <v>206.60837004626617</v>
      </c>
      <c r="BO18" s="196">
        <f t="shared" si="73"/>
        <v>1624.9213565291632</v>
      </c>
      <c r="BP18" s="197">
        <f t="shared" si="42"/>
        <v>1373.2701084841974</v>
      </c>
      <c r="BQ18" s="197">
        <f t="shared" si="43"/>
        <v>6867.2874585270174</v>
      </c>
      <c r="BR18" s="197">
        <f t="shared" si="44"/>
        <v>-5242.3661019978554</v>
      </c>
      <c r="BS18" s="199">
        <f t="shared" si="45"/>
        <v>-3869.0959935136584</v>
      </c>
      <c r="BV18" s="204">
        <f t="shared" si="74"/>
        <v>7</v>
      </c>
      <c r="BW18" s="197">
        <f t="shared" si="11"/>
        <v>23.234000000000002</v>
      </c>
      <c r="BX18" s="197">
        <f>'Energy margins'!$S$12</f>
        <v>55</v>
      </c>
      <c r="BY18" s="197">
        <f t="shared" si="46"/>
        <v>1277.8700000000001</v>
      </c>
      <c r="BZ18" s="197">
        <f>'Margins summary'!$U$14</f>
        <v>220</v>
      </c>
      <c r="CA18" s="197">
        <f t="shared" si="47"/>
        <v>1497.8700000000001</v>
      </c>
      <c r="CB18" s="197"/>
      <c r="CC18" s="897">
        <f>'Energy NPV'!U71</f>
        <v>278.04200000000003</v>
      </c>
      <c r="CD18" s="197"/>
      <c r="CE18" s="197">
        <f t="shared" si="12"/>
        <v>278.04200000000003</v>
      </c>
      <c r="CF18" s="197">
        <f t="shared" si="13"/>
        <v>999.82800000000009</v>
      </c>
      <c r="CG18" s="197">
        <f t="shared" si="14"/>
        <v>1219.828</v>
      </c>
      <c r="CH18" s="196">
        <f t="shared" si="48"/>
        <v>1009.9192229947814</v>
      </c>
      <c r="CI18" s="197">
        <f t="shared" si="49"/>
        <v>173.86919566063204</v>
      </c>
      <c r="CJ18" s="197">
        <f t="shared" si="50"/>
        <v>219.7406313630612</v>
      </c>
      <c r="CK18" s="197">
        <f t="shared" si="51"/>
        <v>790.17859163172022</v>
      </c>
      <c r="CL18" s="199">
        <f t="shared" si="52"/>
        <v>964.04778729235215</v>
      </c>
      <c r="CM18" s="196">
        <f t="shared" si="75"/>
        <v>6499.6854261166527</v>
      </c>
      <c r="CN18" s="197">
        <f t="shared" si="53"/>
        <v>1373.2701084841974</v>
      </c>
      <c r="CO18" s="197">
        <f t="shared" si="54"/>
        <v>6867.2874585270174</v>
      </c>
      <c r="CP18" s="197">
        <f t="shared" si="55"/>
        <v>-367.60203241036618</v>
      </c>
      <c r="CQ18" s="199">
        <f t="shared" si="56"/>
        <v>1005.6680760738308</v>
      </c>
      <c r="CT18" s="204">
        <f t="shared" si="76"/>
        <v>7</v>
      </c>
      <c r="CU18" s="197">
        <f t="shared" si="15"/>
        <v>0</v>
      </c>
      <c r="CV18" s="197">
        <f>'Energy margins'!$S$12</f>
        <v>55</v>
      </c>
      <c r="CW18" s="197">
        <f t="shared" si="57"/>
        <v>0</v>
      </c>
      <c r="CX18" s="197">
        <f>'Margins summary'!$U$14</f>
        <v>220</v>
      </c>
      <c r="CY18" s="197">
        <f t="shared" si="58"/>
        <v>220</v>
      </c>
      <c r="CZ18" s="197"/>
      <c r="DA18" s="897">
        <f>'Energy NPV'!U71</f>
        <v>278.04200000000003</v>
      </c>
      <c r="DB18" s="197"/>
      <c r="DC18" s="197">
        <f t="shared" si="16"/>
        <v>278.04200000000003</v>
      </c>
      <c r="DD18" s="197">
        <f t="shared" si="17"/>
        <v>-278.04200000000003</v>
      </c>
      <c r="DE18" s="197">
        <f t="shared" si="18"/>
        <v>-58.04200000000003</v>
      </c>
      <c r="DF18" s="196">
        <f t="shared" si="59"/>
        <v>0</v>
      </c>
      <c r="DG18" s="197">
        <f t="shared" si="60"/>
        <v>173.86919566063204</v>
      </c>
      <c r="DH18" s="197">
        <f t="shared" si="61"/>
        <v>219.7406313630612</v>
      </c>
      <c r="DI18" s="197">
        <f t="shared" si="62"/>
        <v>-219.7406313630612</v>
      </c>
      <c r="DJ18" s="199">
        <f t="shared" si="63"/>
        <v>-45.871435702429139</v>
      </c>
      <c r="DK18" s="196">
        <f t="shared" si="77"/>
        <v>0</v>
      </c>
      <c r="DL18" s="197">
        <f t="shared" si="64"/>
        <v>1373.2701084841974</v>
      </c>
      <c r="DM18" s="197">
        <f t="shared" si="65"/>
        <v>6867.2874585270174</v>
      </c>
      <c r="DN18" s="197">
        <f t="shared" si="66"/>
        <v>-6867.2874585270174</v>
      </c>
      <c r="DO18" s="199">
        <f t="shared" si="67"/>
        <v>-5494.0173500428209</v>
      </c>
    </row>
    <row r="19" spans="2:119" x14ac:dyDescent="0.3">
      <c r="B19" s="204">
        <f t="shared" si="68"/>
        <v>8</v>
      </c>
      <c r="C19" s="197">
        <f>'Energy NPV'!$D72*$E$8</f>
        <v>11.617000000000001</v>
      </c>
      <c r="D19" s="197">
        <f>'Energy margins'!$S$12</f>
        <v>55</v>
      </c>
      <c r="E19" s="197">
        <f t="shared" si="19"/>
        <v>638.93500000000006</v>
      </c>
      <c r="F19" s="197">
        <f>'Margins summary'!$U$14</f>
        <v>220</v>
      </c>
      <c r="G19" s="197">
        <f t="shared" si="20"/>
        <v>858.93500000000006</v>
      </c>
      <c r="H19" s="197"/>
      <c r="I19" s="897">
        <f>'Energy NPV'!U72</f>
        <v>278.04200000000003</v>
      </c>
      <c r="J19" s="197"/>
      <c r="K19" s="197">
        <f t="shared" si="0"/>
        <v>278.04200000000003</v>
      </c>
      <c r="L19" s="197">
        <f t="shared" si="1"/>
        <v>360.89300000000003</v>
      </c>
      <c r="M19" s="197">
        <f t="shared" si="2"/>
        <v>580.89300000000003</v>
      </c>
      <c r="N19" s="196">
        <f t="shared" si="21"/>
        <v>485.53808797826031</v>
      </c>
      <c r="O19" s="197">
        <f t="shared" si="22"/>
        <v>167.18191890445391</v>
      </c>
      <c r="P19" s="197">
        <f t="shared" si="23"/>
        <v>211.28906861832809</v>
      </c>
      <c r="Q19" s="197">
        <f t="shared" si="24"/>
        <v>274.24901935993222</v>
      </c>
      <c r="R19" s="199">
        <f t="shared" si="25"/>
        <v>441.43093826438616</v>
      </c>
      <c r="S19" s="196">
        <f t="shared" si="69"/>
        <v>3735.3808010365865</v>
      </c>
      <c r="T19" s="197">
        <f t="shared" si="26"/>
        <v>1540.4520273886512</v>
      </c>
      <c r="U19" s="197">
        <f t="shared" si="26"/>
        <v>7078.5765271453456</v>
      </c>
      <c r="V19" s="197">
        <f t="shared" si="26"/>
        <v>-3343.19572610876</v>
      </c>
      <c r="W19" s="199">
        <f t="shared" si="26"/>
        <v>-1802.7436987201093</v>
      </c>
      <c r="Z19" s="204">
        <f t="shared" si="70"/>
        <v>8</v>
      </c>
      <c r="AA19" s="197">
        <f t="shared" si="3"/>
        <v>17.4255</v>
      </c>
      <c r="AB19" s="197">
        <f>'Energy margins'!$S$12</f>
        <v>55</v>
      </c>
      <c r="AC19" s="197">
        <f t="shared" si="27"/>
        <v>958.40249999999992</v>
      </c>
      <c r="AD19" s="197">
        <f>'Margins summary'!$U$14</f>
        <v>220</v>
      </c>
      <c r="AE19" s="197">
        <f t="shared" si="28"/>
        <v>1178.4024999999999</v>
      </c>
      <c r="AF19" s="197"/>
      <c r="AG19" s="897">
        <f>'Energy NPV'!U72</f>
        <v>278.04200000000003</v>
      </c>
      <c r="AH19" s="197"/>
      <c r="AI19" s="197">
        <f t="shared" si="4"/>
        <v>278.04200000000003</v>
      </c>
      <c r="AJ19" s="197">
        <f t="shared" si="5"/>
        <v>680.36049999999989</v>
      </c>
      <c r="AK19" s="197">
        <f t="shared" si="6"/>
        <v>900.36049999999989</v>
      </c>
      <c r="AL19" s="196">
        <f t="shared" si="29"/>
        <v>728.30713196739032</v>
      </c>
      <c r="AM19" s="197">
        <f t="shared" si="30"/>
        <v>167.18191890445391</v>
      </c>
      <c r="AN19" s="197">
        <f t="shared" si="31"/>
        <v>211.28906861832809</v>
      </c>
      <c r="AO19" s="197">
        <f t="shared" si="32"/>
        <v>517.01806334906223</v>
      </c>
      <c r="AP19" s="199">
        <f t="shared" si="33"/>
        <v>684.19998225351617</v>
      </c>
      <c r="AQ19" s="196">
        <f t="shared" si="71"/>
        <v>5603.0712015548788</v>
      </c>
      <c r="AR19" s="197">
        <f t="shared" si="34"/>
        <v>1540.4520273886512</v>
      </c>
      <c r="AS19" s="197">
        <f t="shared" si="34"/>
        <v>7078.5765271453456</v>
      </c>
      <c r="AT19" s="197">
        <f t="shared" si="34"/>
        <v>-1475.5053255904668</v>
      </c>
      <c r="AU19" s="199">
        <f t="shared" si="34"/>
        <v>64.946701798184108</v>
      </c>
      <c r="AX19" s="204">
        <f t="shared" si="72"/>
        <v>8</v>
      </c>
      <c r="AY19" s="197">
        <f t="shared" si="7"/>
        <v>5.8085000000000004</v>
      </c>
      <c r="AZ19" s="197">
        <f>'Energy margins'!$S$12</f>
        <v>55</v>
      </c>
      <c r="BA19" s="197">
        <f t="shared" si="35"/>
        <v>319.46750000000003</v>
      </c>
      <c r="BB19" s="197">
        <f>'Margins summary'!$U$14</f>
        <v>220</v>
      </c>
      <c r="BC19" s="197">
        <f t="shared" si="36"/>
        <v>539.46749999999997</v>
      </c>
      <c r="BD19" s="197"/>
      <c r="BE19" s="897">
        <f>'Energy NPV'!U72</f>
        <v>278.04200000000003</v>
      </c>
      <c r="BF19" s="197"/>
      <c r="BG19" s="197">
        <f t="shared" si="8"/>
        <v>278.04200000000003</v>
      </c>
      <c r="BH19" s="197">
        <f t="shared" si="9"/>
        <v>41.4255</v>
      </c>
      <c r="BI19" s="197">
        <f t="shared" si="10"/>
        <v>261.42549999999994</v>
      </c>
      <c r="BJ19" s="196">
        <f t="shared" si="37"/>
        <v>242.76904398913015</v>
      </c>
      <c r="BK19" s="197">
        <f t="shared" si="38"/>
        <v>167.18191890445391</v>
      </c>
      <c r="BL19" s="197">
        <f t="shared" si="39"/>
        <v>211.28906861832809</v>
      </c>
      <c r="BM19" s="197">
        <f t="shared" si="40"/>
        <v>31.47997537080207</v>
      </c>
      <c r="BN19" s="199">
        <f t="shared" si="41"/>
        <v>198.66189427525595</v>
      </c>
      <c r="BO19" s="196">
        <f t="shared" si="73"/>
        <v>1867.6904005182932</v>
      </c>
      <c r="BP19" s="197">
        <f t="shared" si="42"/>
        <v>1540.4520273886512</v>
      </c>
      <c r="BQ19" s="197">
        <f t="shared" si="43"/>
        <v>7078.5765271453456</v>
      </c>
      <c r="BR19" s="197">
        <f t="shared" si="44"/>
        <v>-5210.8861266270533</v>
      </c>
      <c r="BS19" s="199">
        <f t="shared" si="45"/>
        <v>-3670.4340992384023</v>
      </c>
      <c r="BV19" s="204">
        <f t="shared" si="74"/>
        <v>8</v>
      </c>
      <c r="BW19" s="197">
        <f t="shared" si="11"/>
        <v>23.234000000000002</v>
      </c>
      <c r="BX19" s="197">
        <f>'Energy margins'!$S$12</f>
        <v>55</v>
      </c>
      <c r="BY19" s="197">
        <f t="shared" si="46"/>
        <v>1277.8700000000001</v>
      </c>
      <c r="BZ19" s="197">
        <f>'Margins summary'!$U$14</f>
        <v>220</v>
      </c>
      <c r="CA19" s="197">
        <f t="shared" si="47"/>
        <v>1497.8700000000001</v>
      </c>
      <c r="CB19" s="197"/>
      <c r="CC19" s="897">
        <f>'Energy NPV'!U72</f>
        <v>278.04200000000003</v>
      </c>
      <c r="CD19" s="197"/>
      <c r="CE19" s="197">
        <f t="shared" si="12"/>
        <v>278.04200000000003</v>
      </c>
      <c r="CF19" s="197">
        <f t="shared" si="13"/>
        <v>999.82800000000009</v>
      </c>
      <c r="CG19" s="197">
        <f t="shared" si="14"/>
        <v>1219.828</v>
      </c>
      <c r="CH19" s="196">
        <f t="shared" si="48"/>
        <v>971.07617595652061</v>
      </c>
      <c r="CI19" s="197">
        <f t="shared" si="49"/>
        <v>167.18191890445391</v>
      </c>
      <c r="CJ19" s="197">
        <f t="shared" si="50"/>
        <v>211.28906861832809</v>
      </c>
      <c r="CK19" s="197">
        <f t="shared" si="51"/>
        <v>759.78710733819253</v>
      </c>
      <c r="CL19" s="199">
        <f t="shared" si="52"/>
        <v>926.96902624264635</v>
      </c>
      <c r="CM19" s="196">
        <f t="shared" si="75"/>
        <v>7470.761602073173</v>
      </c>
      <c r="CN19" s="197">
        <f t="shared" si="53"/>
        <v>1540.4520273886512</v>
      </c>
      <c r="CO19" s="197">
        <f t="shared" si="54"/>
        <v>7078.5765271453456</v>
      </c>
      <c r="CP19" s="197">
        <f t="shared" si="55"/>
        <v>392.18507492782635</v>
      </c>
      <c r="CQ19" s="199">
        <f t="shared" si="56"/>
        <v>1932.637102316477</v>
      </c>
      <c r="CT19" s="204">
        <f t="shared" si="76"/>
        <v>8</v>
      </c>
      <c r="CU19" s="197">
        <f t="shared" si="15"/>
        <v>0</v>
      </c>
      <c r="CV19" s="197">
        <f>'Energy margins'!$S$12</f>
        <v>55</v>
      </c>
      <c r="CW19" s="197">
        <f t="shared" si="57"/>
        <v>0</v>
      </c>
      <c r="CX19" s="197">
        <f>'Margins summary'!$U$14</f>
        <v>220</v>
      </c>
      <c r="CY19" s="197">
        <f t="shared" si="58"/>
        <v>220</v>
      </c>
      <c r="CZ19" s="197"/>
      <c r="DA19" s="897">
        <f>'Energy NPV'!U72</f>
        <v>278.04200000000003</v>
      </c>
      <c r="DB19" s="197"/>
      <c r="DC19" s="197">
        <f t="shared" si="16"/>
        <v>278.04200000000003</v>
      </c>
      <c r="DD19" s="197">
        <f t="shared" si="17"/>
        <v>-278.04200000000003</v>
      </c>
      <c r="DE19" s="197">
        <f t="shared" si="18"/>
        <v>-58.04200000000003</v>
      </c>
      <c r="DF19" s="196">
        <f t="shared" si="59"/>
        <v>0</v>
      </c>
      <c r="DG19" s="197">
        <f t="shared" si="60"/>
        <v>167.18191890445391</v>
      </c>
      <c r="DH19" s="197">
        <f t="shared" si="61"/>
        <v>211.28906861832809</v>
      </c>
      <c r="DI19" s="197">
        <f t="shared" si="62"/>
        <v>-211.28906861832809</v>
      </c>
      <c r="DJ19" s="199">
        <f t="shared" si="63"/>
        <v>-44.107149713874179</v>
      </c>
      <c r="DK19" s="196">
        <f t="shared" si="77"/>
        <v>0</v>
      </c>
      <c r="DL19" s="197">
        <f t="shared" si="64"/>
        <v>1540.4520273886512</v>
      </c>
      <c r="DM19" s="197">
        <f t="shared" si="65"/>
        <v>7078.5765271453456</v>
      </c>
      <c r="DN19" s="197">
        <f t="shared" si="66"/>
        <v>-7078.5765271453456</v>
      </c>
      <c r="DO19" s="199">
        <f t="shared" si="67"/>
        <v>-5538.1244997566955</v>
      </c>
    </row>
    <row r="20" spans="2:119" x14ac:dyDescent="0.3">
      <c r="B20" s="204">
        <f t="shared" si="68"/>
        <v>9</v>
      </c>
      <c r="C20" s="197">
        <f>'Energy NPV'!$D73*$E$8</f>
        <v>11.617000000000001</v>
      </c>
      <c r="D20" s="197">
        <f>'Energy margins'!$S$12</f>
        <v>55</v>
      </c>
      <c r="E20" s="197">
        <f t="shared" si="19"/>
        <v>638.93500000000006</v>
      </c>
      <c r="F20" s="197">
        <f>'Margins summary'!$U$14</f>
        <v>220</v>
      </c>
      <c r="G20" s="197">
        <f t="shared" si="20"/>
        <v>858.93500000000006</v>
      </c>
      <c r="H20" s="197"/>
      <c r="I20" s="897">
        <f>'Energy NPV'!U73</f>
        <v>278.04200000000003</v>
      </c>
      <c r="J20" s="197"/>
      <c r="K20" s="197">
        <f t="shared" si="0"/>
        <v>278.04200000000003</v>
      </c>
      <c r="L20" s="197">
        <f t="shared" si="1"/>
        <v>360.89300000000003</v>
      </c>
      <c r="M20" s="197">
        <f t="shared" si="2"/>
        <v>580.89300000000003</v>
      </c>
      <c r="N20" s="196">
        <f t="shared" si="21"/>
        <v>466.86354613294253</v>
      </c>
      <c r="O20" s="197">
        <f t="shared" si="22"/>
        <v>160.75184510043644</v>
      </c>
      <c r="P20" s="197">
        <f t="shared" si="23"/>
        <v>203.1625659791616</v>
      </c>
      <c r="Q20" s="197">
        <f t="shared" si="24"/>
        <v>263.70098015378096</v>
      </c>
      <c r="R20" s="199">
        <f t="shared" si="25"/>
        <v>424.45282525421737</v>
      </c>
      <c r="S20" s="196">
        <f t="shared" si="69"/>
        <v>4202.2443471695287</v>
      </c>
      <c r="T20" s="197">
        <f t="shared" si="26"/>
        <v>1701.2038724890876</v>
      </c>
      <c r="U20" s="197">
        <f t="shared" si="26"/>
        <v>7281.7390931245072</v>
      </c>
      <c r="V20" s="197">
        <f t="shared" si="26"/>
        <v>-3079.494745954979</v>
      </c>
      <c r="W20" s="199">
        <f t="shared" si="26"/>
        <v>-1378.2908734658918</v>
      </c>
      <c r="Z20" s="204">
        <f t="shared" si="70"/>
        <v>9</v>
      </c>
      <c r="AA20" s="197">
        <f t="shared" si="3"/>
        <v>17.4255</v>
      </c>
      <c r="AB20" s="197">
        <f>'Energy margins'!$S$12</f>
        <v>55</v>
      </c>
      <c r="AC20" s="197">
        <f t="shared" si="27"/>
        <v>958.40249999999992</v>
      </c>
      <c r="AD20" s="197">
        <f>'Margins summary'!$U$14</f>
        <v>220</v>
      </c>
      <c r="AE20" s="197">
        <f t="shared" si="28"/>
        <v>1178.4024999999999</v>
      </c>
      <c r="AF20" s="197"/>
      <c r="AG20" s="897">
        <f>'Energy NPV'!U73</f>
        <v>278.04200000000003</v>
      </c>
      <c r="AH20" s="197"/>
      <c r="AI20" s="197">
        <f t="shared" si="4"/>
        <v>278.04200000000003</v>
      </c>
      <c r="AJ20" s="197">
        <f t="shared" si="5"/>
        <v>680.36049999999989</v>
      </c>
      <c r="AK20" s="197">
        <f t="shared" si="6"/>
        <v>900.36049999999989</v>
      </c>
      <c r="AL20" s="196">
        <f t="shared" si="29"/>
        <v>700.29531919941371</v>
      </c>
      <c r="AM20" s="197">
        <f t="shared" si="30"/>
        <v>160.75184510043644</v>
      </c>
      <c r="AN20" s="197">
        <f t="shared" si="31"/>
        <v>203.1625659791616</v>
      </c>
      <c r="AO20" s="197">
        <f t="shared" si="32"/>
        <v>497.13275322025208</v>
      </c>
      <c r="AP20" s="199">
        <f t="shared" si="33"/>
        <v>657.8845983206885</v>
      </c>
      <c r="AQ20" s="196">
        <f t="shared" si="71"/>
        <v>6303.3665207542927</v>
      </c>
      <c r="AR20" s="197">
        <f t="shared" si="34"/>
        <v>1701.2038724890876</v>
      </c>
      <c r="AS20" s="197">
        <f t="shared" si="34"/>
        <v>7281.7390931245072</v>
      </c>
      <c r="AT20" s="197">
        <f t="shared" si="34"/>
        <v>-978.3725723702147</v>
      </c>
      <c r="AU20" s="199">
        <f t="shared" si="34"/>
        <v>722.8313001188726</v>
      </c>
      <c r="AX20" s="204">
        <f t="shared" si="72"/>
        <v>9</v>
      </c>
      <c r="AY20" s="197">
        <f t="shared" si="7"/>
        <v>5.8085000000000004</v>
      </c>
      <c r="AZ20" s="197">
        <f>'Energy margins'!$S$12</f>
        <v>55</v>
      </c>
      <c r="BA20" s="197">
        <f t="shared" si="35"/>
        <v>319.46750000000003</v>
      </c>
      <c r="BB20" s="197">
        <f>'Margins summary'!$U$14</f>
        <v>220</v>
      </c>
      <c r="BC20" s="197">
        <f t="shared" si="36"/>
        <v>539.46749999999997</v>
      </c>
      <c r="BD20" s="197"/>
      <c r="BE20" s="897">
        <f>'Energy NPV'!U73</f>
        <v>278.04200000000003</v>
      </c>
      <c r="BF20" s="197"/>
      <c r="BG20" s="197">
        <f t="shared" si="8"/>
        <v>278.04200000000003</v>
      </c>
      <c r="BH20" s="197">
        <f t="shared" si="9"/>
        <v>41.4255</v>
      </c>
      <c r="BI20" s="197">
        <f t="shared" si="10"/>
        <v>261.42549999999994</v>
      </c>
      <c r="BJ20" s="196">
        <f t="shared" si="37"/>
        <v>233.43177306647127</v>
      </c>
      <c r="BK20" s="197">
        <f t="shared" si="38"/>
        <v>160.75184510043644</v>
      </c>
      <c r="BL20" s="197">
        <f t="shared" si="39"/>
        <v>203.1625659791616</v>
      </c>
      <c r="BM20" s="197">
        <f t="shared" si="40"/>
        <v>30.269207087309677</v>
      </c>
      <c r="BN20" s="199">
        <f t="shared" si="41"/>
        <v>191.02105218774608</v>
      </c>
      <c r="BO20" s="196">
        <f t="shared" si="73"/>
        <v>2101.1221735847644</v>
      </c>
      <c r="BP20" s="197">
        <f t="shared" si="42"/>
        <v>1701.2038724890876</v>
      </c>
      <c r="BQ20" s="197">
        <f t="shared" si="43"/>
        <v>7281.7390931245072</v>
      </c>
      <c r="BR20" s="197">
        <f t="shared" si="44"/>
        <v>-5180.6169195397433</v>
      </c>
      <c r="BS20" s="199">
        <f t="shared" si="45"/>
        <v>-3479.4130470506561</v>
      </c>
      <c r="BV20" s="204">
        <f t="shared" si="74"/>
        <v>9</v>
      </c>
      <c r="BW20" s="197">
        <f t="shared" si="11"/>
        <v>23.234000000000002</v>
      </c>
      <c r="BX20" s="197">
        <f>'Energy margins'!$S$12</f>
        <v>55</v>
      </c>
      <c r="BY20" s="197">
        <f t="shared" si="46"/>
        <v>1277.8700000000001</v>
      </c>
      <c r="BZ20" s="197">
        <f>'Margins summary'!$U$14</f>
        <v>220</v>
      </c>
      <c r="CA20" s="197">
        <f t="shared" si="47"/>
        <v>1497.8700000000001</v>
      </c>
      <c r="CB20" s="197"/>
      <c r="CC20" s="897">
        <f>'Energy NPV'!U73</f>
        <v>278.04200000000003</v>
      </c>
      <c r="CD20" s="197"/>
      <c r="CE20" s="197">
        <f t="shared" si="12"/>
        <v>278.04200000000003</v>
      </c>
      <c r="CF20" s="197">
        <f t="shared" si="13"/>
        <v>999.82800000000009</v>
      </c>
      <c r="CG20" s="197">
        <f t="shared" si="14"/>
        <v>1219.828</v>
      </c>
      <c r="CH20" s="196">
        <f t="shared" si="48"/>
        <v>933.72709226588506</v>
      </c>
      <c r="CI20" s="197">
        <f t="shared" si="49"/>
        <v>160.75184510043644</v>
      </c>
      <c r="CJ20" s="197">
        <f t="shared" si="50"/>
        <v>203.1625659791616</v>
      </c>
      <c r="CK20" s="197">
        <f t="shared" si="51"/>
        <v>730.56452628672355</v>
      </c>
      <c r="CL20" s="199">
        <f t="shared" si="52"/>
        <v>891.31637138715985</v>
      </c>
      <c r="CM20" s="196">
        <f t="shared" si="75"/>
        <v>8404.4886943390575</v>
      </c>
      <c r="CN20" s="197">
        <f t="shared" si="53"/>
        <v>1701.2038724890876</v>
      </c>
      <c r="CO20" s="197">
        <f t="shared" si="54"/>
        <v>7281.7390931245072</v>
      </c>
      <c r="CP20" s="197">
        <f t="shared" si="55"/>
        <v>1122.7496012145498</v>
      </c>
      <c r="CQ20" s="199">
        <f t="shared" si="56"/>
        <v>2823.953473703637</v>
      </c>
      <c r="CT20" s="204">
        <f t="shared" si="76"/>
        <v>9</v>
      </c>
      <c r="CU20" s="197">
        <f t="shared" si="15"/>
        <v>0</v>
      </c>
      <c r="CV20" s="197">
        <f>'Energy margins'!$S$12</f>
        <v>55</v>
      </c>
      <c r="CW20" s="197">
        <f t="shared" si="57"/>
        <v>0</v>
      </c>
      <c r="CX20" s="197">
        <f>'Margins summary'!$U$14</f>
        <v>220</v>
      </c>
      <c r="CY20" s="197">
        <f t="shared" si="58"/>
        <v>220</v>
      </c>
      <c r="CZ20" s="197"/>
      <c r="DA20" s="897">
        <f>'Energy NPV'!U73</f>
        <v>278.04200000000003</v>
      </c>
      <c r="DB20" s="197"/>
      <c r="DC20" s="197">
        <f t="shared" si="16"/>
        <v>278.04200000000003</v>
      </c>
      <c r="DD20" s="197">
        <f t="shared" si="17"/>
        <v>-278.04200000000003</v>
      </c>
      <c r="DE20" s="197">
        <f t="shared" si="18"/>
        <v>-58.04200000000003</v>
      </c>
      <c r="DF20" s="196">
        <f t="shared" si="59"/>
        <v>0</v>
      </c>
      <c r="DG20" s="197">
        <f t="shared" si="60"/>
        <v>160.75184510043644</v>
      </c>
      <c r="DH20" s="197">
        <f t="shared" si="61"/>
        <v>203.1625659791616</v>
      </c>
      <c r="DI20" s="197">
        <f t="shared" si="62"/>
        <v>-203.1625659791616</v>
      </c>
      <c r="DJ20" s="199">
        <f t="shared" si="63"/>
        <v>-42.410720878725165</v>
      </c>
      <c r="DK20" s="196">
        <f t="shared" si="77"/>
        <v>0</v>
      </c>
      <c r="DL20" s="197">
        <f t="shared" si="64"/>
        <v>1701.2038724890876</v>
      </c>
      <c r="DM20" s="197">
        <f t="shared" si="65"/>
        <v>7281.7390931245072</v>
      </c>
      <c r="DN20" s="197">
        <f t="shared" si="66"/>
        <v>-7281.7390931245072</v>
      </c>
      <c r="DO20" s="199">
        <f t="shared" si="67"/>
        <v>-5580.535220635421</v>
      </c>
    </row>
    <row r="21" spans="2:119" x14ac:dyDescent="0.3">
      <c r="B21" s="204">
        <f t="shared" si="68"/>
        <v>10</v>
      </c>
      <c r="C21" s="197">
        <f>'Energy NPV'!$D74*$E$8</f>
        <v>11.617000000000001</v>
      </c>
      <c r="D21" s="197">
        <f>'Energy margins'!$S$12</f>
        <v>55</v>
      </c>
      <c r="E21" s="197">
        <f t="shared" si="19"/>
        <v>638.93500000000006</v>
      </c>
      <c r="F21" s="197">
        <f>'Margins summary'!$U$14</f>
        <v>220</v>
      </c>
      <c r="G21" s="197">
        <f t="shared" si="20"/>
        <v>858.93500000000006</v>
      </c>
      <c r="H21" s="197"/>
      <c r="I21" s="897">
        <f>'Energy NPV'!U74</f>
        <v>278.04200000000003</v>
      </c>
      <c r="J21" s="197"/>
      <c r="K21" s="197">
        <f t="shared" si="0"/>
        <v>278.04200000000003</v>
      </c>
      <c r="L21" s="197">
        <f t="shared" si="1"/>
        <v>360.89300000000003</v>
      </c>
      <c r="M21" s="197">
        <f t="shared" si="2"/>
        <v>580.89300000000003</v>
      </c>
      <c r="N21" s="196">
        <f t="shared" si="21"/>
        <v>448.90725589706011</v>
      </c>
      <c r="O21" s="197">
        <f t="shared" si="22"/>
        <v>154.5690818273427</v>
      </c>
      <c r="P21" s="197">
        <f t="shared" si="23"/>
        <v>195.34862113380922</v>
      </c>
      <c r="Q21" s="197">
        <f t="shared" si="24"/>
        <v>253.55863476325089</v>
      </c>
      <c r="R21" s="199">
        <f t="shared" si="25"/>
        <v>408.12771659059359</v>
      </c>
      <c r="S21" s="196">
        <f t="shared" si="69"/>
        <v>4651.1516030665889</v>
      </c>
      <c r="T21" s="197">
        <f t="shared" si="26"/>
        <v>1855.7729543164303</v>
      </c>
      <c r="U21" s="197">
        <f t="shared" si="26"/>
        <v>7477.0877142583167</v>
      </c>
      <c r="V21" s="197">
        <f t="shared" si="26"/>
        <v>-2825.9361111917278</v>
      </c>
      <c r="W21" s="199">
        <f t="shared" si="26"/>
        <v>-970.16315687529823</v>
      </c>
      <c r="Z21" s="204">
        <f t="shared" si="70"/>
        <v>10</v>
      </c>
      <c r="AA21" s="197">
        <f t="shared" si="3"/>
        <v>17.4255</v>
      </c>
      <c r="AB21" s="197">
        <f>'Energy margins'!$S$12</f>
        <v>55</v>
      </c>
      <c r="AC21" s="197">
        <f t="shared" si="27"/>
        <v>958.40249999999992</v>
      </c>
      <c r="AD21" s="197">
        <f>'Margins summary'!$U$14</f>
        <v>220</v>
      </c>
      <c r="AE21" s="197">
        <f t="shared" si="28"/>
        <v>1178.4024999999999</v>
      </c>
      <c r="AF21" s="197"/>
      <c r="AG21" s="897">
        <f>'Energy NPV'!U74</f>
        <v>278.04200000000003</v>
      </c>
      <c r="AH21" s="197"/>
      <c r="AI21" s="197">
        <f t="shared" si="4"/>
        <v>278.04200000000003</v>
      </c>
      <c r="AJ21" s="197">
        <f t="shared" si="5"/>
        <v>680.36049999999989</v>
      </c>
      <c r="AK21" s="197">
        <f t="shared" si="6"/>
        <v>900.36049999999989</v>
      </c>
      <c r="AL21" s="196">
        <f t="shared" si="29"/>
        <v>673.36088384559002</v>
      </c>
      <c r="AM21" s="197">
        <f t="shared" si="30"/>
        <v>154.5690818273427</v>
      </c>
      <c r="AN21" s="197">
        <f t="shared" si="31"/>
        <v>195.34862113380922</v>
      </c>
      <c r="AO21" s="197">
        <f t="shared" si="32"/>
        <v>478.01226271178081</v>
      </c>
      <c r="AP21" s="199">
        <f t="shared" si="33"/>
        <v>632.58134453912351</v>
      </c>
      <c r="AQ21" s="196">
        <f t="shared" si="71"/>
        <v>6976.7274045998829</v>
      </c>
      <c r="AR21" s="197">
        <f t="shared" si="34"/>
        <v>1855.7729543164303</v>
      </c>
      <c r="AS21" s="197">
        <f t="shared" si="34"/>
        <v>7477.0877142583167</v>
      </c>
      <c r="AT21" s="197">
        <f t="shared" si="34"/>
        <v>-500.36030965843389</v>
      </c>
      <c r="AU21" s="199">
        <f t="shared" si="34"/>
        <v>1355.4126446579962</v>
      </c>
      <c r="AX21" s="204">
        <f t="shared" si="72"/>
        <v>10</v>
      </c>
      <c r="AY21" s="197">
        <f t="shared" si="7"/>
        <v>5.8085000000000004</v>
      </c>
      <c r="AZ21" s="197">
        <f>'Energy margins'!$S$12</f>
        <v>55</v>
      </c>
      <c r="BA21" s="197">
        <f t="shared" si="35"/>
        <v>319.46750000000003</v>
      </c>
      <c r="BB21" s="197">
        <f>'Margins summary'!$U$14</f>
        <v>220</v>
      </c>
      <c r="BC21" s="197">
        <f t="shared" si="36"/>
        <v>539.46749999999997</v>
      </c>
      <c r="BD21" s="197"/>
      <c r="BE21" s="897">
        <f>'Energy NPV'!U74</f>
        <v>278.04200000000003</v>
      </c>
      <c r="BF21" s="197"/>
      <c r="BG21" s="197">
        <f t="shared" si="8"/>
        <v>278.04200000000003</v>
      </c>
      <c r="BH21" s="197">
        <f t="shared" si="9"/>
        <v>41.4255</v>
      </c>
      <c r="BI21" s="197">
        <f t="shared" si="10"/>
        <v>261.42549999999994</v>
      </c>
      <c r="BJ21" s="196">
        <f t="shared" si="37"/>
        <v>224.45362794853006</v>
      </c>
      <c r="BK21" s="197">
        <f t="shared" si="38"/>
        <v>154.5690818273427</v>
      </c>
      <c r="BL21" s="197">
        <f t="shared" si="39"/>
        <v>195.34862113380922</v>
      </c>
      <c r="BM21" s="197">
        <f t="shared" si="40"/>
        <v>29.105006814720841</v>
      </c>
      <c r="BN21" s="199">
        <f t="shared" si="41"/>
        <v>183.67408864206351</v>
      </c>
      <c r="BO21" s="196">
        <f t="shared" si="73"/>
        <v>2325.5758015332945</v>
      </c>
      <c r="BP21" s="197">
        <f t="shared" si="42"/>
        <v>1855.7729543164303</v>
      </c>
      <c r="BQ21" s="197">
        <f t="shared" si="43"/>
        <v>7477.0877142583167</v>
      </c>
      <c r="BR21" s="197">
        <f t="shared" si="44"/>
        <v>-5151.5119127250227</v>
      </c>
      <c r="BS21" s="199">
        <f t="shared" si="45"/>
        <v>-3295.7389584085927</v>
      </c>
      <c r="BV21" s="204">
        <f t="shared" si="74"/>
        <v>10</v>
      </c>
      <c r="BW21" s="197">
        <f t="shared" si="11"/>
        <v>23.234000000000002</v>
      </c>
      <c r="BX21" s="197">
        <f>'Energy margins'!$S$12</f>
        <v>55</v>
      </c>
      <c r="BY21" s="197">
        <f t="shared" si="46"/>
        <v>1277.8700000000001</v>
      </c>
      <c r="BZ21" s="197">
        <f>'Margins summary'!$U$14</f>
        <v>220</v>
      </c>
      <c r="CA21" s="197">
        <f t="shared" si="47"/>
        <v>1497.8700000000001</v>
      </c>
      <c r="CB21" s="197"/>
      <c r="CC21" s="897">
        <f>'Energy NPV'!U74</f>
        <v>278.04200000000003</v>
      </c>
      <c r="CD21" s="197"/>
      <c r="CE21" s="197">
        <f t="shared" si="12"/>
        <v>278.04200000000003</v>
      </c>
      <c r="CF21" s="197">
        <f t="shared" si="13"/>
        <v>999.82800000000009</v>
      </c>
      <c r="CG21" s="197">
        <f t="shared" si="14"/>
        <v>1219.828</v>
      </c>
      <c r="CH21" s="196">
        <f t="shared" si="48"/>
        <v>897.81451179412022</v>
      </c>
      <c r="CI21" s="197">
        <f t="shared" si="49"/>
        <v>154.5690818273427</v>
      </c>
      <c r="CJ21" s="197">
        <f t="shared" si="50"/>
        <v>195.34862113380922</v>
      </c>
      <c r="CK21" s="197">
        <f t="shared" si="51"/>
        <v>702.46589066031095</v>
      </c>
      <c r="CL21" s="199">
        <f t="shared" si="52"/>
        <v>857.03497248765359</v>
      </c>
      <c r="CM21" s="196">
        <f t="shared" si="75"/>
        <v>9302.3032061331778</v>
      </c>
      <c r="CN21" s="197">
        <f t="shared" si="53"/>
        <v>1855.7729543164303</v>
      </c>
      <c r="CO21" s="197">
        <f t="shared" si="54"/>
        <v>7477.0877142583167</v>
      </c>
      <c r="CP21" s="197">
        <f t="shared" si="55"/>
        <v>1825.2154918748606</v>
      </c>
      <c r="CQ21" s="199">
        <f t="shared" si="56"/>
        <v>3680.9884461912907</v>
      </c>
      <c r="CT21" s="204">
        <f t="shared" si="76"/>
        <v>10</v>
      </c>
      <c r="CU21" s="197">
        <f t="shared" si="15"/>
        <v>0</v>
      </c>
      <c r="CV21" s="197">
        <f>'Energy margins'!$S$12</f>
        <v>55</v>
      </c>
      <c r="CW21" s="197">
        <f t="shared" si="57"/>
        <v>0</v>
      </c>
      <c r="CX21" s="197">
        <f>'Margins summary'!$U$14</f>
        <v>220</v>
      </c>
      <c r="CY21" s="197">
        <f t="shared" si="58"/>
        <v>220</v>
      </c>
      <c r="CZ21" s="197"/>
      <c r="DA21" s="897">
        <f>'Energy NPV'!U74</f>
        <v>278.04200000000003</v>
      </c>
      <c r="DB21" s="197"/>
      <c r="DC21" s="197">
        <f t="shared" si="16"/>
        <v>278.04200000000003</v>
      </c>
      <c r="DD21" s="197">
        <f t="shared" si="17"/>
        <v>-278.04200000000003</v>
      </c>
      <c r="DE21" s="197">
        <f t="shared" si="18"/>
        <v>-58.04200000000003</v>
      </c>
      <c r="DF21" s="196">
        <f t="shared" si="59"/>
        <v>0</v>
      </c>
      <c r="DG21" s="197">
        <f t="shared" si="60"/>
        <v>154.5690818273427</v>
      </c>
      <c r="DH21" s="197">
        <f t="shared" si="61"/>
        <v>195.34862113380922</v>
      </c>
      <c r="DI21" s="197">
        <f t="shared" si="62"/>
        <v>-195.34862113380922</v>
      </c>
      <c r="DJ21" s="199">
        <f t="shared" si="63"/>
        <v>-40.779539306466503</v>
      </c>
      <c r="DK21" s="196">
        <f t="shared" si="77"/>
        <v>0</v>
      </c>
      <c r="DL21" s="197">
        <f t="shared" si="64"/>
        <v>1855.7729543164303</v>
      </c>
      <c r="DM21" s="197">
        <f t="shared" si="65"/>
        <v>7477.0877142583167</v>
      </c>
      <c r="DN21" s="197">
        <f t="shared" si="66"/>
        <v>-7477.0877142583167</v>
      </c>
      <c r="DO21" s="199">
        <f t="shared" si="67"/>
        <v>-5621.3147599418871</v>
      </c>
    </row>
    <row r="22" spans="2:119" x14ac:dyDescent="0.3">
      <c r="B22" s="204">
        <f t="shared" si="68"/>
        <v>11</v>
      </c>
      <c r="C22" s="197">
        <f>'Energy NPV'!$D75*$E$8</f>
        <v>11.617000000000001</v>
      </c>
      <c r="D22" s="197">
        <f>'Energy margins'!$S$12</f>
        <v>55</v>
      </c>
      <c r="E22" s="197">
        <f t="shared" si="19"/>
        <v>638.93500000000006</v>
      </c>
      <c r="F22" s="197">
        <f>'Margins summary'!$U$14</f>
        <v>220</v>
      </c>
      <c r="G22" s="197">
        <f t="shared" si="20"/>
        <v>858.93500000000006</v>
      </c>
      <c r="H22" s="197"/>
      <c r="I22" s="897">
        <f>'Energy NPV'!U75</f>
        <v>278.04200000000003</v>
      </c>
      <c r="J22" s="197"/>
      <c r="K22" s="197">
        <f t="shared" si="0"/>
        <v>278.04200000000003</v>
      </c>
      <c r="L22" s="197">
        <f t="shared" si="1"/>
        <v>360.89300000000003</v>
      </c>
      <c r="M22" s="197">
        <f t="shared" si="2"/>
        <v>580.89300000000003</v>
      </c>
      <c r="N22" s="196">
        <f t="shared" si="21"/>
        <v>431.64159220871164</v>
      </c>
      <c r="O22" s="197">
        <f t="shared" si="22"/>
        <v>148.62411714167567</v>
      </c>
      <c r="P22" s="197">
        <f t="shared" si="23"/>
        <v>187.8352126286627</v>
      </c>
      <c r="Q22" s="197">
        <f t="shared" si="24"/>
        <v>243.80637958004894</v>
      </c>
      <c r="R22" s="199">
        <f t="shared" si="25"/>
        <v>392.43049672172464</v>
      </c>
      <c r="S22" s="196">
        <f t="shared" si="69"/>
        <v>5082.7931952753006</v>
      </c>
      <c r="T22" s="197">
        <f t="shared" si="26"/>
        <v>2004.397071458106</v>
      </c>
      <c r="U22" s="197">
        <f t="shared" si="26"/>
        <v>7664.9229268869794</v>
      </c>
      <c r="V22" s="197">
        <f t="shared" si="26"/>
        <v>-2582.1297316116788</v>
      </c>
      <c r="W22" s="199">
        <f t="shared" si="26"/>
        <v>-577.73266015357353</v>
      </c>
      <c r="Z22" s="204">
        <f t="shared" si="70"/>
        <v>11</v>
      </c>
      <c r="AA22" s="197">
        <f t="shared" si="3"/>
        <v>17.4255</v>
      </c>
      <c r="AB22" s="197">
        <f>'Energy margins'!$S$12</f>
        <v>55</v>
      </c>
      <c r="AC22" s="197">
        <f t="shared" si="27"/>
        <v>958.40249999999992</v>
      </c>
      <c r="AD22" s="197">
        <f>'Margins summary'!$U$14</f>
        <v>220</v>
      </c>
      <c r="AE22" s="197">
        <f t="shared" si="28"/>
        <v>1178.4024999999999</v>
      </c>
      <c r="AF22" s="197"/>
      <c r="AG22" s="897">
        <f>'Energy NPV'!U75</f>
        <v>278.04200000000003</v>
      </c>
      <c r="AH22" s="197"/>
      <c r="AI22" s="197">
        <f t="shared" si="4"/>
        <v>278.04200000000003</v>
      </c>
      <c r="AJ22" s="197">
        <f t="shared" si="5"/>
        <v>680.36049999999989</v>
      </c>
      <c r="AK22" s="197">
        <f t="shared" si="6"/>
        <v>900.36049999999989</v>
      </c>
      <c r="AL22" s="196">
        <f t="shared" si="29"/>
        <v>647.46238831306732</v>
      </c>
      <c r="AM22" s="197">
        <f t="shared" si="30"/>
        <v>148.62411714167567</v>
      </c>
      <c r="AN22" s="197">
        <f t="shared" si="31"/>
        <v>187.8352126286627</v>
      </c>
      <c r="AO22" s="197">
        <f t="shared" si="32"/>
        <v>459.62717568440462</v>
      </c>
      <c r="AP22" s="199">
        <f t="shared" si="33"/>
        <v>608.25129282608032</v>
      </c>
      <c r="AQ22" s="196">
        <f t="shared" si="71"/>
        <v>7624.18979291295</v>
      </c>
      <c r="AR22" s="197">
        <f t="shared" si="34"/>
        <v>2004.397071458106</v>
      </c>
      <c r="AS22" s="197">
        <f t="shared" si="34"/>
        <v>7664.9229268869794</v>
      </c>
      <c r="AT22" s="197">
        <f t="shared" si="34"/>
        <v>-40.733133974029272</v>
      </c>
      <c r="AU22" s="199">
        <f t="shared" si="34"/>
        <v>1963.6639374840765</v>
      </c>
      <c r="AX22" s="204">
        <f t="shared" si="72"/>
        <v>11</v>
      </c>
      <c r="AY22" s="197">
        <f t="shared" si="7"/>
        <v>5.8085000000000004</v>
      </c>
      <c r="AZ22" s="197">
        <f>'Energy margins'!$S$12</f>
        <v>55</v>
      </c>
      <c r="BA22" s="197">
        <f t="shared" si="35"/>
        <v>319.46750000000003</v>
      </c>
      <c r="BB22" s="197">
        <f>'Margins summary'!$U$14</f>
        <v>220</v>
      </c>
      <c r="BC22" s="197">
        <f t="shared" si="36"/>
        <v>539.46749999999997</v>
      </c>
      <c r="BD22" s="197"/>
      <c r="BE22" s="897">
        <f>'Energy NPV'!U75</f>
        <v>278.04200000000003</v>
      </c>
      <c r="BF22" s="197"/>
      <c r="BG22" s="197">
        <f t="shared" si="8"/>
        <v>278.04200000000003</v>
      </c>
      <c r="BH22" s="197">
        <f t="shared" si="9"/>
        <v>41.4255</v>
      </c>
      <c r="BI22" s="197">
        <f t="shared" si="10"/>
        <v>261.42549999999994</v>
      </c>
      <c r="BJ22" s="196">
        <f t="shared" si="37"/>
        <v>215.82079610435582</v>
      </c>
      <c r="BK22" s="197">
        <f t="shared" si="38"/>
        <v>148.62411714167567</v>
      </c>
      <c r="BL22" s="197">
        <f t="shared" si="39"/>
        <v>187.8352126286627</v>
      </c>
      <c r="BM22" s="197">
        <f t="shared" si="40"/>
        <v>27.985583475693119</v>
      </c>
      <c r="BN22" s="199">
        <f t="shared" si="41"/>
        <v>176.60970061736876</v>
      </c>
      <c r="BO22" s="196">
        <f t="shared" si="73"/>
        <v>2541.3965976376503</v>
      </c>
      <c r="BP22" s="197">
        <f t="shared" si="42"/>
        <v>2004.397071458106</v>
      </c>
      <c r="BQ22" s="197">
        <f t="shared" si="43"/>
        <v>7664.9229268869794</v>
      </c>
      <c r="BR22" s="197">
        <f t="shared" si="44"/>
        <v>-5123.52632924933</v>
      </c>
      <c r="BS22" s="199">
        <f t="shared" si="45"/>
        <v>-3119.1292577912241</v>
      </c>
      <c r="BV22" s="204">
        <f t="shared" si="74"/>
        <v>11</v>
      </c>
      <c r="BW22" s="197">
        <f t="shared" si="11"/>
        <v>23.234000000000002</v>
      </c>
      <c r="BX22" s="197">
        <f>'Energy margins'!$S$12</f>
        <v>55</v>
      </c>
      <c r="BY22" s="197">
        <f t="shared" si="46"/>
        <v>1277.8700000000001</v>
      </c>
      <c r="BZ22" s="197">
        <f>'Margins summary'!$U$14</f>
        <v>220</v>
      </c>
      <c r="CA22" s="197">
        <f t="shared" si="47"/>
        <v>1497.8700000000001</v>
      </c>
      <c r="CB22" s="197"/>
      <c r="CC22" s="897">
        <f>'Energy NPV'!U75</f>
        <v>278.04200000000003</v>
      </c>
      <c r="CD22" s="197"/>
      <c r="CE22" s="197">
        <f t="shared" si="12"/>
        <v>278.04200000000003</v>
      </c>
      <c r="CF22" s="197">
        <f t="shared" si="13"/>
        <v>999.82800000000009</v>
      </c>
      <c r="CG22" s="197">
        <f t="shared" si="14"/>
        <v>1219.828</v>
      </c>
      <c r="CH22" s="196">
        <f t="shared" si="48"/>
        <v>863.28318441742329</v>
      </c>
      <c r="CI22" s="197">
        <f t="shared" si="49"/>
        <v>148.62411714167567</v>
      </c>
      <c r="CJ22" s="197">
        <f t="shared" si="50"/>
        <v>187.8352126286627</v>
      </c>
      <c r="CK22" s="197">
        <f t="shared" si="51"/>
        <v>675.44797178876058</v>
      </c>
      <c r="CL22" s="199">
        <f t="shared" si="52"/>
        <v>824.07208893043617</v>
      </c>
      <c r="CM22" s="196">
        <f t="shared" si="75"/>
        <v>10165.586390550601</v>
      </c>
      <c r="CN22" s="197">
        <f t="shared" si="53"/>
        <v>2004.397071458106</v>
      </c>
      <c r="CO22" s="197">
        <f t="shared" si="54"/>
        <v>7664.9229268869794</v>
      </c>
      <c r="CP22" s="197">
        <f t="shared" si="55"/>
        <v>2500.6634636636213</v>
      </c>
      <c r="CQ22" s="199">
        <f t="shared" si="56"/>
        <v>4505.0605351217273</v>
      </c>
      <c r="CT22" s="204">
        <f t="shared" si="76"/>
        <v>11</v>
      </c>
      <c r="CU22" s="197">
        <f t="shared" si="15"/>
        <v>0</v>
      </c>
      <c r="CV22" s="197">
        <f>'Energy margins'!$S$12</f>
        <v>55</v>
      </c>
      <c r="CW22" s="197">
        <f t="shared" si="57"/>
        <v>0</v>
      </c>
      <c r="CX22" s="197">
        <f>'Margins summary'!$U$14</f>
        <v>220</v>
      </c>
      <c r="CY22" s="197">
        <f t="shared" si="58"/>
        <v>220</v>
      </c>
      <c r="CZ22" s="197"/>
      <c r="DA22" s="897">
        <f>'Energy NPV'!U75</f>
        <v>278.04200000000003</v>
      </c>
      <c r="DB22" s="197"/>
      <c r="DC22" s="197">
        <f t="shared" si="16"/>
        <v>278.04200000000003</v>
      </c>
      <c r="DD22" s="197">
        <f t="shared" si="17"/>
        <v>-278.04200000000003</v>
      </c>
      <c r="DE22" s="197">
        <f t="shared" si="18"/>
        <v>-58.04200000000003</v>
      </c>
      <c r="DF22" s="196">
        <f t="shared" si="59"/>
        <v>0</v>
      </c>
      <c r="DG22" s="197">
        <f t="shared" si="60"/>
        <v>148.62411714167567</v>
      </c>
      <c r="DH22" s="197">
        <f t="shared" si="61"/>
        <v>187.8352126286627</v>
      </c>
      <c r="DI22" s="197">
        <f t="shared" si="62"/>
        <v>-187.8352126286627</v>
      </c>
      <c r="DJ22" s="199">
        <f t="shared" si="63"/>
        <v>-39.21109548698702</v>
      </c>
      <c r="DK22" s="196">
        <f t="shared" si="77"/>
        <v>0</v>
      </c>
      <c r="DL22" s="197">
        <f t="shared" si="64"/>
        <v>2004.397071458106</v>
      </c>
      <c r="DM22" s="197">
        <f t="shared" si="65"/>
        <v>7664.9229268869794</v>
      </c>
      <c r="DN22" s="197">
        <f t="shared" si="66"/>
        <v>-7664.9229268869794</v>
      </c>
      <c r="DO22" s="199">
        <f t="shared" si="67"/>
        <v>-5660.5258554288739</v>
      </c>
    </row>
    <row r="23" spans="2:119" x14ac:dyDescent="0.3">
      <c r="B23" s="204">
        <f t="shared" si="68"/>
        <v>12</v>
      </c>
      <c r="C23" s="197">
        <f>'Energy NPV'!$D76*$E$8</f>
        <v>11.617000000000001</v>
      </c>
      <c r="D23" s="197">
        <f>'Energy margins'!$S$12</f>
        <v>55</v>
      </c>
      <c r="E23" s="197">
        <f t="shared" si="19"/>
        <v>638.93500000000006</v>
      </c>
      <c r="F23" s="197">
        <f>'Margins summary'!$U$14</f>
        <v>220</v>
      </c>
      <c r="G23" s="197">
        <f t="shared" si="20"/>
        <v>858.93500000000006</v>
      </c>
      <c r="H23" s="197"/>
      <c r="I23" s="897">
        <f>'Energy NPV'!U76</f>
        <v>278.04200000000003</v>
      </c>
      <c r="J23" s="197"/>
      <c r="K23" s="197">
        <f t="shared" si="0"/>
        <v>278.04200000000003</v>
      </c>
      <c r="L23" s="197">
        <f t="shared" si="1"/>
        <v>360.89300000000003</v>
      </c>
      <c r="M23" s="197">
        <f t="shared" si="2"/>
        <v>580.89300000000003</v>
      </c>
      <c r="N23" s="196">
        <f t="shared" si="21"/>
        <v>415.0399925083766</v>
      </c>
      <c r="O23" s="197">
        <f t="shared" si="22"/>
        <v>142.90780494391893</v>
      </c>
      <c r="P23" s="197">
        <f t="shared" si="23"/>
        <v>180.61078137371416</v>
      </c>
      <c r="Q23" s="197">
        <f t="shared" si="24"/>
        <v>234.42921113466247</v>
      </c>
      <c r="R23" s="199">
        <f t="shared" si="25"/>
        <v>377.33701607858137</v>
      </c>
      <c r="S23" s="196">
        <f t="shared" si="69"/>
        <v>5497.8331877836772</v>
      </c>
      <c r="T23" s="197">
        <f t="shared" si="26"/>
        <v>2147.304876402025</v>
      </c>
      <c r="U23" s="197">
        <f t="shared" si="26"/>
        <v>7845.5337082606939</v>
      </c>
      <c r="V23" s="197">
        <f t="shared" si="26"/>
        <v>-2347.7005204770162</v>
      </c>
      <c r="W23" s="199">
        <f t="shared" si="26"/>
        <v>-200.39564407499216</v>
      </c>
      <c r="Z23" s="204">
        <f t="shared" si="70"/>
        <v>12</v>
      </c>
      <c r="AA23" s="197">
        <f t="shared" si="3"/>
        <v>17.4255</v>
      </c>
      <c r="AB23" s="197">
        <f>'Energy margins'!$S$12</f>
        <v>55</v>
      </c>
      <c r="AC23" s="197">
        <f t="shared" si="27"/>
        <v>958.40249999999992</v>
      </c>
      <c r="AD23" s="197">
        <f>'Margins summary'!$U$14</f>
        <v>220</v>
      </c>
      <c r="AE23" s="197">
        <f t="shared" si="28"/>
        <v>1178.4024999999999</v>
      </c>
      <c r="AF23" s="197"/>
      <c r="AG23" s="897">
        <f>'Energy NPV'!U76</f>
        <v>278.04200000000003</v>
      </c>
      <c r="AH23" s="197"/>
      <c r="AI23" s="197">
        <f t="shared" si="4"/>
        <v>278.04200000000003</v>
      </c>
      <c r="AJ23" s="197">
        <f t="shared" si="5"/>
        <v>680.36049999999989</v>
      </c>
      <c r="AK23" s="197">
        <f t="shared" si="6"/>
        <v>900.36049999999989</v>
      </c>
      <c r="AL23" s="196">
        <f t="shared" si="29"/>
        <v>622.55998876256479</v>
      </c>
      <c r="AM23" s="197">
        <f t="shared" si="30"/>
        <v>142.90780494391893</v>
      </c>
      <c r="AN23" s="197">
        <f t="shared" si="31"/>
        <v>180.61078137371416</v>
      </c>
      <c r="AO23" s="197">
        <f t="shared" si="32"/>
        <v>441.94920738885065</v>
      </c>
      <c r="AP23" s="199">
        <f t="shared" si="33"/>
        <v>584.85701233276961</v>
      </c>
      <c r="AQ23" s="196">
        <f t="shared" si="71"/>
        <v>8246.7497816755149</v>
      </c>
      <c r="AR23" s="197">
        <f t="shared" si="34"/>
        <v>2147.304876402025</v>
      </c>
      <c r="AS23" s="197">
        <f t="shared" si="34"/>
        <v>7845.5337082606939</v>
      </c>
      <c r="AT23" s="197">
        <f t="shared" si="34"/>
        <v>401.21607341482138</v>
      </c>
      <c r="AU23" s="199">
        <f t="shared" si="34"/>
        <v>2548.520949816846</v>
      </c>
      <c r="AX23" s="204">
        <f t="shared" si="72"/>
        <v>12</v>
      </c>
      <c r="AY23" s="197">
        <f t="shared" si="7"/>
        <v>5.8085000000000004</v>
      </c>
      <c r="AZ23" s="197">
        <f>'Energy margins'!$S$12</f>
        <v>55</v>
      </c>
      <c r="BA23" s="197">
        <f t="shared" si="35"/>
        <v>319.46750000000003</v>
      </c>
      <c r="BB23" s="197">
        <f>'Margins summary'!$U$14</f>
        <v>220</v>
      </c>
      <c r="BC23" s="197">
        <f t="shared" si="36"/>
        <v>539.46749999999997</v>
      </c>
      <c r="BD23" s="197"/>
      <c r="BE23" s="897">
        <f>'Energy NPV'!U76</f>
        <v>278.04200000000003</v>
      </c>
      <c r="BF23" s="197"/>
      <c r="BG23" s="197">
        <f t="shared" si="8"/>
        <v>278.04200000000003</v>
      </c>
      <c r="BH23" s="197">
        <f t="shared" si="9"/>
        <v>41.4255</v>
      </c>
      <c r="BI23" s="197">
        <f t="shared" si="10"/>
        <v>261.42549999999994</v>
      </c>
      <c r="BJ23" s="196">
        <f t="shared" si="37"/>
        <v>207.5199962541883</v>
      </c>
      <c r="BK23" s="197">
        <f t="shared" si="38"/>
        <v>142.90780494391893</v>
      </c>
      <c r="BL23" s="197">
        <f t="shared" si="39"/>
        <v>180.61078137371416</v>
      </c>
      <c r="BM23" s="197">
        <f t="shared" si="40"/>
        <v>26.909214880474153</v>
      </c>
      <c r="BN23" s="199">
        <f t="shared" si="41"/>
        <v>169.81701982439304</v>
      </c>
      <c r="BO23" s="196">
        <f t="shared" si="73"/>
        <v>2748.9165938918386</v>
      </c>
      <c r="BP23" s="197">
        <f t="shared" si="42"/>
        <v>2147.304876402025</v>
      </c>
      <c r="BQ23" s="197">
        <f t="shared" si="43"/>
        <v>7845.5337082606939</v>
      </c>
      <c r="BR23" s="197">
        <f t="shared" si="44"/>
        <v>-5096.6171143688562</v>
      </c>
      <c r="BS23" s="199">
        <f t="shared" si="45"/>
        <v>-2949.3122379668312</v>
      </c>
      <c r="BV23" s="204">
        <f t="shared" si="74"/>
        <v>12</v>
      </c>
      <c r="BW23" s="197">
        <f t="shared" si="11"/>
        <v>23.234000000000002</v>
      </c>
      <c r="BX23" s="197">
        <f>'Energy margins'!$S$12</f>
        <v>55</v>
      </c>
      <c r="BY23" s="197">
        <f t="shared" si="46"/>
        <v>1277.8700000000001</v>
      </c>
      <c r="BZ23" s="197">
        <f>'Margins summary'!$U$14</f>
        <v>220</v>
      </c>
      <c r="CA23" s="197">
        <f t="shared" si="47"/>
        <v>1497.8700000000001</v>
      </c>
      <c r="CB23" s="197"/>
      <c r="CC23" s="897">
        <f>'Energy NPV'!U76</f>
        <v>278.04200000000003</v>
      </c>
      <c r="CD23" s="197"/>
      <c r="CE23" s="197">
        <f t="shared" si="12"/>
        <v>278.04200000000003</v>
      </c>
      <c r="CF23" s="197">
        <f t="shared" si="13"/>
        <v>999.82800000000009</v>
      </c>
      <c r="CG23" s="197">
        <f t="shared" si="14"/>
        <v>1219.828</v>
      </c>
      <c r="CH23" s="196">
        <f t="shared" si="48"/>
        <v>830.0799850167532</v>
      </c>
      <c r="CI23" s="197">
        <f t="shared" si="49"/>
        <v>142.90780494391893</v>
      </c>
      <c r="CJ23" s="197">
        <f t="shared" si="50"/>
        <v>180.61078137371416</v>
      </c>
      <c r="CK23" s="197">
        <f t="shared" si="51"/>
        <v>649.46920364303901</v>
      </c>
      <c r="CL23" s="199">
        <f t="shared" si="52"/>
        <v>792.37700858695791</v>
      </c>
      <c r="CM23" s="196">
        <f t="shared" si="75"/>
        <v>10995.666375567354</v>
      </c>
      <c r="CN23" s="197">
        <f t="shared" si="53"/>
        <v>2147.304876402025</v>
      </c>
      <c r="CO23" s="197">
        <f t="shared" si="54"/>
        <v>7845.5337082606939</v>
      </c>
      <c r="CP23" s="197">
        <f t="shared" si="55"/>
        <v>3150.1326673066606</v>
      </c>
      <c r="CQ23" s="199">
        <f t="shared" si="56"/>
        <v>5297.4375437086856</v>
      </c>
      <c r="CT23" s="204">
        <f t="shared" si="76"/>
        <v>12</v>
      </c>
      <c r="CU23" s="197">
        <f t="shared" si="15"/>
        <v>0</v>
      </c>
      <c r="CV23" s="197">
        <f>'Energy margins'!$S$12</f>
        <v>55</v>
      </c>
      <c r="CW23" s="197">
        <f t="shared" si="57"/>
        <v>0</v>
      </c>
      <c r="CX23" s="197">
        <f>'Margins summary'!$U$14</f>
        <v>220</v>
      </c>
      <c r="CY23" s="197">
        <f t="shared" si="58"/>
        <v>220</v>
      </c>
      <c r="CZ23" s="197"/>
      <c r="DA23" s="897">
        <f>'Energy NPV'!U76</f>
        <v>278.04200000000003</v>
      </c>
      <c r="DB23" s="197"/>
      <c r="DC23" s="197">
        <f t="shared" si="16"/>
        <v>278.04200000000003</v>
      </c>
      <c r="DD23" s="197">
        <f t="shared" si="17"/>
        <v>-278.04200000000003</v>
      </c>
      <c r="DE23" s="197">
        <f t="shared" si="18"/>
        <v>-58.04200000000003</v>
      </c>
      <c r="DF23" s="196">
        <f t="shared" si="59"/>
        <v>0</v>
      </c>
      <c r="DG23" s="197">
        <f t="shared" si="60"/>
        <v>142.90780494391893</v>
      </c>
      <c r="DH23" s="197">
        <f t="shared" si="61"/>
        <v>180.61078137371416</v>
      </c>
      <c r="DI23" s="197">
        <f t="shared" si="62"/>
        <v>-180.61078137371416</v>
      </c>
      <c r="DJ23" s="199">
        <f t="shared" si="63"/>
        <v>-37.702976429795214</v>
      </c>
      <c r="DK23" s="196">
        <f t="shared" si="77"/>
        <v>0</v>
      </c>
      <c r="DL23" s="197">
        <f t="shared" si="64"/>
        <v>2147.304876402025</v>
      </c>
      <c r="DM23" s="197">
        <f t="shared" si="65"/>
        <v>7845.5337082606939</v>
      </c>
      <c r="DN23" s="197">
        <f t="shared" si="66"/>
        <v>-7845.5337082606939</v>
      </c>
      <c r="DO23" s="199">
        <f t="shared" si="67"/>
        <v>-5698.2288318586689</v>
      </c>
    </row>
    <row r="24" spans="2:119" x14ac:dyDescent="0.3">
      <c r="B24" s="204">
        <f t="shared" si="68"/>
        <v>13</v>
      </c>
      <c r="C24" s="197">
        <f>'Energy NPV'!$D77*$E$8</f>
        <v>11.617000000000001</v>
      </c>
      <c r="D24" s="197">
        <f>'Energy margins'!$S$12</f>
        <v>55</v>
      </c>
      <c r="E24" s="197">
        <f t="shared" si="19"/>
        <v>638.93500000000006</v>
      </c>
      <c r="F24" s="197">
        <f>'Margins summary'!$U$14</f>
        <v>220</v>
      </c>
      <c r="G24" s="197">
        <f t="shared" si="20"/>
        <v>858.93500000000006</v>
      </c>
      <c r="H24" s="197"/>
      <c r="I24" s="897">
        <f>'Energy NPV'!U77</f>
        <v>278.04200000000003</v>
      </c>
      <c r="J24" s="197"/>
      <c r="K24" s="197">
        <f t="shared" si="0"/>
        <v>278.04200000000003</v>
      </c>
      <c r="L24" s="197">
        <f t="shared" si="1"/>
        <v>360.89300000000003</v>
      </c>
      <c r="M24" s="197">
        <f t="shared" si="2"/>
        <v>580.89300000000003</v>
      </c>
      <c r="N24" s="196">
        <f t="shared" si="21"/>
        <v>399.07691587343896</v>
      </c>
      <c r="O24" s="197">
        <f t="shared" si="22"/>
        <v>137.41135090761432</v>
      </c>
      <c r="P24" s="197">
        <f t="shared" si="23"/>
        <v>173.66421285934049</v>
      </c>
      <c r="Q24" s="197">
        <f t="shared" si="24"/>
        <v>225.41270301409847</v>
      </c>
      <c r="R24" s="199">
        <f t="shared" si="25"/>
        <v>362.82405392171279</v>
      </c>
      <c r="S24" s="196">
        <f t="shared" si="69"/>
        <v>5896.9101036571165</v>
      </c>
      <c r="T24" s="197">
        <f t="shared" si="26"/>
        <v>2284.7162273096392</v>
      </c>
      <c r="U24" s="197">
        <f t="shared" si="26"/>
        <v>8019.1979211200342</v>
      </c>
      <c r="V24" s="197">
        <f t="shared" si="26"/>
        <v>-2122.2878174629177</v>
      </c>
      <c r="W24" s="199">
        <f t="shared" si="26"/>
        <v>162.42840984672063</v>
      </c>
      <c r="Z24" s="204">
        <f t="shared" si="70"/>
        <v>13</v>
      </c>
      <c r="AA24" s="197">
        <f t="shared" si="3"/>
        <v>17.4255</v>
      </c>
      <c r="AB24" s="197">
        <f>'Energy margins'!$S$12</f>
        <v>55</v>
      </c>
      <c r="AC24" s="197">
        <f t="shared" si="27"/>
        <v>958.40249999999992</v>
      </c>
      <c r="AD24" s="197">
        <f>'Margins summary'!$U$14</f>
        <v>220</v>
      </c>
      <c r="AE24" s="197">
        <f t="shared" si="28"/>
        <v>1178.4024999999999</v>
      </c>
      <c r="AF24" s="197"/>
      <c r="AG24" s="897">
        <f>'Energy NPV'!U77</f>
        <v>278.04200000000003</v>
      </c>
      <c r="AH24" s="197"/>
      <c r="AI24" s="197">
        <f t="shared" si="4"/>
        <v>278.04200000000003</v>
      </c>
      <c r="AJ24" s="197">
        <f t="shared" si="5"/>
        <v>680.36049999999989</v>
      </c>
      <c r="AK24" s="197">
        <f t="shared" si="6"/>
        <v>900.36049999999989</v>
      </c>
      <c r="AL24" s="196">
        <f t="shared" si="29"/>
        <v>598.6153738101583</v>
      </c>
      <c r="AM24" s="197">
        <f t="shared" si="30"/>
        <v>137.41135090761432</v>
      </c>
      <c r="AN24" s="197">
        <f t="shared" si="31"/>
        <v>173.66421285934049</v>
      </c>
      <c r="AO24" s="197">
        <f t="shared" si="32"/>
        <v>424.95116095081784</v>
      </c>
      <c r="AP24" s="199">
        <f t="shared" si="33"/>
        <v>562.36251185843219</v>
      </c>
      <c r="AQ24" s="196">
        <f t="shared" si="71"/>
        <v>8845.3651554856733</v>
      </c>
      <c r="AR24" s="197">
        <f t="shared" si="34"/>
        <v>2284.7162273096392</v>
      </c>
      <c r="AS24" s="197">
        <f t="shared" si="34"/>
        <v>8019.1979211200342</v>
      </c>
      <c r="AT24" s="197">
        <f t="shared" si="34"/>
        <v>826.16723436563916</v>
      </c>
      <c r="AU24" s="199">
        <f t="shared" si="34"/>
        <v>3110.8834616752783</v>
      </c>
      <c r="AX24" s="204">
        <f t="shared" si="72"/>
        <v>13</v>
      </c>
      <c r="AY24" s="197">
        <f t="shared" si="7"/>
        <v>5.8085000000000004</v>
      </c>
      <c r="AZ24" s="197">
        <f>'Energy margins'!$S$12</f>
        <v>55</v>
      </c>
      <c r="BA24" s="197">
        <f t="shared" si="35"/>
        <v>319.46750000000003</v>
      </c>
      <c r="BB24" s="197">
        <f>'Margins summary'!$U$14</f>
        <v>220</v>
      </c>
      <c r="BC24" s="197">
        <f t="shared" si="36"/>
        <v>539.46749999999997</v>
      </c>
      <c r="BD24" s="197"/>
      <c r="BE24" s="897">
        <f>'Energy NPV'!U77</f>
        <v>278.04200000000003</v>
      </c>
      <c r="BF24" s="197"/>
      <c r="BG24" s="197">
        <f t="shared" si="8"/>
        <v>278.04200000000003</v>
      </c>
      <c r="BH24" s="197">
        <f t="shared" si="9"/>
        <v>41.4255</v>
      </c>
      <c r="BI24" s="197">
        <f t="shared" si="10"/>
        <v>261.42549999999994</v>
      </c>
      <c r="BJ24" s="196">
        <f t="shared" si="37"/>
        <v>199.53845793671948</v>
      </c>
      <c r="BK24" s="197">
        <f t="shared" si="38"/>
        <v>137.41135090761432</v>
      </c>
      <c r="BL24" s="197">
        <f t="shared" si="39"/>
        <v>173.66421285934049</v>
      </c>
      <c r="BM24" s="197">
        <f t="shared" si="40"/>
        <v>25.874245077378987</v>
      </c>
      <c r="BN24" s="199">
        <f t="shared" si="41"/>
        <v>163.28559598499328</v>
      </c>
      <c r="BO24" s="196">
        <f t="shared" si="73"/>
        <v>2948.4550518285582</v>
      </c>
      <c r="BP24" s="197">
        <f t="shared" si="42"/>
        <v>2284.7162273096392</v>
      </c>
      <c r="BQ24" s="197">
        <f t="shared" si="43"/>
        <v>8019.1979211200342</v>
      </c>
      <c r="BR24" s="197">
        <f t="shared" si="44"/>
        <v>-5070.7428692914773</v>
      </c>
      <c r="BS24" s="199">
        <f t="shared" si="45"/>
        <v>-2786.0266419818381</v>
      </c>
      <c r="BV24" s="204">
        <f t="shared" si="74"/>
        <v>13</v>
      </c>
      <c r="BW24" s="197">
        <f t="shared" si="11"/>
        <v>23.234000000000002</v>
      </c>
      <c r="BX24" s="197">
        <f>'Energy margins'!$S$12</f>
        <v>55</v>
      </c>
      <c r="BY24" s="197">
        <f t="shared" si="46"/>
        <v>1277.8700000000001</v>
      </c>
      <c r="BZ24" s="197">
        <f>'Margins summary'!$U$14</f>
        <v>220</v>
      </c>
      <c r="CA24" s="197">
        <f t="shared" si="47"/>
        <v>1497.8700000000001</v>
      </c>
      <c r="CB24" s="197"/>
      <c r="CC24" s="897">
        <f>'Energy NPV'!U77</f>
        <v>278.04200000000003</v>
      </c>
      <c r="CD24" s="197"/>
      <c r="CE24" s="197">
        <f t="shared" si="12"/>
        <v>278.04200000000003</v>
      </c>
      <c r="CF24" s="197">
        <f t="shared" si="13"/>
        <v>999.82800000000009</v>
      </c>
      <c r="CG24" s="197">
        <f t="shared" si="14"/>
        <v>1219.828</v>
      </c>
      <c r="CH24" s="196">
        <f t="shared" si="48"/>
        <v>798.15383174687793</v>
      </c>
      <c r="CI24" s="197">
        <f t="shared" si="49"/>
        <v>137.41135090761432</v>
      </c>
      <c r="CJ24" s="197">
        <f t="shared" si="50"/>
        <v>173.66421285934049</v>
      </c>
      <c r="CK24" s="197">
        <f t="shared" si="51"/>
        <v>624.4896188875374</v>
      </c>
      <c r="CL24" s="199">
        <f t="shared" si="52"/>
        <v>761.9009697951517</v>
      </c>
      <c r="CM24" s="196">
        <f t="shared" si="75"/>
        <v>11793.820207314233</v>
      </c>
      <c r="CN24" s="197">
        <f t="shared" si="53"/>
        <v>2284.7162273096392</v>
      </c>
      <c r="CO24" s="197">
        <f t="shared" si="54"/>
        <v>8019.1979211200342</v>
      </c>
      <c r="CP24" s="197">
        <f t="shared" si="55"/>
        <v>3774.6222861941978</v>
      </c>
      <c r="CQ24" s="199">
        <f t="shared" si="56"/>
        <v>6059.338513503837</v>
      </c>
      <c r="CT24" s="204">
        <f t="shared" si="76"/>
        <v>13</v>
      </c>
      <c r="CU24" s="197">
        <f t="shared" si="15"/>
        <v>0</v>
      </c>
      <c r="CV24" s="197">
        <f>'Energy margins'!$S$12</f>
        <v>55</v>
      </c>
      <c r="CW24" s="197">
        <f t="shared" si="57"/>
        <v>0</v>
      </c>
      <c r="CX24" s="197">
        <f>'Margins summary'!$U$14</f>
        <v>220</v>
      </c>
      <c r="CY24" s="197">
        <f t="shared" si="58"/>
        <v>220</v>
      </c>
      <c r="CZ24" s="197"/>
      <c r="DA24" s="897">
        <f>'Energy NPV'!U77</f>
        <v>278.04200000000003</v>
      </c>
      <c r="DB24" s="197"/>
      <c r="DC24" s="197">
        <f t="shared" si="16"/>
        <v>278.04200000000003</v>
      </c>
      <c r="DD24" s="197">
        <f t="shared" si="17"/>
        <v>-278.04200000000003</v>
      </c>
      <c r="DE24" s="197">
        <f t="shared" si="18"/>
        <v>-58.04200000000003</v>
      </c>
      <c r="DF24" s="196">
        <f t="shared" si="59"/>
        <v>0</v>
      </c>
      <c r="DG24" s="197">
        <f t="shared" si="60"/>
        <v>137.41135090761432</v>
      </c>
      <c r="DH24" s="197">
        <f t="shared" si="61"/>
        <v>173.66421285934049</v>
      </c>
      <c r="DI24" s="197">
        <f t="shared" si="62"/>
        <v>-173.66421285934049</v>
      </c>
      <c r="DJ24" s="199">
        <f t="shared" si="63"/>
        <v>-36.25286195172616</v>
      </c>
      <c r="DK24" s="196">
        <f t="shared" si="77"/>
        <v>0</v>
      </c>
      <c r="DL24" s="197">
        <f t="shared" si="64"/>
        <v>2284.7162273096392</v>
      </c>
      <c r="DM24" s="197">
        <f t="shared" si="65"/>
        <v>8019.1979211200342</v>
      </c>
      <c r="DN24" s="197">
        <f t="shared" si="66"/>
        <v>-8019.1979211200342</v>
      </c>
      <c r="DO24" s="199">
        <f t="shared" si="67"/>
        <v>-5734.481693810395</v>
      </c>
    </row>
    <row r="25" spans="2:119" x14ac:dyDescent="0.3">
      <c r="B25" s="204">
        <f t="shared" si="68"/>
        <v>14</v>
      </c>
      <c r="C25" s="197">
        <f>'Energy NPV'!$D78*$E$8</f>
        <v>11.617000000000001</v>
      </c>
      <c r="D25" s="197">
        <f>'Energy margins'!$S$12</f>
        <v>55</v>
      </c>
      <c r="E25" s="197">
        <f t="shared" si="19"/>
        <v>638.93500000000006</v>
      </c>
      <c r="F25" s="197">
        <f>'Margins summary'!$U$14</f>
        <v>220</v>
      </c>
      <c r="G25" s="197">
        <f t="shared" si="20"/>
        <v>858.93500000000006</v>
      </c>
      <c r="H25" s="197"/>
      <c r="I25" s="897">
        <f>'Energy NPV'!U78</f>
        <v>278.04200000000003</v>
      </c>
      <c r="J25" s="197"/>
      <c r="K25" s="197">
        <f t="shared" si="0"/>
        <v>278.04200000000003</v>
      </c>
      <c r="L25" s="197">
        <f t="shared" si="1"/>
        <v>360.89300000000003</v>
      </c>
      <c r="M25" s="197">
        <f t="shared" si="2"/>
        <v>580.89300000000003</v>
      </c>
      <c r="N25" s="196">
        <f t="shared" si="21"/>
        <v>383.7278037244605</v>
      </c>
      <c r="O25" s="197">
        <f t="shared" si="22"/>
        <v>132.12629894962916</v>
      </c>
      <c r="P25" s="197">
        <f t="shared" si="23"/>
        <v>166.98482005705816</v>
      </c>
      <c r="Q25" s="197">
        <f t="shared" si="24"/>
        <v>216.74298366740237</v>
      </c>
      <c r="R25" s="199">
        <f t="shared" si="25"/>
        <v>348.8692826170315</v>
      </c>
      <c r="S25" s="196">
        <f t="shared" si="69"/>
        <v>6280.637907381577</v>
      </c>
      <c r="T25" s="197">
        <f t="shared" si="26"/>
        <v>2416.8425262592682</v>
      </c>
      <c r="U25" s="197">
        <f t="shared" si="26"/>
        <v>8186.1827411770919</v>
      </c>
      <c r="V25" s="197">
        <f t="shared" si="26"/>
        <v>-1905.5448337955154</v>
      </c>
      <c r="W25" s="199">
        <f t="shared" si="26"/>
        <v>511.29769246375213</v>
      </c>
      <c r="Z25" s="204">
        <f t="shared" si="70"/>
        <v>14</v>
      </c>
      <c r="AA25" s="197">
        <f t="shared" si="3"/>
        <v>17.4255</v>
      </c>
      <c r="AB25" s="197">
        <f>'Energy margins'!$S$12</f>
        <v>55</v>
      </c>
      <c r="AC25" s="197">
        <f t="shared" si="27"/>
        <v>958.40249999999992</v>
      </c>
      <c r="AD25" s="197">
        <f>'Margins summary'!$U$14</f>
        <v>220</v>
      </c>
      <c r="AE25" s="197">
        <f t="shared" si="28"/>
        <v>1178.4024999999999</v>
      </c>
      <c r="AF25" s="197"/>
      <c r="AG25" s="897">
        <f>'Energy NPV'!U78</f>
        <v>278.04200000000003</v>
      </c>
      <c r="AH25" s="197"/>
      <c r="AI25" s="197">
        <f t="shared" si="4"/>
        <v>278.04200000000003</v>
      </c>
      <c r="AJ25" s="197">
        <f t="shared" si="5"/>
        <v>680.36049999999989</v>
      </c>
      <c r="AK25" s="197">
        <f t="shared" si="6"/>
        <v>900.36049999999989</v>
      </c>
      <c r="AL25" s="196">
        <f t="shared" si="29"/>
        <v>575.59170558669064</v>
      </c>
      <c r="AM25" s="197">
        <f t="shared" si="30"/>
        <v>132.12629894962916</v>
      </c>
      <c r="AN25" s="197">
        <f t="shared" si="31"/>
        <v>166.98482005705816</v>
      </c>
      <c r="AO25" s="197">
        <f t="shared" si="32"/>
        <v>408.60688552963251</v>
      </c>
      <c r="AP25" s="199">
        <f t="shared" si="33"/>
        <v>540.73318447926169</v>
      </c>
      <c r="AQ25" s="196">
        <f t="shared" si="71"/>
        <v>9420.9568610723636</v>
      </c>
      <c r="AR25" s="197">
        <f t="shared" si="34"/>
        <v>2416.8425262592682</v>
      </c>
      <c r="AS25" s="197">
        <f t="shared" si="34"/>
        <v>8186.1827411770919</v>
      </c>
      <c r="AT25" s="197">
        <f t="shared" si="34"/>
        <v>1234.7741198952717</v>
      </c>
      <c r="AU25" s="199">
        <f t="shared" si="34"/>
        <v>3651.6166461545399</v>
      </c>
      <c r="AX25" s="204">
        <f t="shared" si="72"/>
        <v>14</v>
      </c>
      <c r="AY25" s="197">
        <f t="shared" si="7"/>
        <v>5.8085000000000004</v>
      </c>
      <c r="AZ25" s="197">
        <f>'Energy margins'!$S$12</f>
        <v>55</v>
      </c>
      <c r="BA25" s="197">
        <f t="shared" si="35"/>
        <v>319.46750000000003</v>
      </c>
      <c r="BB25" s="197">
        <f>'Margins summary'!$U$14</f>
        <v>220</v>
      </c>
      <c r="BC25" s="197">
        <f t="shared" si="36"/>
        <v>539.46749999999997</v>
      </c>
      <c r="BD25" s="197"/>
      <c r="BE25" s="897">
        <f>'Energy NPV'!U78</f>
        <v>278.04200000000003</v>
      </c>
      <c r="BF25" s="197"/>
      <c r="BG25" s="197">
        <f t="shared" si="8"/>
        <v>278.04200000000003</v>
      </c>
      <c r="BH25" s="197">
        <f t="shared" si="9"/>
        <v>41.4255</v>
      </c>
      <c r="BI25" s="197">
        <f t="shared" si="10"/>
        <v>261.42549999999994</v>
      </c>
      <c r="BJ25" s="196">
        <f t="shared" si="37"/>
        <v>191.86390186223025</v>
      </c>
      <c r="BK25" s="197">
        <f t="shared" si="38"/>
        <v>132.12629894962916</v>
      </c>
      <c r="BL25" s="197">
        <f t="shared" si="39"/>
        <v>166.98482005705816</v>
      </c>
      <c r="BM25" s="197">
        <f t="shared" si="40"/>
        <v>24.879081805172103</v>
      </c>
      <c r="BN25" s="199">
        <f t="shared" si="41"/>
        <v>157.00538075480122</v>
      </c>
      <c r="BO25" s="196">
        <f t="shared" si="73"/>
        <v>3140.3189536907885</v>
      </c>
      <c r="BP25" s="197">
        <f t="shared" si="42"/>
        <v>2416.8425262592682</v>
      </c>
      <c r="BQ25" s="197">
        <f t="shared" si="43"/>
        <v>8186.1827411770919</v>
      </c>
      <c r="BR25" s="197">
        <f t="shared" si="44"/>
        <v>-5045.8637874863052</v>
      </c>
      <c r="BS25" s="199">
        <f t="shared" si="45"/>
        <v>-2629.021261227037</v>
      </c>
      <c r="BV25" s="204">
        <f t="shared" si="74"/>
        <v>14</v>
      </c>
      <c r="BW25" s="197">
        <f t="shared" si="11"/>
        <v>23.234000000000002</v>
      </c>
      <c r="BX25" s="197">
        <f>'Energy margins'!$S$12</f>
        <v>55</v>
      </c>
      <c r="BY25" s="197">
        <f t="shared" si="46"/>
        <v>1277.8700000000001</v>
      </c>
      <c r="BZ25" s="197">
        <f>'Margins summary'!$U$14</f>
        <v>220</v>
      </c>
      <c r="CA25" s="197">
        <f t="shared" si="47"/>
        <v>1497.8700000000001</v>
      </c>
      <c r="CB25" s="197"/>
      <c r="CC25" s="897">
        <f>'Energy NPV'!U78</f>
        <v>278.04200000000003</v>
      </c>
      <c r="CD25" s="197"/>
      <c r="CE25" s="197">
        <f t="shared" si="12"/>
        <v>278.04200000000003</v>
      </c>
      <c r="CF25" s="197">
        <f t="shared" si="13"/>
        <v>999.82800000000009</v>
      </c>
      <c r="CG25" s="197">
        <f t="shared" si="14"/>
        <v>1219.828</v>
      </c>
      <c r="CH25" s="196">
        <f t="shared" si="48"/>
        <v>767.455607448921</v>
      </c>
      <c r="CI25" s="197">
        <f t="shared" si="49"/>
        <v>132.12629894962916</v>
      </c>
      <c r="CJ25" s="197">
        <f t="shared" si="50"/>
        <v>166.98482005705816</v>
      </c>
      <c r="CK25" s="197">
        <f t="shared" si="51"/>
        <v>600.47078739186293</v>
      </c>
      <c r="CL25" s="199">
        <f t="shared" si="52"/>
        <v>732.59708634149194</v>
      </c>
      <c r="CM25" s="196">
        <f t="shared" si="75"/>
        <v>12561.275814763154</v>
      </c>
      <c r="CN25" s="197">
        <f t="shared" si="53"/>
        <v>2416.8425262592682</v>
      </c>
      <c r="CO25" s="197">
        <f t="shared" si="54"/>
        <v>8186.1827411770919</v>
      </c>
      <c r="CP25" s="197">
        <f t="shared" si="55"/>
        <v>4375.0930735860611</v>
      </c>
      <c r="CQ25" s="199">
        <f t="shared" si="56"/>
        <v>6791.9355998453293</v>
      </c>
      <c r="CT25" s="204">
        <f t="shared" si="76"/>
        <v>14</v>
      </c>
      <c r="CU25" s="197">
        <f t="shared" si="15"/>
        <v>0</v>
      </c>
      <c r="CV25" s="197">
        <f>'Energy margins'!$S$12</f>
        <v>55</v>
      </c>
      <c r="CW25" s="197">
        <f t="shared" si="57"/>
        <v>0</v>
      </c>
      <c r="CX25" s="197">
        <f>'Margins summary'!$U$14</f>
        <v>220</v>
      </c>
      <c r="CY25" s="197">
        <f t="shared" si="58"/>
        <v>220</v>
      </c>
      <c r="CZ25" s="197"/>
      <c r="DA25" s="897">
        <f>'Energy NPV'!U78</f>
        <v>278.04200000000003</v>
      </c>
      <c r="DB25" s="197"/>
      <c r="DC25" s="197">
        <f t="shared" si="16"/>
        <v>278.04200000000003</v>
      </c>
      <c r="DD25" s="197">
        <f t="shared" si="17"/>
        <v>-278.04200000000003</v>
      </c>
      <c r="DE25" s="197">
        <f t="shared" si="18"/>
        <v>-58.04200000000003</v>
      </c>
      <c r="DF25" s="196">
        <f t="shared" si="59"/>
        <v>0</v>
      </c>
      <c r="DG25" s="197">
        <f t="shared" si="60"/>
        <v>132.12629894962916</v>
      </c>
      <c r="DH25" s="197">
        <f t="shared" si="61"/>
        <v>166.98482005705816</v>
      </c>
      <c r="DI25" s="197">
        <f t="shared" si="62"/>
        <v>-166.98482005705816</v>
      </c>
      <c r="DJ25" s="199">
        <f t="shared" si="63"/>
        <v>-34.858521107428999</v>
      </c>
      <c r="DK25" s="196">
        <f t="shared" si="77"/>
        <v>0</v>
      </c>
      <c r="DL25" s="197">
        <f t="shared" si="64"/>
        <v>2416.8425262592682</v>
      </c>
      <c r="DM25" s="197">
        <f t="shared" si="65"/>
        <v>8186.1827411770919</v>
      </c>
      <c r="DN25" s="197">
        <f t="shared" si="66"/>
        <v>-8186.1827411770919</v>
      </c>
      <c r="DO25" s="199">
        <f t="shared" si="67"/>
        <v>-5769.3402149178237</v>
      </c>
    </row>
    <row r="26" spans="2:119" x14ac:dyDescent="0.3">
      <c r="B26" s="204">
        <f t="shared" si="68"/>
        <v>15</v>
      </c>
      <c r="C26" s="197">
        <f>'Energy NPV'!$D79*$E$8</f>
        <v>11.617000000000001</v>
      </c>
      <c r="D26" s="197">
        <f>'Energy margins'!$S$12</f>
        <v>55</v>
      </c>
      <c r="E26" s="197">
        <f t="shared" si="19"/>
        <v>638.93500000000006</v>
      </c>
      <c r="F26" s="197">
        <f>'Margins summary'!$U$14</f>
        <v>220</v>
      </c>
      <c r="G26" s="197">
        <f t="shared" si="20"/>
        <v>858.93500000000006</v>
      </c>
      <c r="H26" s="197"/>
      <c r="I26" s="897">
        <f>'Energy NPV'!U79</f>
        <v>278.04200000000003</v>
      </c>
      <c r="J26" s="197"/>
      <c r="K26" s="197">
        <f t="shared" si="0"/>
        <v>278.04200000000003</v>
      </c>
      <c r="L26" s="197">
        <f t="shared" si="1"/>
        <v>360.89300000000003</v>
      </c>
      <c r="M26" s="197">
        <f t="shared" si="2"/>
        <v>580.89300000000003</v>
      </c>
      <c r="N26" s="196">
        <f t="shared" si="21"/>
        <v>368.96904204275052</v>
      </c>
      <c r="O26" s="197">
        <f t="shared" si="22"/>
        <v>127.04451822079727</v>
      </c>
      <c r="P26" s="197">
        <f t="shared" si="23"/>
        <v>160.56232697794053</v>
      </c>
      <c r="Q26" s="197">
        <f t="shared" si="24"/>
        <v>208.40671506480996</v>
      </c>
      <c r="R26" s="199">
        <f t="shared" si="25"/>
        <v>335.45123328560726</v>
      </c>
      <c r="S26" s="196">
        <f t="shared" si="69"/>
        <v>6649.6069494243275</v>
      </c>
      <c r="T26" s="197">
        <f t="shared" si="26"/>
        <v>2543.8870444800655</v>
      </c>
      <c r="U26" s="197">
        <f t="shared" si="26"/>
        <v>8346.7450681550326</v>
      </c>
      <c r="V26" s="197">
        <f t="shared" si="26"/>
        <v>-1697.1381187307054</v>
      </c>
      <c r="W26" s="199">
        <f t="shared" si="26"/>
        <v>846.74892574935939</v>
      </c>
      <c r="Z26" s="204">
        <f t="shared" si="70"/>
        <v>15</v>
      </c>
      <c r="AA26" s="197">
        <f t="shared" si="3"/>
        <v>17.4255</v>
      </c>
      <c r="AB26" s="197">
        <f>'Energy margins'!$S$12</f>
        <v>55</v>
      </c>
      <c r="AC26" s="197">
        <f t="shared" si="27"/>
        <v>958.40249999999992</v>
      </c>
      <c r="AD26" s="197">
        <f>'Margins summary'!$U$14</f>
        <v>220</v>
      </c>
      <c r="AE26" s="197">
        <f t="shared" si="28"/>
        <v>1178.4024999999999</v>
      </c>
      <c r="AF26" s="197"/>
      <c r="AG26" s="897">
        <f>'Energy NPV'!U79</f>
        <v>278.04200000000003</v>
      </c>
      <c r="AH26" s="197"/>
      <c r="AI26" s="197">
        <f t="shared" si="4"/>
        <v>278.04200000000003</v>
      </c>
      <c r="AJ26" s="197">
        <f t="shared" si="5"/>
        <v>680.36049999999989</v>
      </c>
      <c r="AK26" s="197">
        <f t="shared" si="6"/>
        <v>900.36049999999989</v>
      </c>
      <c r="AL26" s="196">
        <f t="shared" si="29"/>
        <v>553.45356306412566</v>
      </c>
      <c r="AM26" s="197">
        <f t="shared" si="30"/>
        <v>127.04451822079727</v>
      </c>
      <c r="AN26" s="197">
        <f t="shared" si="31"/>
        <v>160.56232697794053</v>
      </c>
      <c r="AO26" s="197">
        <f t="shared" si="32"/>
        <v>392.89123608618513</v>
      </c>
      <c r="AP26" s="199">
        <f t="shared" si="33"/>
        <v>519.9357543069824</v>
      </c>
      <c r="AQ26" s="196">
        <f t="shared" si="71"/>
        <v>9974.4104241364894</v>
      </c>
      <c r="AR26" s="197">
        <f t="shared" si="34"/>
        <v>2543.8870444800655</v>
      </c>
      <c r="AS26" s="197">
        <f t="shared" si="34"/>
        <v>8346.7450681550326</v>
      </c>
      <c r="AT26" s="197">
        <f t="shared" si="34"/>
        <v>1627.6653559814567</v>
      </c>
      <c r="AU26" s="199">
        <f t="shared" si="34"/>
        <v>4171.5524004615227</v>
      </c>
      <c r="AX26" s="204">
        <f t="shared" si="72"/>
        <v>15</v>
      </c>
      <c r="AY26" s="197">
        <f t="shared" si="7"/>
        <v>5.8085000000000004</v>
      </c>
      <c r="AZ26" s="197">
        <f>'Energy margins'!$S$12</f>
        <v>55</v>
      </c>
      <c r="BA26" s="197">
        <f t="shared" si="35"/>
        <v>319.46750000000003</v>
      </c>
      <c r="BB26" s="197">
        <f>'Margins summary'!$U$14</f>
        <v>220</v>
      </c>
      <c r="BC26" s="197">
        <f t="shared" si="36"/>
        <v>539.46749999999997</v>
      </c>
      <c r="BD26" s="197"/>
      <c r="BE26" s="897">
        <f>'Energy NPV'!U79</f>
        <v>278.04200000000003</v>
      </c>
      <c r="BF26" s="197"/>
      <c r="BG26" s="197">
        <f t="shared" si="8"/>
        <v>278.04200000000003</v>
      </c>
      <c r="BH26" s="197">
        <f t="shared" si="9"/>
        <v>41.4255</v>
      </c>
      <c r="BI26" s="197">
        <f t="shared" si="10"/>
        <v>261.42549999999994</v>
      </c>
      <c r="BJ26" s="196">
        <f t="shared" si="37"/>
        <v>184.48452102137526</v>
      </c>
      <c r="BK26" s="197">
        <f t="shared" si="38"/>
        <v>127.04451822079727</v>
      </c>
      <c r="BL26" s="197">
        <f t="shared" si="39"/>
        <v>160.56232697794053</v>
      </c>
      <c r="BM26" s="197">
        <f t="shared" si="40"/>
        <v>23.922194043434715</v>
      </c>
      <c r="BN26" s="199">
        <f t="shared" si="41"/>
        <v>150.96671226423194</v>
      </c>
      <c r="BO26" s="196">
        <f t="shared" si="73"/>
        <v>3324.8034747121637</v>
      </c>
      <c r="BP26" s="197">
        <f t="shared" si="42"/>
        <v>2543.8870444800655</v>
      </c>
      <c r="BQ26" s="197">
        <f t="shared" si="43"/>
        <v>8346.7450681550326</v>
      </c>
      <c r="BR26" s="197">
        <f t="shared" si="44"/>
        <v>-5021.9415934428707</v>
      </c>
      <c r="BS26" s="199">
        <f t="shared" si="45"/>
        <v>-2478.0545489628053</v>
      </c>
      <c r="BV26" s="204">
        <f t="shared" si="74"/>
        <v>15</v>
      </c>
      <c r="BW26" s="197">
        <f t="shared" si="11"/>
        <v>23.234000000000002</v>
      </c>
      <c r="BX26" s="197">
        <f>'Energy margins'!$S$12</f>
        <v>55</v>
      </c>
      <c r="BY26" s="197">
        <f t="shared" si="46"/>
        <v>1277.8700000000001</v>
      </c>
      <c r="BZ26" s="197">
        <f>'Margins summary'!$U$14</f>
        <v>220</v>
      </c>
      <c r="CA26" s="197">
        <f t="shared" si="47"/>
        <v>1497.8700000000001</v>
      </c>
      <c r="CB26" s="197"/>
      <c r="CC26" s="897">
        <f>'Energy NPV'!U79</f>
        <v>278.04200000000003</v>
      </c>
      <c r="CD26" s="197"/>
      <c r="CE26" s="197">
        <f t="shared" si="12"/>
        <v>278.04200000000003</v>
      </c>
      <c r="CF26" s="197">
        <f t="shared" si="13"/>
        <v>999.82800000000009</v>
      </c>
      <c r="CG26" s="197">
        <f t="shared" si="14"/>
        <v>1219.828</v>
      </c>
      <c r="CH26" s="196">
        <f t="shared" si="48"/>
        <v>737.93808408550103</v>
      </c>
      <c r="CI26" s="197">
        <f t="shared" si="49"/>
        <v>127.04451822079727</v>
      </c>
      <c r="CJ26" s="197">
        <f t="shared" si="50"/>
        <v>160.56232697794053</v>
      </c>
      <c r="CK26" s="197">
        <f t="shared" si="51"/>
        <v>577.3757571075605</v>
      </c>
      <c r="CL26" s="199">
        <f t="shared" si="52"/>
        <v>704.42027532835766</v>
      </c>
      <c r="CM26" s="196">
        <f t="shared" si="75"/>
        <v>13299.213898848655</v>
      </c>
      <c r="CN26" s="197">
        <f t="shared" si="53"/>
        <v>2543.8870444800655</v>
      </c>
      <c r="CO26" s="197">
        <f t="shared" si="54"/>
        <v>8346.7450681550326</v>
      </c>
      <c r="CP26" s="197">
        <f t="shared" si="55"/>
        <v>4952.4688306936214</v>
      </c>
      <c r="CQ26" s="199">
        <f t="shared" si="56"/>
        <v>7496.3558751736873</v>
      </c>
      <c r="CT26" s="204">
        <f t="shared" si="76"/>
        <v>15</v>
      </c>
      <c r="CU26" s="197">
        <f t="shared" si="15"/>
        <v>0</v>
      </c>
      <c r="CV26" s="197">
        <f>'Energy margins'!$S$12</f>
        <v>55</v>
      </c>
      <c r="CW26" s="197">
        <f t="shared" si="57"/>
        <v>0</v>
      </c>
      <c r="CX26" s="197">
        <f>'Margins summary'!$U$14</f>
        <v>220</v>
      </c>
      <c r="CY26" s="197">
        <f t="shared" si="58"/>
        <v>220</v>
      </c>
      <c r="CZ26" s="197"/>
      <c r="DA26" s="897">
        <f>'Energy NPV'!U79</f>
        <v>278.04200000000003</v>
      </c>
      <c r="DB26" s="197"/>
      <c r="DC26" s="197">
        <f t="shared" si="16"/>
        <v>278.04200000000003</v>
      </c>
      <c r="DD26" s="197">
        <f t="shared" si="17"/>
        <v>-278.04200000000003</v>
      </c>
      <c r="DE26" s="197">
        <f t="shared" si="18"/>
        <v>-58.04200000000003</v>
      </c>
      <c r="DF26" s="196">
        <f t="shared" si="59"/>
        <v>0</v>
      </c>
      <c r="DG26" s="197">
        <f t="shared" si="60"/>
        <v>127.04451822079727</v>
      </c>
      <c r="DH26" s="197">
        <f t="shared" si="61"/>
        <v>160.56232697794053</v>
      </c>
      <c r="DI26" s="197">
        <f t="shared" si="62"/>
        <v>-160.56232697794053</v>
      </c>
      <c r="DJ26" s="199">
        <f t="shared" si="63"/>
        <v>-33.517808757143271</v>
      </c>
      <c r="DK26" s="196">
        <f t="shared" si="77"/>
        <v>0</v>
      </c>
      <c r="DL26" s="197">
        <f t="shared" si="64"/>
        <v>2543.8870444800655</v>
      </c>
      <c r="DM26" s="197">
        <f t="shared" si="65"/>
        <v>8346.7450681550326</v>
      </c>
      <c r="DN26" s="197">
        <f t="shared" si="66"/>
        <v>-8346.7450681550326</v>
      </c>
      <c r="DO26" s="199">
        <f t="shared" si="67"/>
        <v>-5802.8580236749667</v>
      </c>
    </row>
    <row r="27" spans="2:119" x14ac:dyDescent="0.3">
      <c r="B27" s="206">
        <f t="shared" si="68"/>
        <v>16</v>
      </c>
      <c r="C27" s="207">
        <f>'Energy NPV'!$D80*$E$8</f>
        <v>11.617000000000001</v>
      </c>
      <c r="D27" s="207">
        <f>'Energy margins'!$S$12</f>
        <v>55</v>
      </c>
      <c r="E27" s="207">
        <f t="shared" si="19"/>
        <v>638.93500000000006</v>
      </c>
      <c r="F27" s="207">
        <f>'Margins summary'!$U$14</f>
        <v>220</v>
      </c>
      <c r="G27" s="207">
        <f t="shared" si="20"/>
        <v>858.93500000000006</v>
      </c>
      <c r="H27" s="207"/>
      <c r="I27" s="898">
        <f>'Energy NPV'!U80</f>
        <v>278.04200000000003</v>
      </c>
      <c r="J27" s="207">
        <f>'Energy margins'!$X$67</f>
        <v>170</v>
      </c>
      <c r="K27" s="207">
        <f t="shared" si="0"/>
        <v>448.04200000000003</v>
      </c>
      <c r="L27" s="207">
        <f t="shared" si="1"/>
        <v>190.89300000000003</v>
      </c>
      <c r="M27" s="207">
        <f t="shared" si="2"/>
        <v>410.89300000000003</v>
      </c>
      <c r="N27" s="208">
        <f t="shared" si="21"/>
        <v>354.77792504110624</v>
      </c>
      <c r="O27" s="207">
        <f t="shared" si="22"/>
        <v>122.15819059692046</v>
      </c>
      <c r="P27" s="207">
        <f t="shared" si="23"/>
        <v>248.78181832466109</v>
      </c>
      <c r="Q27" s="207">
        <f t="shared" si="24"/>
        <v>105.99610671644518</v>
      </c>
      <c r="R27" s="209">
        <f t="shared" si="25"/>
        <v>228.15429731336565</v>
      </c>
      <c r="S27" s="208">
        <f t="shared" si="69"/>
        <v>7004.3848744654333</v>
      </c>
      <c r="T27" s="207">
        <f t="shared" si="26"/>
        <v>2666.045235076986</v>
      </c>
      <c r="U27" s="207">
        <f t="shared" si="26"/>
        <v>8595.5268864796944</v>
      </c>
      <c r="V27" s="207">
        <f t="shared" si="26"/>
        <v>-1591.1420120142602</v>
      </c>
      <c r="W27" s="209">
        <f t="shared" si="26"/>
        <v>1074.9032230627249</v>
      </c>
      <c r="Z27" s="206">
        <f t="shared" si="70"/>
        <v>16</v>
      </c>
      <c r="AA27" s="207">
        <f t="shared" si="3"/>
        <v>17.4255</v>
      </c>
      <c r="AB27" s="207">
        <f>'Energy margins'!$S$12</f>
        <v>55</v>
      </c>
      <c r="AC27" s="207">
        <f>AA27*AB27</f>
        <v>958.40249999999992</v>
      </c>
      <c r="AD27" s="207">
        <f>'Margins summary'!$U$14</f>
        <v>220</v>
      </c>
      <c r="AE27" s="207">
        <f t="shared" si="28"/>
        <v>1178.4024999999999</v>
      </c>
      <c r="AF27" s="207"/>
      <c r="AG27" s="898">
        <f>'Energy NPV'!U80</f>
        <v>278.04200000000003</v>
      </c>
      <c r="AH27" s="207">
        <f>'Energy margins'!$X$67</f>
        <v>170</v>
      </c>
      <c r="AI27" s="207">
        <f t="shared" si="4"/>
        <v>448.04200000000003</v>
      </c>
      <c r="AJ27" s="207">
        <f t="shared" si="5"/>
        <v>510.36049999999989</v>
      </c>
      <c r="AK27" s="207">
        <f t="shared" si="6"/>
        <v>730.36049999999989</v>
      </c>
      <c r="AL27" s="208">
        <f t="shared" si="29"/>
        <v>532.16688756165934</v>
      </c>
      <c r="AM27" s="207">
        <f t="shared" si="30"/>
        <v>122.15819059692046</v>
      </c>
      <c r="AN27" s="207">
        <f t="shared" si="31"/>
        <v>248.78181832466109</v>
      </c>
      <c r="AO27" s="207">
        <f t="shared" si="32"/>
        <v>283.38506923699822</v>
      </c>
      <c r="AP27" s="209">
        <f t="shared" si="33"/>
        <v>405.54325983391868</v>
      </c>
      <c r="AQ27" s="208">
        <f t="shared" si="71"/>
        <v>10506.577311698149</v>
      </c>
      <c r="AR27" s="207">
        <f t="shared" si="34"/>
        <v>2666.045235076986</v>
      </c>
      <c r="AS27" s="207">
        <f t="shared" si="34"/>
        <v>8595.5268864796944</v>
      </c>
      <c r="AT27" s="207">
        <f t="shared" si="34"/>
        <v>1911.0504252184551</v>
      </c>
      <c r="AU27" s="209">
        <f t="shared" si="34"/>
        <v>4577.0956602954411</v>
      </c>
      <c r="AX27" s="206">
        <f t="shared" si="72"/>
        <v>16</v>
      </c>
      <c r="AY27" s="207">
        <f t="shared" si="7"/>
        <v>5.8085000000000004</v>
      </c>
      <c r="AZ27" s="207">
        <f>'Energy margins'!$S$12</f>
        <v>55</v>
      </c>
      <c r="BA27" s="207">
        <f>AY27*AZ27</f>
        <v>319.46750000000003</v>
      </c>
      <c r="BB27" s="207">
        <f>'Margins summary'!$U$14</f>
        <v>220</v>
      </c>
      <c r="BC27" s="207">
        <f t="shared" si="36"/>
        <v>539.46749999999997</v>
      </c>
      <c r="BD27" s="207"/>
      <c r="BE27" s="898">
        <f>'Energy NPV'!U80</f>
        <v>278.04200000000003</v>
      </c>
      <c r="BF27" s="207">
        <f>'Energy margins'!$X$67</f>
        <v>170</v>
      </c>
      <c r="BG27" s="207">
        <f t="shared" si="8"/>
        <v>448.04200000000003</v>
      </c>
      <c r="BH27" s="207">
        <f t="shared" si="9"/>
        <v>-128.5745</v>
      </c>
      <c r="BI27" s="207">
        <f t="shared" si="10"/>
        <v>91.425499999999943</v>
      </c>
      <c r="BJ27" s="208">
        <f t="shared" si="37"/>
        <v>177.38896252055312</v>
      </c>
      <c r="BK27" s="207">
        <f t="shared" si="38"/>
        <v>122.15819059692046</v>
      </c>
      <c r="BL27" s="207">
        <f t="shared" si="39"/>
        <v>248.78181832466109</v>
      </c>
      <c r="BM27" s="207">
        <f t="shared" si="40"/>
        <v>-71.392855804107953</v>
      </c>
      <c r="BN27" s="209">
        <f t="shared" si="41"/>
        <v>50.765334792812475</v>
      </c>
      <c r="BO27" s="208">
        <f t="shared" si="73"/>
        <v>3502.1924372327167</v>
      </c>
      <c r="BP27" s="207">
        <f t="shared" si="42"/>
        <v>2666.045235076986</v>
      </c>
      <c r="BQ27" s="207">
        <f t="shared" si="43"/>
        <v>8595.5268864796944</v>
      </c>
      <c r="BR27" s="207">
        <f t="shared" si="44"/>
        <v>-5093.3344492469787</v>
      </c>
      <c r="BS27" s="209">
        <f t="shared" si="45"/>
        <v>-2427.2892141699926</v>
      </c>
      <c r="BV27" s="206">
        <f t="shared" si="74"/>
        <v>16</v>
      </c>
      <c r="BW27" s="207">
        <f t="shared" si="11"/>
        <v>23.234000000000002</v>
      </c>
      <c r="BX27" s="207">
        <f>'Energy margins'!$S$12</f>
        <v>55</v>
      </c>
      <c r="BY27" s="207">
        <f t="shared" si="46"/>
        <v>1277.8700000000001</v>
      </c>
      <c r="BZ27" s="207">
        <f>'Margins summary'!$U$14</f>
        <v>220</v>
      </c>
      <c r="CA27" s="207">
        <f t="shared" si="47"/>
        <v>1497.8700000000001</v>
      </c>
      <c r="CB27" s="207"/>
      <c r="CC27" s="898">
        <f>'Energy NPV'!U80</f>
        <v>278.04200000000003</v>
      </c>
      <c r="CD27" s="207">
        <f>'Energy margins'!$X$67</f>
        <v>170</v>
      </c>
      <c r="CE27" s="207">
        <f t="shared" si="12"/>
        <v>448.04200000000003</v>
      </c>
      <c r="CF27" s="207">
        <f t="shared" si="13"/>
        <v>829.82800000000009</v>
      </c>
      <c r="CG27" s="207">
        <f t="shared" si="14"/>
        <v>1049.828</v>
      </c>
      <c r="CH27" s="208">
        <f t="shared" si="48"/>
        <v>709.55585008221249</v>
      </c>
      <c r="CI27" s="207">
        <f t="shared" si="49"/>
        <v>122.15819059692046</v>
      </c>
      <c r="CJ27" s="207">
        <f t="shared" si="50"/>
        <v>248.78181832466109</v>
      </c>
      <c r="CK27" s="207">
        <f t="shared" si="51"/>
        <v>460.77403175755143</v>
      </c>
      <c r="CL27" s="209">
        <f t="shared" si="52"/>
        <v>582.93222235447183</v>
      </c>
      <c r="CM27" s="208">
        <f t="shared" si="75"/>
        <v>14008.769748930867</v>
      </c>
      <c r="CN27" s="207">
        <f t="shared" si="53"/>
        <v>2666.045235076986</v>
      </c>
      <c r="CO27" s="207">
        <f t="shared" si="54"/>
        <v>8595.5268864796944</v>
      </c>
      <c r="CP27" s="207">
        <f t="shared" si="55"/>
        <v>5413.2428624511731</v>
      </c>
      <c r="CQ27" s="209">
        <f t="shared" si="56"/>
        <v>8079.2880975281587</v>
      </c>
      <c r="CT27" s="206">
        <f t="shared" si="76"/>
        <v>16</v>
      </c>
      <c r="CU27" s="207">
        <f t="shared" si="15"/>
        <v>0</v>
      </c>
      <c r="CV27" s="207">
        <f>'Energy margins'!$S$12</f>
        <v>55</v>
      </c>
      <c r="CW27" s="207">
        <f t="shared" si="57"/>
        <v>0</v>
      </c>
      <c r="CX27" s="207">
        <f>'Margins summary'!$U$14</f>
        <v>220</v>
      </c>
      <c r="CY27" s="207">
        <f t="shared" si="58"/>
        <v>220</v>
      </c>
      <c r="CZ27" s="207"/>
      <c r="DA27" s="898">
        <f>'Energy NPV'!U80</f>
        <v>278.04200000000003</v>
      </c>
      <c r="DB27" s="207">
        <f>'Energy margins'!$X$67</f>
        <v>170</v>
      </c>
      <c r="DC27" s="207">
        <f t="shared" si="16"/>
        <v>448.04200000000003</v>
      </c>
      <c r="DD27" s="207">
        <f t="shared" si="17"/>
        <v>-448.04200000000003</v>
      </c>
      <c r="DE27" s="207">
        <f t="shared" si="18"/>
        <v>-228.04200000000003</v>
      </c>
      <c r="DF27" s="208">
        <f t="shared" si="59"/>
        <v>0</v>
      </c>
      <c r="DG27" s="207">
        <f t="shared" si="60"/>
        <v>122.15819059692046</v>
      </c>
      <c r="DH27" s="207">
        <f t="shared" si="61"/>
        <v>248.78181832466109</v>
      </c>
      <c r="DI27" s="207">
        <f t="shared" si="62"/>
        <v>-248.78181832466109</v>
      </c>
      <c r="DJ27" s="209">
        <f t="shared" si="63"/>
        <v>-126.62362772774063</v>
      </c>
      <c r="DK27" s="208">
        <f t="shared" si="77"/>
        <v>0</v>
      </c>
      <c r="DL27" s="207">
        <f t="shared" si="64"/>
        <v>2666.045235076986</v>
      </c>
      <c r="DM27" s="207">
        <f t="shared" si="65"/>
        <v>8595.5268864796944</v>
      </c>
      <c r="DN27" s="207">
        <f t="shared" si="66"/>
        <v>-8595.5268864796944</v>
      </c>
      <c r="DO27" s="209">
        <f t="shared" si="67"/>
        <v>-5929.481651402707</v>
      </c>
    </row>
    <row r="29" spans="2:119" x14ac:dyDescent="0.3">
      <c r="AM29" s="197"/>
    </row>
    <row r="34" spans="2:175" x14ac:dyDescent="0.3">
      <c r="B34" s="228" t="s">
        <v>498</v>
      </c>
      <c r="C34" s="762" t="s">
        <v>431</v>
      </c>
      <c r="D34" s="269" t="s">
        <v>418</v>
      </c>
      <c r="E34" s="887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Y34" s="102"/>
      <c r="Z34" s="228" t="s">
        <v>498</v>
      </c>
      <c r="AA34" s="211" t="s">
        <v>336</v>
      </c>
      <c r="AB34" s="889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498</v>
      </c>
      <c r="AY34" s="211" t="s">
        <v>337</v>
      </c>
      <c r="AZ34" s="889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498</v>
      </c>
      <c r="BW34" s="268" t="s">
        <v>338</v>
      </c>
      <c r="BX34" s="886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498</v>
      </c>
      <c r="CU34" s="268" t="s">
        <v>339</v>
      </c>
      <c r="CV34" s="886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FI34" s="102"/>
      <c r="FJ34" s="102"/>
      <c r="FK34" s="102"/>
      <c r="FL34" s="102"/>
      <c r="FM34" s="102"/>
      <c r="FN34" s="102"/>
      <c r="FO34" s="102"/>
      <c r="FP34" s="102"/>
      <c r="FQ34" s="102"/>
      <c r="FR34" s="102"/>
      <c r="FS34" s="102"/>
    </row>
    <row r="35" spans="2:175" x14ac:dyDescent="0.3">
      <c r="B35" s="203"/>
      <c r="C35" s="148"/>
      <c r="D35" s="148"/>
      <c r="E35" s="970"/>
      <c r="F35" s="970"/>
      <c r="G35" s="970"/>
      <c r="H35" s="148"/>
      <c r="I35" s="910"/>
      <c r="J35" s="970"/>
      <c r="K35" s="970"/>
      <c r="L35" s="148"/>
      <c r="M35" s="148"/>
      <c r="N35" s="971" t="s">
        <v>279</v>
      </c>
      <c r="O35" s="972"/>
      <c r="P35" s="972"/>
      <c r="Q35" s="972"/>
      <c r="R35" s="973"/>
      <c r="S35" s="971" t="s">
        <v>280</v>
      </c>
      <c r="T35" s="972"/>
      <c r="U35" s="972"/>
      <c r="V35" s="972"/>
      <c r="W35" s="973"/>
      <c r="Z35" s="203"/>
      <c r="AA35" s="148"/>
      <c r="AB35" s="148"/>
      <c r="AC35" s="970"/>
      <c r="AD35" s="970"/>
      <c r="AE35" s="970"/>
      <c r="AF35" s="148"/>
      <c r="AG35" s="910"/>
      <c r="AH35" s="970"/>
      <c r="AI35" s="970"/>
      <c r="AJ35" s="148"/>
      <c r="AK35" s="148"/>
      <c r="AL35" s="971" t="s">
        <v>279</v>
      </c>
      <c r="AM35" s="972"/>
      <c r="AN35" s="972"/>
      <c r="AO35" s="972"/>
      <c r="AP35" s="973"/>
      <c r="AQ35" s="971" t="s">
        <v>280</v>
      </c>
      <c r="AR35" s="972"/>
      <c r="AS35" s="972"/>
      <c r="AT35" s="972"/>
      <c r="AU35" s="973"/>
      <c r="AX35" s="203"/>
      <c r="AY35" s="148"/>
      <c r="AZ35" s="148"/>
      <c r="BA35" s="970"/>
      <c r="BB35" s="970"/>
      <c r="BC35" s="970"/>
      <c r="BD35" s="148"/>
      <c r="BE35" s="910"/>
      <c r="BF35" s="970"/>
      <c r="BG35" s="970"/>
      <c r="BH35" s="148"/>
      <c r="BI35" s="148"/>
      <c r="BJ35" s="971" t="s">
        <v>279</v>
      </c>
      <c r="BK35" s="972"/>
      <c r="BL35" s="972"/>
      <c r="BM35" s="972"/>
      <c r="BN35" s="973"/>
      <c r="BO35" s="971" t="s">
        <v>280</v>
      </c>
      <c r="BP35" s="972"/>
      <c r="BQ35" s="972"/>
      <c r="BR35" s="972"/>
      <c r="BS35" s="973"/>
      <c r="BV35" s="203"/>
      <c r="BW35" s="148"/>
      <c r="BX35" s="148"/>
      <c r="BY35" s="970"/>
      <c r="BZ35" s="970"/>
      <c r="CA35" s="970"/>
      <c r="CB35" s="148"/>
      <c r="CC35" s="910"/>
      <c r="CD35" s="970"/>
      <c r="CE35" s="970"/>
      <c r="CF35" s="148"/>
      <c r="CG35" s="148"/>
      <c r="CH35" s="971" t="s">
        <v>279</v>
      </c>
      <c r="CI35" s="972"/>
      <c r="CJ35" s="972"/>
      <c r="CK35" s="972"/>
      <c r="CL35" s="973"/>
      <c r="CM35" s="971" t="s">
        <v>280</v>
      </c>
      <c r="CN35" s="972"/>
      <c r="CO35" s="972"/>
      <c r="CP35" s="972"/>
      <c r="CQ35" s="973"/>
      <c r="CT35" s="203"/>
      <c r="CU35" s="148"/>
      <c r="CV35" s="148"/>
      <c r="CW35" s="970"/>
      <c r="CX35" s="970"/>
      <c r="CY35" s="970"/>
      <c r="CZ35" s="148"/>
      <c r="DA35" s="910"/>
      <c r="DB35" s="970"/>
      <c r="DC35" s="970"/>
      <c r="DD35" s="148"/>
      <c r="DE35" s="148"/>
      <c r="DF35" s="971" t="s">
        <v>279</v>
      </c>
      <c r="DG35" s="972"/>
      <c r="DH35" s="972"/>
      <c r="DI35" s="972"/>
      <c r="DJ35" s="973"/>
      <c r="DK35" s="971" t="s">
        <v>280</v>
      </c>
      <c r="DL35" s="972"/>
      <c r="DM35" s="972"/>
      <c r="DN35" s="972"/>
      <c r="DO35" s="973"/>
    </row>
    <row r="36" spans="2:175" ht="51" x14ac:dyDescent="0.3">
      <c r="B36" s="204" t="s">
        <v>281</v>
      </c>
      <c r="C36" s="205" t="s">
        <v>307</v>
      </c>
      <c r="D36" s="205" t="s">
        <v>308</v>
      </c>
      <c r="E36" s="171" t="s">
        <v>283</v>
      </c>
      <c r="F36" s="171" t="s">
        <v>10</v>
      </c>
      <c r="G36" s="171" t="s">
        <v>284</v>
      </c>
      <c r="H36" s="205" t="s">
        <v>305</v>
      </c>
      <c r="I36" s="914" t="str">
        <f>'Energy NPV'!U89</f>
        <v>Total Recurring Costs</v>
      </c>
      <c r="J36" s="205" t="s">
        <v>309</v>
      </c>
      <c r="K36" s="171" t="s">
        <v>287</v>
      </c>
      <c r="L36" s="171" t="s">
        <v>288</v>
      </c>
      <c r="M36" s="171" t="s">
        <v>289</v>
      </c>
      <c r="N36" s="195" t="s">
        <v>290</v>
      </c>
      <c r="O36" s="171" t="s">
        <v>291</v>
      </c>
      <c r="P36" s="171" t="s">
        <v>292</v>
      </c>
      <c r="Q36" s="171" t="s">
        <v>293</v>
      </c>
      <c r="R36" s="198" t="s">
        <v>294</v>
      </c>
      <c r="S36" s="195" t="s">
        <v>295</v>
      </c>
      <c r="T36" s="171" t="s">
        <v>296</v>
      </c>
      <c r="U36" s="171" t="s">
        <v>297</v>
      </c>
      <c r="V36" s="171" t="s">
        <v>298</v>
      </c>
      <c r="W36" s="198" t="s">
        <v>299</v>
      </c>
      <c r="Z36" s="204" t="s">
        <v>281</v>
      </c>
      <c r="AA36" s="205" t="s">
        <v>307</v>
      </c>
      <c r="AB36" s="205" t="s">
        <v>308</v>
      </c>
      <c r="AC36" s="171" t="s">
        <v>283</v>
      </c>
      <c r="AD36" s="171" t="s">
        <v>10</v>
      </c>
      <c r="AE36" s="171" t="s">
        <v>284</v>
      </c>
      <c r="AF36" s="205" t="s">
        <v>305</v>
      </c>
      <c r="AG36" s="914" t="str">
        <f>'Energy NPV'!U89</f>
        <v>Total Recurring Costs</v>
      </c>
      <c r="AH36" s="205" t="s">
        <v>309</v>
      </c>
      <c r="AI36" s="171" t="s">
        <v>287</v>
      </c>
      <c r="AJ36" s="171" t="s">
        <v>288</v>
      </c>
      <c r="AK36" s="171" t="s">
        <v>289</v>
      </c>
      <c r="AL36" s="195" t="s">
        <v>290</v>
      </c>
      <c r="AM36" s="171" t="s">
        <v>291</v>
      </c>
      <c r="AN36" s="171" t="s">
        <v>292</v>
      </c>
      <c r="AO36" s="171" t="s">
        <v>293</v>
      </c>
      <c r="AP36" s="198" t="s">
        <v>294</v>
      </c>
      <c r="AQ36" s="195" t="s">
        <v>295</v>
      </c>
      <c r="AR36" s="171" t="s">
        <v>296</v>
      </c>
      <c r="AS36" s="171" t="s">
        <v>297</v>
      </c>
      <c r="AT36" s="171" t="s">
        <v>298</v>
      </c>
      <c r="AU36" s="198" t="s">
        <v>299</v>
      </c>
      <c r="AX36" s="204" t="s">
        <v>281</v>
      </c>
      <c r="AY36" s="205" t="s">
        <v>307</v>
      </c>
      <c r="AZ36" s="205" t="s">
        <v>308</v>
      </c>
      <c r="BA36" s="171" t="s">
        <v>283</v>
      </c>
      <c r="BB36" s="171" t="s">
        <v>10</v>
      </c>
      <c r="BC36" s="171" t="s">
        <v>284</v>
      </c>
      <c r="BD36" s="205" t="s">
        <v>305</v>
      </c>
      <c r="BE36" s="914" t="str">
        <f>'Energy NPV'!U89</f>
        <v>Total Recurring Costs</v>
      </c>
      <c r="BF36" s="205" t="s">
        <v>309</v>
      </c>
      <c r="BG36" s="171" t="s">
        <v>287</v>
      </c>
      <c r="BH36" s="171" t="s">
        <v>288</v>
      </c>
      <c r="BI36" s="171" t="s">
        <v>289</v>
      </c>
      <c r="BJ36" s="195" t="s">
        <v>290</v>
      </c>
      <c r="BK36" s="171" t="s">
        <v>291</v>
      </c>
      <c r="BL36" s="171" t="s">
        <v>292</v>
      </c>
      <c r="BM36" s="171" t="s">
        <v>293</v>
      </c>
      <c r="BN36" s="198" t="s">
        <v>294</v>
      </c>
      <c r="BO36" s="195" t="s">
        <v>295</v>
      </c>
      <c r="BP36" s="171" t="s">
        <v>296</v>
      </c>
      <c r="BQ36" s="171" t="s">
        <v>297</v>
      </c>
      <c r="BR36" s="171" t="s">
        <v>298</v>
      </c>
      <c r="BS36" s="198" t="s">
        <v>299</v>
      </c>
      <c r="BV36" s="204" t="s">
        <v>281</v>
      </c>
      <c r="BW36" s="205" t="s">
        <v>307</v>
      </c>
      <c r="BX36" s="205" t="s">
        <v>308</v>
      </c>
      <c r="BY36" s="171" t="s">
        <v>283</v>
      </c>
      <c r="BZ36" s="171" t="s">
        <v>10</v>
      </c>
      <c r="CA36" s="171" t="s">
        <v>284</v>
      </c>
      <c r="CB36" s="205" t="s">
        <v>305</v>
      </c>
      <c r="CC36" s="914" t="str">
        <f>'Energy NPV'!U89</f>
        <v>Total Recurring Costs</v>
      </c>
      <c r="CD36" s="205" t="s">
        <v>309</v>
      </c>
      <c r="CE36" s="171" t="s">
        <v>287</v>
      </c>
      <c r="CF36" s="171" t="s">
        <v>288</v>
      </c>
      <c r="CG36" s="171" t="s">
        <v>289</v>
      </c>
      <c r="CH36" s="195" t="s">
        <v>290</v>
      </c>
      <c r="CI36" s="171" t="s">
        <v>291</v>
      </c>
      <c r="CJ36" s="171" t="s">
        <v>292</v>
      </c>
      <c r="CK36" s="171" t="s">
        <v>293</v>
      </c>
      <c r="CL36" s="198" t="s">
        <v>294</v>
      </c>
      <c r="CM36" s="195" t="s">
        <v>295</v>
      </c>
      <c r="CN36" s="171" t="s">
        <v>296</v>
      </c>
      <c r="CO36" s="171" t="s">
        <v>297</v>
      </c>
      <c r="CP36" s="171" t="s">
        <v>298</v>
      </c>
      <c r="CQ36" s="198" t="s">
        <v>299</v>
      </c>
      <c r="CT36" s="204" t="s">
        <v>281</v>
      </c>
      <c r="CU36" s="205" t="s">
        <v>307</v>
      </c>
      <c r="CV36" s="205" t="s">
        <v>308</v>
      </c>
      <c r="CW36" s="171" t="s">
        <v>283</v>
      </c>
      <c r="CX36" s="171" t="s">
        <v>10</v>
      </c>
      <c r="CY36" s="171" t="s">
        <v>284</v>
      </c>
      <c r="CZ36" s="205" t="s">
        <v>305</v>
      </c>
      <c r="DA36" s="914" t="str">
        <f>'Energy NPV'!U89</f>
        <v>Total Recurring Costs</v>
      </c>
      <c r="DB36" s="205" t="s">
        <v>309</v>
      </c>
      <c r="DC36" s="171" t="s">
        <v>287</v>
      </c>
      <c r="DD36" s="171" t="s">
        <v>288</v>
      </c>
      <c r="DE36" s="171" t="s">
        <v>289</v>
      </c>
      <c r="DF36" s="195" t="s">
        <v>290</v>
      </c>
      <c r="DG36" s="171" t="s">
        <v>291</v>
      </c>
      <c r="DH36" s="171" t="s">
        <v>292</v>
      </c>
      <c r="DI36" s="171" t="s">
        <v>293</v>
      </c>
      <c r="DJ36" s="198" t="s">
        <v>294</v>
      </c>
      <c r="DK36" s="195" t="s">
        <v>295</v>
      </c>
      <c r="DL36" s="171" t="s">
        <v>296</v>
      </c>
      <c r="DM36" s="171" t="s">
        <v>297</v>
      </c>
      <c r="DN36" s="171" t="s">
        <v>298</v>
      </c>
      <c r="DO36" s="198" t="s">
        <v>299</v>
      </c>
    </row>
    <row r="37" spans="2:175" x14ac:dyDescent="0.3">
      <c r="B37" s="173"/>
      <c r="C37" s="226" t="s">
        <v>356</v>
      </c>
      <c r="D37" s="226" t="s">
        <v>476</v>
      </c>
      <c r="E37" s="201" t="s">
        <v>474</v>
      </c>
      <c r="F37" s="201" t="s">
        <v>474</v>
      </c>
      <c r="G37" s="201" t="s">
        <v>474</v>
      </c>
      <c r="H37" s="201" t="s">
        <v>474</v>
      </c>
      <c r="I37" s="948" t="str">
        <f>'Energy NPV'!U90</f>
        <v>(£ ha-1)</v>
      </c>
      <c r="J37" s="201" t="s">
        <v>474</v>
      </c>
      <c r="K37" s="201" t="s">
        <v>474</v>
      </c>
      <c r="L37" s="201" t="s">
        <v>474</v>
      </c>
      <c r="M37" s="202" t="s">
        <v>474</v>
      </c>
      <c r="N37" s="201" t="s">
        <v>474</v>
      </c>
      <c r="O37" s="201" t="s">
        <v>474</v>
      </c>
      <c r="P37" s="201" t="s">
        <v>474</v>
      </c>
      <c r="Q37" s="201" t="s">
        <v>474</v>
      </c>
      <c r="R37" s="202" t="s">
        <v>474</v>
      </c>
      <c r="S37" s="201" t="s">
        <v>474</v>
      </c>
      <c r="T37" s="201" t="s">
        <v>474</v>
      </c>
      <c r="U37" s="201" t="s">
        <v>474</v>
      </c>
      <c r="V37" s="201" t="s">
        <v>474</v>
      </c>
      <c r="W37" s="202" t="s">
        <v>474</v>
      </c>
      <c r="Z37" s="173"/>
      <c r="AA37" s="226" t="s">
        <v>356</v>
      </c>
      <c r="AB37" s="226" t="s">
        <v>476</v>
      </c>
      <c r="AC37" s="201" t="s">
        <v>474</v>
      </c>
      <c r="AD37" s="201" t="s">
        <v>474</v>
      </c>
      <c r="AE37" s="201" t="s">
        <v>474</v>
      </c>
      <c r="AF37" s="201" t="s">
        <v>474</v>
      </c>
      <c r="AG37" s="948" t="str">
        <f>'Energy NPV'!U90</f>
        <v>(£ ha-1)</v>
      </c>
      <c r="AH37" s="201" t="s">
        <v>474</v>
      </c>
      <c r="AI37" s="201" t="s">
        <v>474</v>
      </c>
      <c r="AJ37" s="201" t="s">
        <v>474</v>
      </c>
      <c r="AK37" s="202" t="s">
        <v>474</v>
      </c>
      <c r="AL37" s="201" t="s">
        <v>474</v>
      </c>
      <c r="AM37" s="201" t="s">
        <v>474</v>
      </c>
      <c r="AN37" s="201" t="s">
        <v>474</v>
      </c>
      <c r="AO37" s="201" t="s">
        <v>474</v>
      </c>
      <c r="AP37" s="202" t="s">
        <v>474</v>
      </c>
      <c r="AQ37" s="201" t="s">
        <v>474</v>
      </c>
      <c r="AR37" s="201" t="s">
        <v>474</v>
      </c>
      <c r="AS37" s="201" t="s">
        <v>474</v>
      </c>
      <c r="AT37" s="201" t="s">
        <v>474</v>
      </c>
      <c r="AU37" s="202" t="s">
        <v>474</v>
      </c>
      <c r="AX37" s="173"/>
      <c r="AY37" s="226" t="s">
        <v>356</v>
      </c>
      <c r="AZ37" s="226" t="s">
        <v>476</v>
      </c>
      <c r="BA37" s="201" t="s">
        <v>474</v>
      </c>
      <c r="BB37" s="201" t="s">
        <v>474</v>
      </c>
      <c r="BC37" s="201" t="s">
        <v>474</v>
      </c>
      <c r="BD37" s="201" t="s">
        <v>474</v>
      </c>
      <c r="BE37" s="948" t="str">
        <f>'Energy NPV'!U90</f>
        <v>(£ ha-1)</v>
      </c>
      <c r="BF37" s="201" t="s">
        <v>474</v>
      </c>
      <c r="BG37" s="201" t="s">
        <v>474</v>
      </c>
      <c r="BH37" s="201" t="s">
        <v>474</v>
      </c>
      <c r="BI37" s="202" t="s">
        <v>474</v>
      </c>
      <c r="BJ37" s="201" t="s">
        <v>474</v>
      </c>
      <c r="BK37" s="201" t="s">
        <v>474</v>
      </c>
      <c r="BL37" s="201" t="s">
        <v>474</v>
      </c>
      <c r="BM37" s="201" t="s">
        <v>474</v>
      </c>
      <c r="BN37" s="202" t="s">
        <v>474</v>
      </c>
      <c r="BO37" s="201" t="s">
        <v>474</v>
      </c>
      <c r="BP37" s="201" t="s">
        <v>474</v>
      </c>
      <c r="BQ37" s="201" t="s">
        <v>474</v>
      </c>
      <c r="BR37" s="201" t="s">
        <v>474</v>
      </c>
      <c r="BS37" s="202" t="s">
        <v>474</v>
      </c>
      <c r="BV37" s="173"/>
      <c r="BW37" s="226" t="s">
        <v>356</v>
      </c>
      <c r="BX37" s="226" t="s">
        <v>476</v>
      </c>
      <c r="BY37" s="201" t="s">
        <v>474</v>
      </c>
      <c r="BZ37" s="201" t="s">
        <v>474</v>
      </c>
      <c r="CA37" s="201" t="s">
        <v>474</v>
      </c>
      <c r="CB37" s="201" t="s">
        <v>474</v>
      </c>
      <c r="CC37" s="948" t="str">
        <f>'Energy NPV'!U90</f>
        <v>(£ ha-1)</v>
      </c>
      <c r="CD37" s="201" t="s">
        <v>474</v>
      </c>
      <c r="CE37" s="201" t="s">
        <v>474</v>
      </c>
      <c r="CF37" s="201" t="s">
        <v>474</v>
      </c>
      <c r="CG37" s="202" t="s">
        <v>474</v>
      </c>
      <c r="CH37" s="201" t="s">
        <v>474</v>
      </c>
      <c r="CI37" s="201" t="s">
        <v>474</v>
      </c>
      <c r="CJ37" s="201" t="s">
        <v>474</v>
      </c>
      <c r="CK37" s="201" t="s">
        <v>474</v>
      </c>
      <c r="CL37" s="202" t="s">
        <v>474</v>
      </c>
      <c r="CM37" s="201" t="s">
        <v>474</v>
      </c>
      <c r="CN37" s="201" t="s">
        <v>474</v>
      </c>
      <c r="CO37" s="201" t="s">
        <v>474</v>
      </c>
      <c r="CP37" s="201" t="s">
        <v>474</v>
      </c>
      <c r="CQ37" s="202" t="s">
        <v>474</v>
      </c>
      <c r="CT37" s="173"/>
      <c r="CU37" s="226" t="s">
        <v>356</v>
      </c>
      <c r="CV37" s="226" t="s">
        <v>476</v>
      </c>
      <c r="CW37" s="201" t="s">
        <v>474</v>
      </c>
      <c r="CX37" s="201" t="s">
        <v>474</v>
      </c>
      <c r="CY37" s="201" t="s">
        <v>474</v>
      </c>
      <c r="CZ37" s="201" t="s">
        <v>474</v>
      </c>
      <c r="DA37" s="948" t="str">
        <f>'Energy NPV'!U90</f>
        <v>(£ ha-1)</v>
      </c>
      <c r="DB37" s="201" t="s">
        <v>474</v>
      </c>
      <c r="DC37" s="201" t="s">
        <v>474</v>
      </c>
      <c r="DD37" s="201" t="s">
        <v>474</v>
      </c>
      <c r="DE37" s="202" t="s">
        <v>474</v>
      </c>
      <c r="DF37" s="201" t="s">
        <v>474</v>
      </c>
      <c r="DG37" s="201" t="s">
        <v>474</v>
      </c>
      <c r="DH37" s="201" t="s">
        <v>474</v>
      </c>
      <c r="DI37" s="201" t="s">
        <v>474</v>
      </c>
      <c r="DJ37" s="202" t="s">
        <v>474</v>
      </c>
      <c r="DK37" s="201" t="s">
        <v>474</v>
      </c>
      <c r="DL37" s="201" t="s">
        <v>474</v>
      </c>
      <c r="DM37" s="201" t="s">
        <v>474</v>
      </c>
      <c r="DN37" s="201" t="s">
        <v>474</v>
      </c>
      <c r="DO37" s="202" t="s">
        <v>474</v>
      </c>
    </row>
    <row r="38" spans="2:175" x14ac:dyDescent="0.3">
      <c r="B38" s="204">
        <v>1</v>
      </c>
      <c r="C38" s="225">
        <f>'Energy NPV'!$D91*$E$34</f>
        <v>0</v>
      </c>
      <c r="D38" s="197">
        <f>'Energy margins'!$Z$12</f>
        <v>55</v>
      </c>
      <c r="E38" s="197">
        <f>C38*D38</f>
        <v>0</v>
      </c>
      <c r="F38" s="197">
        <f>'Margins summary'!$W$14</f>
        <v>220</v>
      </c>
      <c r="G38" s="197">
        <f>E38+F38</f>
        <v>220</v>
      </c>
      <c r="H38" s="197">
        <f>'Margins summary'!$V$20</f>
        <v>1992.2819999999999</v>
      </c>
      <c r="I38" s="897">
        <f>'Energy NPV'!U91</f>
        <v>0</v>
      </c>
      <c r="J38" s="197"/>
      <c r="K38" s="197">
        <f t="shared" ref="K38:K53" si="78">H38+I38+J38</f>
        <v>1992.2819999999999</v>
      </c>
      <c r="L38" s="197">
        <f t="shared" ref="L38:L53" si="79">E38-K38</f>
        <v>-1992.2819999999999</v>
      </c>
      <c r="M38" s="197">
        <f t="shared" ref="M38:M53" si="80">G38-K38</f>
        <v>-1772.2819999999999</v>
      </c>
      <c r="N38" s="1016">
        <f>E38/((1+$B$4)^($B38-1))</f>
        <v>0</v>
      </c>
      <c r="O38" s="213">
        <f>F38/((1+$B$4)^($B38-1))</f>
        <v>220</v>
      </c>
      <c r="P38" s="213">
        <f>K38/((1+$B$4)^($B38-1))</f>
        <v>1992.2819999999999</v>
      </c>
      <c r="Q38" s="213">
        <f>L38/((1+$B$4)^($B38-1))</f>
        <v>-1992.2819999999999</v>
      </c>
      <c r="R38" s="908">
        <f>M38/((1+$B$4)^($B38-1))</f>
        <v>-1772.2819999999999</v>
      </c>
      <c r="S38" s="196">
        <f>N38</f>
        <v>0</v>
      </c>
      <c r="T38" s="197">
        <f>O38</f>
        <v>220</v>
      </c>
      <c r="U38" s="197">
        <f>P38</f>
        <v>1992.2819999999999</v>
      </c>
      <c r="V38" s="197">
        <f>Q38</f>
        <v>-1992.2819999999999</v>
      </c>
      <c r="W38" s="199">
        <f>R38</f>
        <v>-1772.2819999999999</v>
      </c>
      <c r="Z38" s="204">
        <v>1</v>
      </c>
      <c r="AA38" s="197">
        <f>'Energy NPV'!$D91*$AB$34</f>
        <v>0</v>
      </c>
      <c r="AB38" s="197">
        <f>'Energy margins'!$Z$12</f>
        <v>55</v>
      </c>
      <c r="AC38" s="197">
        <f>AA38*AB38</f>
        <v>0</v>
      </c>
      <c r="AD38" s="197">
        <f>'Margins summary'!$W$14</f>
        <v>220</v>
      </c>
      <c r="AE38" s="197">
        <f>AC38+AD38</f>
        <v>220</v>
      </c>
      <c r="AF38" s="197">
        <f>'Margins summary'!$V$20</f>
        <v>1992.2819999999999</v>
      </c>
      <c r="AG38" s="897">
        <f>'Energy NPV'!U91</f>
        <v>0</v>
      </c>
      <c r="AH38" s="197"/>
      <c r="AI38" s="197">
        <f t="shared" ref="AI38:AI53" si="81">AF38+AG38+AH38</f>
        <v>1992.2819999999999</v>
      </c>
      <c r="AJ38" s="197">
        <f t="shared" ref="AJ38:AJ53" si="82">AC38-AI38</f>
        <v>-1992.2819999999999</v>
      </c>
      <c r="AK38" s="197">
        <f t="shared" ref="AK38:AK53" si="83">AE38-AI38</f>
        <v>-1772.2819999999999</v>
      </c>
      <c r="AL38" s="1016">
        <f>AC38/((1+$B$4)^($B38-1))</f>
        <v>0</v>
      </c>
      <c r="AM38" s="213">
        <f>AD38/((1+$B$4)^($B38-1))</f>
        <v>220</v>
      </c>
      <c r="AN38" s="213">
        <f>AI38/((1+$B$4)^($B38-1))</f>
        <v>1992.2819999999999</v>
      </c>
      <c r="AO38" s="213">
        <f>AJ38/((1+$B$4)^($B38-1))</f>
        <v>-1992.2819999999999</v>
      </c>
      <c r="AP38" s="908">
        <f>AK38/((1+$B$4)^($B38-1))</f>
        <v>-1772.2819999999999</v>
      </c>
      <c r="AQ38" s="196">
        <f>AL38</f>
        <v>0</v>
      </c>
      <c r="AR38" s="197">
        <f>AM38</f>
        <v>220</v>
      </c>
      <c r="AS38" s="197">
        <f>AN38</f>
        <v>1992.2819999999999</v>
      </c>
      <c r="AT38" s="197">
        <f>AO38</f>
        <v>-1992.2819999999999</v>
      </c>
      <c r="AU38" s="199">
        <f>AP38</f>
        <v>-1772.2819999999999</v>
      </c>
      <c r="AX38" s="204">
        <v>1</v>
      </c>
      <c r="AY38" s="197">
        <f>'Energy NPV'!$D91*$AZ$34</f>
        <v>0</v>
      </c>
      <c r="AZ38" s="197">
        <f>'Energy margins'!$Z$12</f>
        <v>55</v>
      </c>
      <c r="BA38" s="197">
        <f>AY38*AZ38</f>
        <v>0</v>
      </c>
      <c r="BB38" s="197">
        <f>'Margins summary'!$W$14</f>
        <v>220</v>
      </c>
      <c r="BC38" s="197">
        <f>BA38+BB38</f>
        <v>220</v>
      </c>
      <c r="BD38" s="197">
        <f>'Margins summary'!$V$20</f>
        <v>1992.2819999999999</v>
      </c>
      <c r="BE38" s="897">
        <f>'Energy NPV'!U91</f>
        <v>0</v>
      </c>
      <c r="BF38" s="197"/>
      <c r="BG38" s="197">
        <f t="shared" ref="BG38:BG53" si="84">BD38+BE38+BF38</f>
        <v>1992.2819999999999</v>
      </c>
      <c r="BH38" s="197">
        <f t="shared" ref="BH38:BH53" si="85">BA38-BG38</f>
        <v>-1992.2819999999999</v>
      </c>
      <c r="BI38" s="197">
        <f t="shared" ref="BI38:BI53" si="86">BC38-BG38</f>
        <v>-1772.2819999999999</v>
      </c>
      <c r="BJ38" s="1016">
        <f>BA38/((1+$B$4)^($B38-1))</f>
        <v>0</v>
      </c>
      <c r="BK38" s="213">
        <f>BB38/((1+$B$4)^($B38-1))</f>
        <v>220</v>
      </c>
      <c r="BL38" s="213">
        <f>BG38/((1+$B$4)^($B38-1))</f>
        <v>1992.2819999999999</v>
      </c>
      <c r="BM38" s="213">
        <f>BH38/((1+$B$4)^($B38-1))</f>
        <v>-1992.2819999999999</v>
      </c>
      <c r="BN38" s="908">
        <f>BI38/((1+$B$4)^($B38-1))</f>
        <v>-1772.2819999999999</v>
      </c>
      <c r="BO38" s="196">
        <f>BJ38</f>
        <v>0</v>
      </c>
      <c r="BP38" s="197">
        <f>BK38</f>
        <v>220</v>
      </c>
      <c r="BQ38" s="197">
        <f>BL38</f>
        <v>1992.2819999999999</v>
      </c>
      <c r="BR38" s="197">
        <f>BM38</f>
        <v>-1992.2819999999999</v>
      </c>
      <c r="BS38" s="199">
        <f>BN38</f>
        <v>-1772.2819999999999</v>
      </c>
      <c r="BV38" s="204">
        <v>1</v>
      </c>
      <c r="BW38" s="197">
        <f>'Energy NPV'!$D91*$BX$34</f>
        <v>0</v>
      </c>
      <c r="BX38" s="197">
        <f>'Energy margins'!$Z$12</f>
        <v>55</v>
      </c>
      <c r="BY38" s="197">
        <f>BW38*BX38</f>
        <v>0</v>
      </c>
      <c r="BZ38" s="197">
        <f>'Margins summary'!$W$14</f>
        <v>220</v>
      </c>
      <c r="CA38" s="197">
        <f>BY38+BZ38</f>
        <v>220</v>
      </c>
      <c r="CB38" s="197">
        <f>'Margins summary'!$V$20</f>
        <v>1992.2819999999999</v>
      </c>
      <c r="CC38" s="897">
        <f>'Energy NPV'!U91</f>
        <v>0</v>
      </c>
      <c r="CD38" s="197"/>
      <c r="CE38" s="197">
        <f t="shared" ref="CE38:CE53" si="87">CB38+CC38+CD38</f>
        <v>1992.2819999999999</v>
      </c>
      <c r="CF38" s="197">
        <f t="shared" ref="CF38:CF53" si="88">BY38-CE38</f>
        <v>-1992.2819999999999</v>
      </c>
      <c r="CG38" s="197">
        <f t="shared" ref="CG38:CG53" si="89">CA38-CE38</f>
        <v>-1772.2819999999999</v>
      </c>
      <c r="CH38" s="1016">
        <f>BY38/((1+$B$4)^($B38-1))</f>
        <v>0</v>
      </c>
      <c r="CI38" s="213">
        <f>BZ38/((1+$B$4)^($B38-1))</f>
        <v>220</v>
      </c>
      <c r="CJ38" s="213">
        <f>CE38/((1+$B$4)^($B38-1))</f>
        <v>1992.2819999999999</v>
      </c>
      <c r="CK38" s="213">
        <f>CF38/((1+$B$4)^($B38-1))</f>
        <v>-1992.2819999999999</v>
      </c>
      <c r="CL38" s="908">
        <f>CG38/((1+$B$4)^($B38-1))</f>
        <v>-1772.2819999999999</v>
      </c>
      <c r="CM38" s="196">
        <f>CH38</f>
        <v>0</v>
      </c>
      <c r="CN38" s="197">
        <f>CI38</f>
        <v>220</v>
      </c>
      <c r="CO38" s="197">
        <f>CJ38</f>
        <v>1992.2819999999999</v>
      </c>
      <c r="CP38" s="197">
        <f>CK38</f>
        <v>-1992.2819999999999</v>
      </c>
      <c r="CQ38" s="199">
        <f>CL38</f>
        <v>-1772.2819999999999</v>
      </c>
      <c r="CT38" s="204">
        <v>1</v>
      </c>
      <c r="CU38" s="197">
        <f>'Energy NPV'!$D91*$CV$34</f>
        <v>0</v>
      </c>
      <c r="CV38" s="197">
        <f>'Energy margins'!$Z$12</f>
        <v>55</v>
      </c>
      <c r="CW38" s="197">
        <f>CU38*CV38</f>
        <v>0</v>
      </c>
      <c r="CX38" s="197">
        <f>'Margins summary'!$W$14</f>
        <v>220</v>
      </c>
      <c r="CY38" s="197">
        <f>CW38+CX38</f>
        <v>220</v>
      </c>
      <c r="CZ38" s="197">
        <f>'Margins summary'!$V$20</f>
        <v>1992.2819999999999</v>
      </c>
      <c r="DA38" s="897">
        <f>'Energy NPV'!U91</f>
        <v>0</v>
      </c>
      <c r="DB38" s="197"/>
      <c r="DC38" s="197">
        <f t="shared" ref="DC38:DC53" si="90">CZ38+DA38+DB38</f>
        <v>1992.2819999999999</v>
      </c>
      <c r="DD38" s="197">
        <f t="shared" ref="DD38:DD53" si="91">CW38-DC38</f>
        <v>-1992.2819999999999</v>
      </c>
      <c r="DE38" s="197">
        <f t="shared" ref="DE38:DE53" si="92">CY38-DC38</f>
        <v>-1772.2819999999999</v>
      </c>
      <c r="DF38" s="1016">
        <f>CW38/((1+$B$4)^($B38-1))</f>
        <v>0</v>
      </c>
      <c r="DG38" s="213">
        <f>CX38/((1+$B$4)^($B38-1))</f>
        <v>220</v>
      </c>
      <c r="DH38" s="213">
        <f>DC38/((1+$B$4)^($B38-1))</f>
        <v>1992.2819999999999</v>
      </c>
      <c r="DI38" s="213">
        <f>DD38/((1+$B$4)^($B38-1))</f>
        <v>-1992.2819999999999</v>
      </c>
      <c r="DJ38" s="908">
        <f>DE38/((1+$B$4)^($B38-1))</f>
        <v>-1772.2819999999999</v>
      </c>
      <c r="DK38" s="196">
        <f>DF38</f>
        <v>0</v>
      </c>
      <c r="DL38" s="197">
        <f>DG38</f>
        <v>220</v>
      </c>
      <c r="DM38" s="197">
        <f>DH38</f>
        <v>1992.2819999999999</v>
      </c>
      <c r="DN38" s="197">
        <f>DI38</f>
        <v>-1992.2819999999999</v>
      </c>
      <c r="DO38" s="199">
        <f>DJ38</f>
        <v>-1772.2819999999999</v>
      </c>
    </row>
    <row r="39" spans="2:175" x14ac:dyDescent="0.3">
      <c r="B39" s="204">
        <v>2</v>
      </c>
      <c r="C39" s="979">
        <f>'Energy NPV'!$D92*$E$34</f>
        <v>9.9333333333333336</v>
      </c>
      <c r="D39" s="197">
        <f>'Energy margins'!$Z$12</f>
        <v>55</v>
      </c>
      <c r="E39" s="197">
        <f>C39*D39</f>
        <v>546.33333333333337</v>
      </c>
      <c r="F39" s="197">
        <f>'Margins summary'!$W$14</f>
        <v>220</v>
      </c>
      <c r="G39" s="197">
        <f t="shared" ref="G39:G53" si="93">E39+F39</f>
        <v>766.33333333333337</v>
      </c>
      <c r="H39" s="197"/>
      <c r="I39" s="897">
        <f>'Energy NPV'!U92</f>
        <v>529.78199999999993</v>
      </c>
      <c r="J39" s="197"/>
      <c r="K39" s="197">
        <f t="shared" si="78"/>
        <v>529.78199999999993</v>
      </c>
      <c r="L39" s="197">
        <f t="shared" si="79"/>
        <v>16.551333333333446</v>
      </c>
      <c r="M39" s="197">
        <f t="shared" si="80"/>
        <v>236.55133333333345</v>
      </c>
      <c r="N39" s="196">
        <f t="shared" ref="N39:O53" si="94">E39/((1+$B$4)^($B39-1))</f>
        <v>525.32051282051282</v>
      </c>
      <c r="O39" s="197">
        <f t="shared" si="94"/>
        <v>211.53846153846152</v>
      </c>
      <c r="P39" s="197">
        <f t="shared" ref="P39:R53" si="95">K39/((1+$B$4)^($B39-1))</f>
        <v>509.40576923076912</v>
      </c>
      <c r="Q39" s="197">
        <f t="shared" si="95"/>
        <v>15.914743589743697</v>
      </c>
      <c r="R39" s="199">
        <f t="shared" si="95"/>
        <v>227.45320512820524</v>
      </c>
      <c r="S39" s="196">
        <f>S38+N39</f>
        <v>525.32051282051282</v>
      </c>
      <c r="T39" s="197">
        <f t="shared" ref="T39:W53" si="96">T38+O39</f>
        <v>431.53846153846155</v>
      </c>
      <c r="U39" s="197">
        <f t="shared" si="96"/>
        <v>2501.6877692307689</v>
      </c>
      <c r="V39" s="197">
        <f t="shared" si="96"/>
        <v>-1976.3672564102562</v>
      </c>
      <c r="W39" s="199">
        <f t="shared" si="96"/>
        <v>-1544.8287948717948</v>
      </c>
      <c r="Z39" s="204">
        <v>2</v>
      </c>
      <c r="AA39" s="197">
        <f>'Energy NPV'!$D92*$AB$34</f>
        <v>14.9</v>
      </c>
      <c r="AB39" s="197">
        <f>'Energy margins'!$Z$12</f>
        <v>55</v>
      </c>
      <c r="AC39" s="197">
        <f>AA39*AB39</f>
        <v>819.5</v>
      </c>
      <c r="AD39" s="197">
        <f>'Margins summary'!$W$14</f>
        <v>220</v>
      </c>
      <c r="AE39" s="197">
        <f t="shared" ref="AE39:AE53" si="97">AC39+AD39</f>
        <v>1039.5</v>
      </c>
      <c r="AF39" s="197"/>
      <c r="AG39" s="897">
        <f>'Energy NPV'!U92</f>
        <v>529.78199999999993</v>
      </c>
      <c r="AH39" s="197"/>
      <c r="AI39" s="197">
        <f t="shared" si="81"/>
        <v>529.78199999999993</v>
      </c>
      <c r="AJ39" s="197">
        <f t="shared" si="82"/>
        <v>289.71800000000007</v>
      </c>
      <c r="AK39" s="197">
        <f t="shared" si="83"/>
        <v>509.71800000000007</v>
      </c>
      <c r="AL39" s="196">
        <f t="shared" ref="AL39:AM53" si="98">AC39/((1+$B$4)^($B39-1))</f>
        <v>787.98076923076917</v>
      </c>
      <c r="AM39" s="197">
        <f t="shared" si="98"/>
        <v>211.53846153846152</v>
      </c>
      <c r="AN39" s="197">
        <f t="shared" ref="AN39:AP53" si="99">AI39/((1+$B$4)^($B39-1))</f>
        <v>509.40576923076912</v>
      </c>
      <c r="AO39" s="197">
        <f t="shared" si="99"/>
        <v>278.57500000000005</v>
      </c>
      <c r="AP39" s="199">
        <f t="shared" si="99"/>
        <v>490.11346153846159</v>
      </c>
      <c r="AQ39" s="196">
        <f>AQ38+AL39</f>
        <v>787.98076923076917</v>
      </c>
      <c r="AR39" s="197">
        <f t="shared" ref="AR39:AU53" si="100">AR38+AM39</f>
        <v>431.53846153846155</v>
      </c>
      <c r="AS39" s="197">
        <f t="shared" si="100"/>
        <v>2501.6877692307689</v>
      </c>
      <c r="AT39" s="197">
        <f t="shared" si="100"/>
        <v>-1713.7069999999999</v>
      </c>
      <c r="AU39" s="199">
        <f t="shared" si="100"/>
        <v>-1282.1685384615384</v>
      </c>
      <c r="AX39" s="204">
        <v>2</v>
      </c>
      <c r="AY39" s="197">
        <f>'Energy NPV'!$D92*$AZ$34</f>
        <v>4.9666666666666668</v>
      </c>
      <c r="AZ39" s="197">
        <f>'Energy margins'!$Z$12</f>
        <v>55</v>
      </c>
      <c r="BA39" s="197">
        <f>AY39*AZ39</f>
        <v>273.16666666666669</v>
      </c>
      <c r="BB39" s="197">
        <f>'Margins summary'!$W$14</f>
        <v>220</v>
      </c>
      <c r="BC39" s="197">
        <f t="shared" ref="BC39:BC53" si="101">BA39+BB39</f>
        <v>493.16666666666669</v>
      </c>
      <c r="BD39" s="197"/>
      <c r="BE39" s="897">
        <f>'Energy NPV'!U92</f>
        <v>529.78199999999993</v>
      </c>
      <c r="BF39" s="197"/>
      <c r="BG39" s="197">
        <f t="shared" si="84"/>
        <v>529.78199999999993</v>
      </c>
      <c r="BH39" s="197">
        <f t="shared" si="85"/>
        <v>-256.61533333333324</v>
      </c>
      <c r="BI39" s="197">
        <f t="shared" si="86"/>
        <v>-36.61533333333324</v>
      </c>
      <c r="BJ39" s="196">
        <f t="shared" ref="BJ39:BK53" si="102">BA39/((1+$B$4)^($B39-1))</f>
        <v>262.66025641025641</v>
      </c>
      <c r="BK39" s="197">
        <f t="shared" si="102"/>
        <v>211.53846153846152</v>
      </c>
      <c r="BL39" s="197">
        <f t="shared" ref="BL39:BN53" si="103">BG39/((1+$B$4)^($B39-1))</f>
        <v>509.40576923076912</v>
      </c>
      <c r="BM39" s="197">
        <f t="shared" si="103"/>
        <v>-246.74551282051272</v>
      </c>
      <c r="BN39" s="199">
        <f t="shared" si="103"/>
        <v>-35.207051282051189</v>
      </c>
      <c r="BO39" s="196">
        <f>BO38+BJ39</f>
        <v>262.66025641025641</v>
      </c>
      <c r="BP39" s="197">
        <f t="shared" ref="BP39:BP53" si="104">BP38+BK39</f>
        <v>431.53846153846155</v>
      </c>
      <c r="BQ39" s="197">
        <f t="shared" ref="BQ39:BQ53" si="105">BQ38+BL39</f>
        <v>2501.6877692307689</v>
      </c>
      <c r="BR39" s="197">
        <f t="shared" ref="BR39:BR53" si="106">BR38+BM39</f>
        <v>-2239.0275128205126</v>
      </c>
      <c r="BS39" s="199">
        <f t="shared" ref="BS39:BS53" si="107">BS38+BN39</f>
        <v>-1807.4890512820512</v>
      </c>
      <c r="BV39" s="204">
        <v>2</v>
      </c>
      <c r="BW39" s="197">
        <f>'Energy NPV'!$D92*$BX$34</f>
        <v>19.866666666666667</v>
      </c>
      <c r="BX39" s="197">
        <f>'Energy margins'!$Z$12</f>
        <v>55</v>
      </c>
      <c r="BY39" s="197">
        <f>BW39*BX39</f>
        <v>1092.6666666666667</v>
      </c>
      <c r="BZ39" s="197">
        <f>'Margins summary'!$W$14</f>
        <v>220</v>
      </c>
      <c r="CA39" s="197">
        <f t="shared" ref="CA39:CA53" si="108">BY39+BZ39</f>
        <v>1312.6666666666667</v>
      </c>
      <c r="CB39" s="197"/>
      <c r="CC39" s="897">
        <f>'Energy NPV'!U92</f>
        <v>529.78199999999993</v>
      </c>
      <c r="CD39" s="197"/>
      <c r="CE39" s="197">
        <f t="shared" si="87"/>
        <v>529.78199999999993</v>
      </c>
      <c r="CF39" s="197">
        <f t="shared" si="88"/>
        <v>562.88466666666682</v>
      </c>
      <c r="CG39" s="197">
        <f t="shared" si="89"/>
        <v>782.88466666666682</v>
      </c>
      <c r="CH39" s="196">
        <f t="shared" ref="CH39:CI53" si="109">BY39/((1+$B$4)^($B39-1))</f>
        <v>1050.6410256410256</v>
      </c>
      <c r="CI39" s="197">
        <f t="shared" si="109"/>
        <v>211.53846153846152</v>
      </c>
      <c r="CJ39" s="197">
        <f t="shared" ref="CJ39:CL53" si="110">CE39/((1+$B$4)^($B39-1))</f>
        <v>509.40576923076912</v>
      </c>
      <c r="CK39" s="197">
        <f t="shared" si="110"/>
        <v>541.23525641025651</v>
      </c>
      <c r="CL39" s="199">
        <f t="shared" si="110"/>
        <v>752.77371794871806</v>
      </c>
      <c r="CM39" s="196">
        <f>CM38+CH39</f>
        <v>1050.6410256410256</v>
      </c>
      <c r="CN39" s="197">
        <f t="shared" ref="CN39:CN53" si="111">CN38+CI39</f>
        <v>431.53846153846155</v>
      </c>
      <c r="CO39" s="197">
        <f t="shared" ref="CO39:CO53" si="112">CO38+CJ39</f>
        <v>2501.6877692307689</v>
      </c>
      <c r="CP39" s="197">
        <f t="shared" ref="CP39:CP53" si="113">CP38+CK39</f>
        <v>-1451.0467435897435</v>
      </c>
      <c r="CQ39" s="199">
        <f t="shared" ref="CQ39:CQ53" si="114">CQ38+CL39</f>
        <v>-1019.5082820512819</v>
      </c>
      <c r="CT39" s="204">
        <v>2</v>
      </c>
      <c r="CU39" s="197">
        <f>'Energy NPV'!$D92*$CV$34</f>
        <v>0</v>
      </c>
      <c r="CV39" s="197">
        <f>'Energy margins'!$Z$12</f>
        <v>55</v>
      </c>
      <c r="CW39" s="197">
        <f>CU39*CV39</f>
        <v>0</v>
      </c>
      <c r="CX39" s="197">
        <f>'Margins summary'!$W$14</f>
        <v>220</v>
      </c>
      <c r="CY39" s="197">
        <f t="shared" ref="CY39:CY53" si="115">CW39+CX39</f>
        <v>220</v>
      </c>
      <c r="CZ39" s="197"/>
      <c r="DA39" s="897">
        <f>'Energy NPV'!U92</f>
        <v>529.78199999999993</v>
      </c>
      <c r="DB39" s="197"/>
      <c r="DC39" s="197">
        <f t="shared" si="90"/>
        <v>529.78199999999993</v>
      </c>
      <c r="DD39" s="197">
        <f t="shared" si="91"/>
        <v>-529.78199999999993</v>
      </c>
      <c r="DE39" s="197">
        <f t="shared" si="92"/>
        <v>-309.78199999999993</v>
      </c>
      <c r="DF39" s="196">
        <f t="shared" ref="DF39:DG53" si="116">CW39/((1+$B$4)^($B39-1))</f>
        <v>0</v>
      </c>
      <c r="DG39" s="197">
        <f t="shared" si="116"/>
        <v>211.53846153846152</v>
      </c>
      <c r="DH39" s="197">
        <f t="shared" ref="DH39:DJ53" si="117">DC39/((1+$B$4)^($B39-1))</f>
        <v>509.40576923076912</v>
      </c>
      <c r="DI39" s="197">
        <f t="shared" si="117"/>
        <v>-509.40576923076912</v>
      </c>
      <c r="DJ39" s="199">
        <f t="shared" si="117"/>
        <v>-297.86730769230763</v>
      </c>
      <c r="DK39" s="196">
        <f>DK38+DF39</f>
        <v>0</v>
      </c>
      <c r="DL39" s="197">
        <f t="shared" ref="DL39:DL53" si="118">DL38+DG39</f>
        <v>431.53846153846155</v>
      </c>
      <c r="DM39" s="197">
        <f t="shared" ref="DM39:DM53" si="119">DM38+DH39</f>
        <v>2501.6877692307689</v>
      </c>
      <c r="DN39" s="197">
        <f t="shared" ref="DN39:DN53" si="120">DN38+DI39</f>
        <v>-2501.6877692307689</v>
      </c>
      <c r="DO39" s="199">
        <f t="shared" ref="DO39:DO53" si="121">DO38+DJ39</f>
        <v>-2070.1493076923075</v>
      </c>
    </row>
    <row r="40" spans="2:175" x14ac:dyDescent="0.3">
      <c r="B40" s="204">
        <f t="shared" ref="B40:B53" si="122">B39+1</f>
        <v>3</v>
      </c>
      <c r="C40" s="225">
        <f>'Energy NPV'!$D93*$E$34</f>
        <v>14.700000000000001</v>
      </c>
      <c r="D40" s="197">
        <f>'Energy margins'!$Z$12</f>
        <v>55</v>
      </c>
      <c r="E40" s="197">
        <f t="shared" ref="E40:E53" si="123">C40*D40</f>
        <v>808.50000000000011</v>
      </c>
      <c r="F40" s="197">
        <f>'Margins summary'!$W$14</f>
        <v>220</v>
      </c>
      <c r="G40" s="197">
        <f t="shared" si="93"/>
        <v>1028.5</v>
      </c>
      <c r="H40" s="197"/>
      <c r="I40" s="897">
        <f>'Energy NPV'!U93</f>
        <v>529.78199999999993</v>
      </c>
      <c r="J40" s="197"/>
      <c r="K40" s="197">
        <f t="shared" si="78"/>
        <v>529.78199999999993</v>
      </c>
      <c r="L40" s="197">
        <f t="shared" si="79"/>
        <v>278.71800000000019</v>
      </c>
      <c r="M40" s="197">
        <f t="shared" si="80"/>
        <v>498.71800000000007</v>
      </c>
      <c r="N40" s="196">
        <f t="shared" si="94"/>
        <v>747.50369822485209</v>
      </c>
      <c r="O40" s="197">
        <f t="shared" si="94"/>
        <v>203.40236686390531</v>
      </c>
      <c r="P40" s="197">
        <f t="shared" si="95"/>
        <v>489.81323964497028</v>
      </c>
      <c r="Q40" s="197">
        <f t="shared" si="95"/>
        <v>257.69045857988181</v>
      </c>
      <c r="R40" s="199">
        <f t="shared" si="95"/>
        <v>461.09282544378698</v>
      </c>
      <c r="S40" s="196">
        <f t="shared" ref="S40:S53" si="124">S39+N40</f>
        <v>1272.8242110453648</v>
      </c>
      <c r="T40" s="197">
        <f t="shared" si="96"/>
        <v>634.94082840236683</v>
      </c>
      <c r="U40" s="197">
        <f t="shared" si="96"/>
        <v>2991.501008875739</v>
      </c>
      <c r="V40" s="197">
        <f t="shared" si="96"/>
        <v>-1718.6767978303744</v>
      </c>
      <c r="W40" s="199">
        <f t="shared" si="96"/>
        <v>-1083.7359694280078</v>
      </c>
      <c r="Z40" s="204">
        <f t="shared" ref="Z40:Z53" si="125">Z39+1</f>
        <v>3</v>
      </c>
      <c r="AA40" s="197">
        <f>'Energy NPV'!$D93*$AB$34</f>
        <v>22.05</v>
      </c>
      <c r="AB40" s="197">
        <f>'Energy margins'!$Z$12</f>
        <v>55</v>
      </c>
      <c r="AC40" s="197">
        <f t="shared" ref="AC40:AC53" si="126">AA40*AB40</f>
        <v>1212.75</v>
      </c>
      <c r="AD40" s="197">
        <f>'Margins summary'!$W$14</f>
        <v>220</v>
      </c>
      <c r="AE40" s="197">
        <f t="shared" si="97"/>
        <v>1432.75</v>
      </c>
      <c r="AF40" s="197"/>
      <c r="AG40" s="897">
        <f>'Energy NPV'!U93</f>
        <v>529.78199999999993</v>
      </c>
      <c r="AH40" s="197"/>
      <c r="AI40" s="197">
        <f t="shared" si="81"/>
        <v>529.78199999999993</v>
      </c>
      <c r="AJ40" s="197">
        <f t="shared" si="82"/>
        <v>682.96800000000007</v>
      </c>
      <c r="AK40" s="197">
        <f t="shared" si="83"/>
        <v>902.96800000000007</v>
      </c>
      <c r="AL40" s="196">
        <f t="shared" si="98"/>
        <v>1121.2555473372779</v>
      </c>
      <c r="AM40" s="197">
        <f t="shared" si="98"/>
        <v>203.40236686390531</v>
      </c>
      <c r="AN40" s="197">
        <f t="shared" si="99"/>
        <v>489.81323964497028</v>
      </c>
      <c r="AO40" s="197">
        <f t="shared" si="99"/>
        <v>631.44230769230774</v>
      </c>
      <c r="AP40" s="199">
        <f t="shared" si="99"/>
        <v>834.84467455621302</v>
      </c>
      <c r="AQ40" s="196">
        <f t="shared" ref="AQ40:AQ53" si="127">AQ39+AL40</f>
        <v>1909.2363165680472</v>
      </c>
      <c r="AR40" s="197">
        <f t="shared" si="100"/>
        <v>634.94082840236683</v>
      </c>
      <c r="AS40" s="197">
        <f t="shared" si="100"/>
        <v>2991.501008875739</v>
      </c>
      <c r="AT40" s="197">
        <f t="shared" si="100"/>
        <v>-1082.2646923076923</v>
      </c>
      <c r="AU40" s="199">
        <f t="shared" si="100"/>
        <v>-447.32386390532542</v>
      </c>
      <c r="AX40" s="204">
        <f t="shared" ref="AX40:AX53" si="128">AX39+1</f>
        <v>3</v>
      </c>
      <c r="AY40" s="197">
        <f>'Energy NPV'!$D93*$AZ$34</f>
        <v>7.3500000000000005</v>
      </c>
      <c r="AZ40" s="197">
        <f>'Energy margins'!$Z$12</f>
        <v>55</v>
      </c>
      <c r="BA40" s="197">
        <f t="shared" ref="BA40:BA53" si="129">AY40*AZ40</f>
        <v>404.25000000000006</v>
      </c>
      <c r="BB40" s="197">
        <f>'Margins summary'!$W$14</f>
        <v>220</v>
      </c>
      <c r="BC40" s="197">
        <f t="shared" si="101"/>
        <v>624.25</v>
      </c>
      <c r="BD40" s="197"/>
      <c r="BE40" s="897">
        <f>'Energy NPV'!U93</f>
        <v>529.78199999999993</v>
      </c>
      <c r="BF40" s="197"/>
      <c r="BG40" s="197">
        <f t="shared" si="84"/>
        <v>529.78199999999993</v>
      </c>
      <c r="BH40" s="197">
        <f t="shared" si="85"/>
        <v>-125.53199999999987</v>
      </c>
      <c r="BI40" s="197">
        <f t="shared" si="86"/>
        <v>94.468000000000075</v>
      </c>
      <c r="BJ40" s="196">
        <f t="shared" si="102"/>
        <v>373.75184911242604</v>
      </c>
      <c r="BK40" s="197">
        <f t="shared" si="102"/>
        <v>203.40236686390531</v>
      </c>
      <c r="BL40" s="197">
        <f t="shared" si="103"/>
        <v>489.81323964497028</v>
      </c>
      <c r="BM40" s="197">
        <f t="shared" si="103"/>
        <v>-116.06139053254425</v>
      </c>
      <c r="BN40" s="199">
        <f t="shared" si="103"/>
        <v>87.340976331361006</v>
      </c>
      <c r="BO40" s="196">
        <f t="shared" ref="BO40:BO53" si="130">BO39+BJ40</f>
        <v>636.4121055226824</v>
      </c>
      <c r="BP40" s="197">
        <f t="shared" si="104"/>
        <v>634.94082840236683</v>
      </c>
      <c r="BQ40" s="197">
        <f t="shared" si="105"/>
        <v>2991.501008875739</v>
      </c>
      <c r="BR40" s="197">
        <f t="shared" si="106"/>
        <v>-2355.088903353057</v>
      </c>
      <c r="BS40" s="199">
        <f t="shared" si="107"/>
        <v>-1720.1480749506902</v>
      </c>
      <c r="BV40" s="204">
        <f t="shared" ref="BV40:BV53" si="131">BV39+1</f>
        <v>3</v>
      </c>
      <c r="BW40" s="197">
        <f>'Energy NPV'!$D93*$BX$34</f>
        <v>29.400000000000002</v>
      </c>
      <c r="BX40" s="197">
        <f>'Energy margins'!$Z$12</f>
        <v>55</v>
      </c>
      <c r="BY40" s="197">
        <f t="shared" ref="BY40:BY53" si="132">BW40*BX40</f>
        <v>1617.0000000000002</v>
      </c>
      <c r="BZ40" s="197">
        <f>'Margins summary'!$W$14</f>
        <v>220</v>
      </c>
      <c r="CA40" s="197">
        <f t="shared" si="108"/>
        <v>1837.0000000000002</v>
      </c>
      <c r="CB40" s="197"/>
      <c r="CC40" s="897">
        <f>'Energy NPV'!U93</f>
        <v>529.78199999999993</v>
      </c>
      <c r="CD40" s="197"/>
      <c r="CE40" s="197">
        <f t="shared" si="87"/>
        <v>529.78199999999993</v>
      </c>
      <c r="CF40" s="197">
        <f t="shared" si="88"/>
        <v>1087.2180000000003</v>
      </c>
      <c r="CG40" s="197">
        <f t="shared" si="89"/>
        <v>1307.2180000000003</v>
      </c>
      <c r="CH40" s="196">
        <f t="shared" si="109"/>
        <v>1495.0073964497042</v>
      </c>
      <c r="CI40" s="197">
        <f t="shared" si="109"/>
        <v>203.40236686390531</v>
      </c>
      <c r="CJ40" s="197">
        <f t="shared" si="110"/>
        <v>489.81323964497028</v>
      </c>
      <c r="CK40" s="197">
        <f t="shared" si="110"/>
        <v>1005.1941568047339</v>
      </c>
      <c r="CL40" s="199">
        <f t="shared" si="110"/>
        <v>1208.5965236686393</v>
      </c>
      <c r="CM40" s="196">
        <f t="shared" ref="CM40:CM53" si="133">CM39+CH40</f>
        <v>2545.6484220907296</v>
      </c>
      <c r="CN40" s="197">
        <f t="shared" si="111"/>
        <v>634.94082840236683</v>
      </c>
      <c r="CO40" s="197">
        <f t="shared" si="112"/>
        <v>2991.501008875739</v>
      </c>
      <c r="CP40" s="197">
        <f t="shared" si="113"/>
        <v>-445.85258678500963</v>
      </c>
      <c r="CQ40" s="199">
        <f t="shared" si="114"/>
        <v>189.08824161735743</v>
      </c>
      <c r="CT40" s="204">
        <f t="shared" ref="CT40:CT53" si="134">CT39+1</f>
        <v>3</v>
      </c>
      <c r="CU40" s="197">
        <f>'Energy NPV'!$D93*$CV$34</f>
        <v>0</v>
      </c>
      <c r="CV40" s="197">
        <f>'Energy margins'!$Z$12</f>
        <v>55</v>
      </c>
      <c r="CW40" s="197">
        <f t="shared" ref="CW40:CW53" si="135">CU40*CV40</f>
        <v>0</v>
      </c>
      <c r="CX40" s="197">
        <f>'Margins summary'!$W$14</f>
        <v>220</v>
      </c>
      <c r="CY40" s="197">
        <f t="shared" si="115"/>
        <v>220</v>
      </c>
      <c r="CZ40" s="197"/>
      <c r="DA40" s="897">
        <f>'Energy NPV'!U93</f>
        <v>529.78199999999993</v>
      </c>
      <c r="DB40" s="197"/>
      <c r="DC40" s="197">
        <f t="shared" si="90"/>
        <v>529.78199999999993</v>
      </c>
      <c r="DD40" s="197">
        <f t="shared" si="91"/>
        <v>-529.78199999999993</v>
      </c>
      <c r="DE40" s="197">
        <f t="shared" si="92"/>
        <v>-309.78199999999993</v>
      </c>
      <c r="DF40" s="196">
        <f t="shared" si="116"/>
        <v>0</v>
      </c>
      <c r="DG40" s="197">
        <f t="shared" si="116"/>
        <v>203.40236686390531</v>
      </c>
      <c r="DH40" s="197">
        <f t="shared" si="117"/>
        <v>489.81323964497028</v>
      </c>
      <c r="DI40" s="197">
        <f t="shared" si="117"/>
        <v>-489.81323964497028</v>
      </c>
      <c r="DJ40" s="199">
        <f t="shared" si="117"/>
        <v>-286.410872781065</v>
      </c>
      <c r="DK40" s="196">
        <f t="shared" ref="DK40:DK53" si="136">DK39+DF40</f>
        <v>0</v>
      </c>
      <c r="DL40" s="197">
        <f t="shared" si="118"/>
        <v>634.94082840236683</v>
      </c>
      <c r="DM40" s="197">
        <f t="shared" si="119"/>
        <v>2991.501008875739</v>
      </c>
      <c r="DN40" s="197">
        <f t="shared" si="120"/>
        <v>-2991.501008875739</v>
      </c>
      <c r="DO40" s="199">
        <f t="shared" si="121"/>
        <v>-2356.5601804733724</v>
      </c>
    </row>
    <row r="41" spans="2:175" x14ac:dyDescent="0.3">
      <c r="B41" s="204">
        <f t="shared" si="122"/>
        <v>4</v>
      </c>
      <c r="C41" s="979">
        <f>'Energy NPV'!$D94*$E$34</f>
        <v>15.733333333333334</v>
      </c>
      <c r="D41" s="197">
        <f>'Energy margins'!$Z$12</f>
        <v>55</v>
      </c>
      <c r="E41" s="197">
        <f t="shared" si="123"/>
        <v>865.33333333333337</v>
      </c>
      <c r="F41" s="197">
        <f>'Margins summary'!$W$14</f>
        <v>220</v>
      </c>
      <c r="G41" s="197">
        <f t="shared" si="93"/>
        <v>1085.3333333333335</v>
      </c>
      <c r="H41" s="197"/>
      <c r="I41" s="897">
        <f>'Energy NPV'!U94</f>
        <v>368.78200000000004</v>
      </c>
      <c r="J41" s="197"/>
      <c r="K41" s="197">
        <f t="shared" si="78"/>
        <v>368.78200000000004</v>
      </c>
      <c r="L41" s="197">
        <f t="shared" si="79"/>
        <v>496.55133333333333</v>
      </c>
      <c r="M41" s="197">
        <f t="shared" si="80"/>
        <v>716.55133333333345</v>
      </c>
      <c r="N41" s="196">
        <f t="shared" si="94"/>
        <v>769.27818236989833</v>
      </c>
      <c r="O41" s="197">
        <f t="shared" si="94"/>
        <v>195.57919890760127</v>
      </c>
      <c r="P41" s="197">
        <f t="shared" si="95"/>
        <v>327.84585514337732</v>
      </c>
      <c r="Q41" s="197">
        <f t="shared" si="95"/>
        <v>441.43232722652095</v>
      </c>
      <c r="R41" s="199">
        <f t="shared" si="95"/>
        <v>637.01152613412239</v>
      </c>
      <c r="S41" s="196">
        <f t="shared" si="124"/>
        <v>2042.1023934152631</v>
      </c>
      <c r="T41" s="197">
        <f t="shared" si="96"/>
        <v>830.5200273099681</v>
      </c>
      <c r="U41" s="197">
        <f t="shared" si="96"/>
        <v>3319.3468640191163</v>
      </c>
      <c r="V41" s="197">
        <f t="shared" si="96"/>
        <v>-1277.2444706038534</v>
      </c>
      <c r="W41" s="199">
        <f t="shared" si="96"/>
        <v>-446.72444329388543</v>
      </c>
      <c r="Z41" s="204">
        <f t="shared" si="125"/>
        <v>4</v>
      </c>
      <c r="AA41" s="197">
        <f>'Energy NPV'!$D94*$AB$34</f>
        <v>23.6</v>
      </c>
      <c r="AB41" s="197">
        <f>'Energy margins'!$Z$12</f>
        <v>55</v>
      </c>
      <c r="AC41" s="197">
        <f t="shared" si="126"/>
        <v>1298</v>
      </c>
      <c r="AD41" s="197">
        <f>'Margins summary'!$W$14</f>
        <v>220</v>
      </c>
      <c r="AE41" s="197">
        <f t="shared" si="97"/>
        <v>1518</v>
      </c>
      <c r="AF41" s="197"/>
      <c r="AG41" s="897">
        <f>'Energy NPV'!U94</f>
        <v>368.78200000000004</v>
      </c>
      <c r="AH41" s="197"/>
      <c r="AI41" s="197">
        <f t="shared" si="81"/>
        <v>368.78200000000004</v>
      </c>
      <c r="AJ41" s="197">
        <f t="shared" si="82"/>
        <v>929.21799999999996</v>
      </c>
      <c r="AK41" s="197">
        <f t="shared" si="83"/>
        <v>1149.2179999999998</v>
      </c>
      <c r="AL41" s="196">
        <f t="shared" si="98"/>
        <v>1153.9172735548475</v>
      </c>
      <c r="AM41" s="197">
        <f t="shared" si="98"/>
        <v>195.57919890760127</v>
      </c>
      <c r="AN41" s="197">
        <f t="shared" si="99"/>
        <v>327.84585514337732</v>
      </c>
      <c r="AO41" s="197">
        <f t="shared" si="99"/>
        <v>826.07141841147006</v>
      </c>
      <c r="AP41" s="199">
        <f t="shared" si="99"/>
        <v>1021.6506173190712</v>
      </c>
      <c r="AQ41" s="196">
        <f t="shared" si="127"/>
        <v>3063.1535901228945</v>
      </c>
      <c r="AR41" s="197">
        <f t="shared" si="100"/>
        <v>830.5200273099681</v>
      </c>
      <c r="AS41" s="197">
        <f t="shared" si="100"/>
        <v>3319.3468640191163</v>
      </c>
      <c r="AT41" s="197">
        <f t="shared" si="100"/>
        <v>-256.19327389622219</v>
      </c>
      <c r="AU41" s="199">
        <f t="shared" si="100"/>
        <v>574.32675341374579</v>
      </c>
      <c r="AX41" s="204">
        <f t="shared" si="128"/>
        <v>4</v>
      </c>
      <c r="AY41" s="197">
        <f>'Energy NPV'!$D94*$AZ$34</f>
        <v>7.8666666666666671</v>
      </c>
      <c r="AZ41" s="197">
        <f>'Energy margins'!$Z$12</f>
        <v>55</v>
      </c>
      <c r="BA41" s="197">
        <f t="shared" si="129"/>
        <v>432.66666666666669</v>
      </c>
      <c r="BB41" s="197">
        <f>'Margins summary'!$W$14</f>
        <v>220</v>
      </c>
      <c r="BC41" s="197">
        <f t="shared" si="101"/>
        <v>652.66666666666674</v>
      </c>
      <c r="BD41" s="197"/>
      <c r="BE41" s="897">
        <f>'Energy NPV'!U94</f>
        <v>368.78200000000004</v>
      </c>
      <c r="BF41" s="197"/>
      <c r="BG41" s="197">
        <f t="shared" si="84"/>
        <v>368.78200000000004</v>
      </c>
      <c r="BH41" s="197">
        <f t="shared" si="85"/>
        <v>63.884666666666647</v>
      </c>
      <c r="BI41" s="197">
        <f t="shared" si="86"/>
        <v>283.8846666666667</v>
      </c>
      <c r="BJ41" s="196">
        <f t="shared" si="102"/>
        <v>384.63909118494917</v>
      </c>
      <c r="BK41" s="197">
        <f t="shared" si="102"/>
        <v>195.57919890760127</v>
      </c>
      <c r="BL41" s="197">
        <f t="shared" si="103"/>
        <v>327.84585514337732</v>
      </c>
      <c r="BM41" s="197">
        <f t="shared" si="103"/>
        <v>56.793236041571816</v>
      </c>
      <c r="BN41" s="199">
        <f t="shared" si="103"/>
        <v>252.37243494917314</v>
      </c>
      <c r="BO41" s="196">
        <f t="shared" si="130"/>
        <v>1021.0511967076316</v>
      </c>
      <c r="BP41" s="197">
        <f t="shared" si="104"/>
        <v>830.5200273099681</v>
      </c>
      <c r="BQ41" s="197">
        <f t="shared" si="105"/>
        <v>3319.3468640191163</v>
      </c>
      <c r="BR41" s="197">
        <f t="shared" si="106"/>
        <v>-2298.2956673114854</v>
      </c>
      <c r="BS41" s="199">
        <f t="shared" si="107"/>
        <v>-1467.7756400015171</v>
      </c>
      <c r="BV41" s="204">
        <f t="shared" si="131"/>
        <v>4</v>
      </c>
      <c r="BW41" s="197">
        <f>'Energy NPV'!$D94*$BX$34</f>
        <v>31.466666666666669</v>
      </c>
      <c r="BX41" s="197">
        <f>'Energy margins'!$Z$12</f>
        <v>55</v>
      </c>
      <c r="BY41" s="197">
        <f t="shared" si="132"/>
        <v>1730.6666666666667</v>
      </c>
      <c r="BZ41" s="197">
        <f>'Margins summary'!$W$14</f>
        <v>220</v>
      </c>
      <c r="CA41" s="197">
        <f t="shared" si="108"/>
        <v>1950.6666666666667</v>
      </c>
      <c r="CB41" s="197"/>
      <c r="CC41" s="897">
        <f>'Energy NPV'!U94</f>
        <v>368.78200000000004</v>
      </c>
      <c r="CD41" s="197"/>
      <c r="CE41" s="197">
        <f t="shared" si="87"/>
        <v>368.78200000000004</v>
      </c>
      <c r="CF41" s="197">
        <f t="shared" si="88"/>
        <v>1361.8846666666668</v>
      </c>
      <c r="CG41" s="197">
        <f t="shared" si="89"/>
        <v>1581.8846666666668</v>
      </c>
      <c r="CH41" s="196">
        <f t="shared" si="109"/>
        <v>1538.5563647397967</v>
      </c>
      <c r="CI41" s="197">
        <f t="shared" si="109"/>
        <v>195.57919890760127</v>
      </c>
      <c r="CJ41" s="197">
        <f t="shared" si="110"/>
        <v>327.84585514337732</v>
      </c>
      <c r="CK41" s="197">
        <f t="shared" si="110"/>
        <v>1210.7105095964193</v>
      </c>
      <c r="CL41" s="199">
        <f t="shared" si="110"/>
        <v>1406.2897085040206</v>
      </c>
      <c r="CM41" s="196">
        <f t="shared" si="133"/>
        <v>4084.2047868305262</v>
      </c>
      <c r="CN41" s="197">
        <f t="shared" si="111"/>
        <v>830.5200273099681</v>
      </c>
      <c r="CO41" s="197">
        <f t="shared" si="112"/>
        <v>3319.3468640191163</v>
      </c>
      <c r="CP41" s="197">
        <f t="shared" si="113"/>
        <v>764.85792281140971</v>
      </c>
      <c r="CQ41" s="199">
        <f t="shared" si="114"/>
        <v>1595.377950121378</v>
      </c>
      <c r="CT41" s="204">
        <f t="shared" si="134"/>
        <v>4</v>
      </c>
      <c r="CU41" s="197">
        <f>'Energy NPV'!$D94*$CV$34</f>
        <v>0</v>
      </c>
      <c r="CV41" s="197">
        <f>'Energy margins'!$Z$12</f>
        <v>55</v>
      </c>
      <c r="CW41" s="197">
        <f t="shared" si="135"/>
        <v>0</v>
      </c>
      <c r="CX41" s="197">
        <f>'Margins summary'!$W$14</f>
        <v>220</v>
      </c>
      <c r="CY41" s="197">
        <f t="shared" si="115"/>
        <v>220</v>
      </c>
      <c r="CZ41" s="197"/>
      <c r="DA41" s="897">
        <f>'Energy NPV'!U94</f>
        <v>368.78200000000004</v>
      </c>
      <c r="DB41" s="197"/>
      <c r="DC41" s="197">
        <f t="shared" si="90"/>
        <v>368.78200000000004</v>
      </c>
      <c r="DD41" s="197">
        <f t="shared" si="91"/>
        <v>-368.78200000000004</v>
      </c>
      <c r="DE41" s="197">
        <f t="shared" si="92"/>
        <v>-148.78200000000004</v>
      </c>
      <c r="DF41" s="196">
        <f t="shared" si="116"/>
        <v>0</v>
      </c>
      <c r="DG41" s="197">
        <f t="shared" si="116"/>
        <v>195.57919890760127</v>
      </c>
      <c r="DH41" s="197">
        <f t="shared" si="117"/>
        <v>327.84585514337732</v>
      </c>
      <c r="DI41" s="197">
        <f t="shared" si="117"/>
        <v>-327.84585514337732</v>
      </c>
      <c r="DJ41" s="199">
        <f t="shared" si="117"/>
        <v>-132.26665623577608</v>
      </c>
      <c r="DK41" s="196">
        <f t="shared" si="136"/>
        <v>0</v>
      </c>
      <c r="DL41" s="197">
        <f t="shared" si="118"/>
        <v>830.5200273099681</v>
      </c>
      <c r="DM41" s="197">
        <f t="shared" si="119"/>
        <v>3319.3468640191163</v>
      </c>
      <c r="DN41" s="197">
        <f t="shared" si="120"/>
        <v>-3319.3468640191163</v>
      </c>
      <c r="DO41" s="199">
        <f t="shared" si="121"/>
        <v>-2488.8268367091487</v>
      </c>
    </row>
    <row r="42" spans="2:175" x14ac:dyDescent="0.3">
      <c r="B42" s="204">
        <f t="shared" si="122"/>
        <v>5</v>
      </c>
      <c r="C42" s="225">
        <f>'Energy NPV'!$D95*$E$34</f>
        <v>16.3</v>
      </c>
      <c r="D42" s="197">
        <f>'Energy margins'!$Z$12</f>
        <v>55</v>
      </c>
      <c r="E42" s="197">
        <f t="shared" si="123"/>
        <v>896.5</v>
      </c>
      <c r="F42" s="197">
        <f>'Margins summary'!$W$14</f>
        <v>220</v>
      </c>
      <c r="G42" s="197">
        <f t="shared" si="93"/>
        <v>1116.5</v>
      </c>
      <c r="H42" s="197"/>
      <c r="I42" s="897">
        <f>'Energy NPV'!U95</f>
        <v>368.78200000000004</v>
      </c>
      <c r="J42" s="197"/>
      <c r="K42" s="197">
        <f t="shared" si="78"/>
        <v>368.78200000000004</v>
      </c>
      <c r="L42" s="197">
        <f t="shared" si="79"/>
        <v>527.71799999999996</v>
      </c>
      <c r="M42" s="197">
        <f t="shared" si="80"/>
        <v>747.71799999999996</v>
      </c>
      <c r="N42" s="196">
        <f t="shared" si="94"/>
        <v>766.33195725814903</v>
      </c>
      <c r="O42" s="197">
        <f t="shared" si="94"/>
        <v>188.05692202653967</v>
      </c>
      <c r="P42" s="197">
        <f t="shared" si="95"/>
        <v>315.23639917632431</v>
      </c>
      <c r="Q42" s="197">
        <f t="shared" si="95"/>
        <v>451.09555808182478</v>
      </c>
      <c r="R42" s="199">
        <f t="shared" si="95"/>
        <v>639.15248010836444</v>
      </c>
      <c r="S42" s="196">
        <f t="shared" si="124"/>
        <v>2808.4343506734122</v>
      </c>
      <c r="T42" s="197">
        <f t="shared" si="96"/>
        <v>1018.5769493365078</v>
      </c>
      <c r="U42" s="197">
        <f t="shared" si="96"/>
        <v>3634.5832631954408</v>
      </c>
      <c r="V42" s="197">
        <f t="shared" si="96"/>
        <v>-826.1489125220287</v>
      </c>
      <c r="W42" s="199">
        <f t="shared" si="96"/>
        <v>192.42803681447901</v>
      </c>
      <c r="Z42" s="204">
        <f t="shared" si="125"/>
        <v>5</v>
      </c>
      <c r="AA42" s="197">
        <f>'Energy NPV'!$D95*$AB$34</f>
        <v>24.450000000000003</v>
      </c>
      <c r="AB42" s="197">
        <f>'Energy margins'!$Z$12</f>
        <v>55</v>
      </c>
      <c r="AC42" s="197">
        <f t="shared" si="126"/>
        <v>1344.7500000000002</v>
      </c>
      <c r="AD42" s="197">
        <f>'Margins summary'!$W$14</f>
        <v>220</v>
      </c>
      <c r="AE42" s="197">
        <f t="shared" si="97"/>
        <v>1564.7500000000002</v>
      </c>
      <c r="AF42" s="197"/>
      <c r="AG42" s="897">
        <f>'Energy NPV'!U95</f>
        <v>368.78200000000004</v>
      </c>
      <c r="AH42" s="197"/>
      <c r="AI42" s="197">
        <f t="shared" si="81"/>
        <v>368.78200000000004</v>
      </c>
      <c r="AJ42" s="197">
        <f t="shared" si="82"/>
        <v>975.96800000000019</v>
      </c>
      <c r="AK42" s="197">
        <f t="shared" si="83"/>
        <v>1195.9680000000003</v>
      </c>
      <c r="AL42" s="196">
        <f t="shared" si="98"/>
        <v>1149.4979358872238</v>
      </c>
      <c r="AM42" s="197">
        <f t="shared" si="98"/>
        <v>188.05692202653967</v>
      </c>
      <c r="AN42" s="197">
        <f t="shared" si="99"/>
        <v>315.23639917632431</v>
      </c>
      <c r="AO42" s="197">
        <f t="shared" si="99"/>
        <v>834.26153671089946</v>
      </c>
      <c r="AP42" s="199">
        <f t="shared" si="99"/>
        <v>1022.3184587374392</v>
      </c>
      <c r="AQ42" s="196">
        <f t="shared" si="127"/>
        <v>4212.6515260101187</v>
      </c>
      <c r="AR42" s="197">
        <f t="shared" si="100"/>
        <v>1018.5769493365078</v>
      </c>
      <c r="AS42" s="197">
        <f t="shared" si="100"/>
        <v>3634.5832631954408</v>
      </c>
      <c r="AT42" s="197">
        <f t="shared" si="100"/>
        <v>578.06826281467727</v>
      </c>
      <c r="AU42" s="199">
        <f t="shared" si="100"/>
        <v>1596.645212151185</v>
      </c>
      <c r="AX42" s="204">
        <f t="shared" si="128"/>
        <v>5</v>
      </c>
      <c r="AY42" s="197">
        <f>'Energy NPV'!$D95*$AZ$34</f>
        <v>8.15</v>
      </c>
      <c r="AZ42" s="197">
        <f>'Energy margins'!$Z$12</f>
        <v>55</v>
      </c>
      <c r="BA42" s="197">
        <f t="shared" si="129"/>
        <v>448.25</v>
      </c>
      <c r="BB42" s="197">
        <f>'Margins summary'!$W$14</f>
        <v>220</v>
      </c>
      <c r="BC42" s="197">
        <f t="shared" si="101"/>
        <v>668.25</v>
      </c>
      <c r="BD42" s="197"/>
      <c r="BE42" s="897">
        <f>'Energy NPV'!U95</f>
        <v>368.78200000000004</v>
      </c>
      <c r="BF42" s="197"/>
      <c r="BG42" s="197">
        <f t="shared" si="84"/>
        <v>368.78200000000004</v>
      </c>
      <c r="BH42" s="197">
        <f t="shared" si="85"/>
        <v>79.467999999999961</v>
      </c>
      <c r="BI42" s="197">
        <f t="shared" si="86"/>
        <v>299.46799999999996</v>
      </c>
      <c r="BJ42" s="196">
        <f t="shared" si="102"/>
        <v>383.16597862907452</v>
      </c>
      <c r="BK42" s="197">
        <f t="shared" si="102"/>
        <v>188.05692202653967</v>
      </c>
      <c r="BL42" s="197">
        <f t="shared" si="103"/>
        <v>315.23639917632431</v>
      </c>
      <c r="BM42" s="197">
        <f t="shared" si="103"/>
        <v>67.929579452750204</v>
      </c>
      <c r="BN42" s="199">
        <f t="shared" si="103"/>
        <v>255.98650147928987</v>
      </c>
      <c r="BO42" s="196">
        <f t="shared" si="130"/>
        <v>1404.2171753367061</v>
      </c>
      <c r="BP42" s="197">
        <f t="shared" si="104"/>
        <v>1018.5769493365078</v>
      </c>
      <c r="BQ42" s="197">
        <f t="shared" si="105"/>
        <v>3634.5832631954408</v>
      </c>
      <c r="BR42" s="197">
        <f t="shared" si="106"/>
        <v>-2230.3660878587352</v>
      </c>
      <c r="BS42" s="199">
        <f t="shared" si="107"/>
        <v>-1211.7891385222272</v>
      </c>
      <c r="BV42" s="204">
        <f t="shared" si="131"/>
        <v>5</v>
      </c>
      <c r="BW42" s="197">
        <f>'Energy NPV'!$D95*$BX$34</f>
        <v>32.6</v>
      </c>
      <c r="BX42" s="197">
        <f>'Energy margins'!$Z$12</f>
        <v>55</v>
      </c>
      <c r="BY42" s="197">
        <f t="shared" si="132"/>
        <v>1793</v>
      </c>
      <c r="BZ42" s="197">
        <f>'Margins summary'!$W$14</f>
        <v>220</v>
      </c>
      <c r="CA42" s="197">
        <f t="shared" si="108"/>
        <v>2013</v>
      </c>
      <c r="CB42" s="197"/>
      <c r="CC42" s="897">
        <f>'Energy NPV'!U95</f>
        <v>368.78200000000004</v>
      </c>
      <c r="CD42" s="197"/>
      <c r="CE42" s="197">
        <f t="shared" si="87"/>
        <v>368.78200000000004</v>
      </c>
      <c r="CF42" s="197">
        <f t="shared" si="88"/>
        <v>1424.2179999999998</v>
      </c>
      <c r="CG42" s="197">
        <f t="shared" si="89"/>
        <v>1644.2179999999998</v>
      </c>
      <c r="CH42" s="196">
        <f t="shared" si="109"/>
        <v>1532.6639145162981</v>
      </c>
      <c r="CI42" s="197">
        <f t="shared" si="109"/>
        <v>188.05692202653967</v>
      </c>
      <c r="CJ42" s="197">
        <f t="shared" si="110"/>
        <v>315.23639917632431</v>
      </c>
      <c r="CK42" s="197">
        <f t="shared" si="110"/>
        <v>1217.4275153399738</v>
      </c>
      <c r="CL42" s="199">
        <f t="shared" si="110"/>
        <v>1405.4844373665135</v>
      </c>
      <c r="CM42" s="196">
        <f t="shared" si="133"/>
        <v>5616.8687013468243</v>
      </c>
      <c r="CN42" s="197">
        <f t="shared" si="111"/>
        <v>1018.5769493365078</v>
      </c>
      <c r="CO42" s="197">
        <f t="shared" si="112"/>
        <v>3634.5832631954408</v>
      </c>
      <c r="CP42" s="197">
        <f t="shared" si="113"/>
        <v>1982.2854381513835</v>
      </c>
      <c r="CQ42" s="199">
        <f t="shared" si="114"/>
        <v>3000.8623874878913</v>
      </c>
      <c r="CT42" s="204">
        <f t="shared" si="134"/>
        <v>5</v>
      </c>
      <c r="CU42" s="197">
        <f>'Energy NPV'!$D95*$CV$34</f>
        <v>0</v>
      </c>
      <c r="CV42" s="197">
        <f>'Energy margins'!$Z$12</f>
        <v>55</v>
      </c>
      <c r="CW42" s="197">
        <f t="shared" si="135"/>
        <v>0</v>
      </c>
      <c r="CX42" s="197">
        <f>'Margins summary'!$W$14</f>
        <v>220</v>
      </c>
      <c r="CY42" s="197">
        <f t="shared" si="115"/>
        <v>220</v>
      </c>
      <c r="CZ42" s="197"/>
      <c r="DA42" s="897">
        <f>'Energy NPV'!U95</f>
        <v>368.78200000000004</v>
      </c>
      <c r="DB42" s="197"/>
      <c r="DC42" s="197">
        <f t="shared" si="90"/>
        <v>368.78200000000004</v>
      </c>
      <c r="DD42" s="197">
        <f t="shared" si="91"/>
        <v>-368.78200000000004</v>
      </c>
      <c r="DE42" s="197">
        <f t="shared" si="92"/>
        <v>-148.78200000000004</v>
      </c>
      <c r="DF42" s="196">
        <f t="shared" si="116"/>
        <v>0</v>
      </c>
      <c r="DG42" s="197">
        <f t="shared" si="116"/>
        <v>188.05692202653967</v>
      </c>
      <c r="DH42" s="197">
        <f t="shared" si="117"/>
        <v>315.23639917632431</v>
      </c>
      <c r="DI42" s="197">
        <f t="shared" si="117"/>
        <v>-315.23639917632431</v>
      </c>
      <c r="DJ42" s="199">
        <f t="shared" si="117"/>
        <v>-127.17947714978469</v>
      </c>
      <c r="DK42" s="196">
        <f t="shared" si="136"/>
        <v>0</v>
      </c>
      <c r="DL42" s="197">
        <f t="shared" si="118"/>
        <v>1018.5769493365078</v>
      </c>
      <c r="DM42" s="197">
        <f t="shared" si="119"/>
        <v>3634.5832631954408</v>
      </c>
      <c r="DN42" s="197">
        <f t="shared" si="120"/>
        <v>-3634.5832631954408</v>
      </c>
      <c r="DO42" s="199">
        <f t="shared" si="121"/>
        <v>-2616.0063138589335</v>
      </c>
    </row>
    <row r="43" spans="2:175" x14ac:dyDescent="0.3">
      <c r="B43" s="204">
        <f t="shared" si="122"/>
        <v>6</v>
      </c>
      <c r="C43" s="225">
        <f>'Energy NPV'!$D96*$E$34</f>
        <v>16.3</v>
      </c>
      <c r="D43" s="197">
        <f>'Energy margins'!$Z$12</f>
        <v>55</v>
      </c>
      <c r="E43" s="197">
        <f t="shared" si="123"/>
        <v>896.5</v>
      </c>
      <c r="F43" s="197">
        <f>'Margins summary'!$W$14</f>
        <v>220</v>
      </c>
      <c r="G43" s="197">
        <f t="shared" si="93"/>
        <v>1116.5</v>
      </c>
      <c r="H43" s="197"/>
      <c r="I43" s="897">
        <f>'Energy NPV'!U96</f>
        <v>368.78200000000004</v>
      </c>
      <c r="J43" s="197"/>
      <c r="K43" s="197">
        <f t="shared" si="78"/>
        <v>368.78200000000004</v>
      </c>
      <c r="L43" s="197">
        <f t="shared" si="79"/>
        <v>527.71799999999996</v>
      </c>
      <c r="M43" s="197">
        <f t="shared" si="80"/>
        <v>747.71799999999996</v>
      </c>
      <c r="N43" s="196">
        <f t="shared" si="94"/>
        <v>736.85765120975861</v>
      </c>
      <c r="O43" s="197">
        <f t="shared" si="94"/>
        <v>180.82396348705734</v>
      </c>
      <c r="P43" s="197">
        <f t="shared" si="95"/>
        <v>303.11192228492723</v>
      </c>
      <c r="Q43" s="197">
        <f t="shared" si="95"/>
        <v>433.74572892483144</v>
      </c>
      <c r="R43" s="199">
        <f t="shared" si="95"/>
        <v>614.56969241188881</v>
      </c>
      <c r="S43" s="196">
        <f t="shared" si="124"/>
        <v>3545.292001883171</v>
      </c>
      <c r="T43" s="197">
        <f t="shared" si="96"/>
        <v>1199.4009128235652</v>
      </c>
      <c r="U43" s="197">
        <f t="shared" si="96"/>
        <v>3937.6951854803683</v>
      </c>
      <c r="V43" s="197">
        <f t="shared" si="96"/>
        <v>-392.40318359719726</v>
      </c>
      <c r="W43" s="199">
        <f t="shared" si="96"/>
        <v>806.99772922636782</v>
      </c>
      <c r="Z43" s="204">
        <f t="shared" si="125"/>
        <v>6</v>
      </c>
      <c r="AA43" s="197">
        <f>'Energy NPV'!$D96*$AB$34</f>
        <v>24.450000000000003</v>
      </c>
      <c r="AB43" s="197">
        <f>'Energy margins'!$Z$12</f>
        <v>55</v>
      </c>
      <c r="AC43" s="197">
        <f t="shared" si="126"/>
        <v>1344.7500000000002</v>
      </c>
      <c r="AD43" s="197">
        <f>'Margins summary'!$W$14</f>
        <v>220</v>
      </c>
      <c r="AE43" s="197">
        <f t="shared" si="97"/>
        <v>1564.7500000000002</v>
      </c>
      <c r="AF43" s="197"/>
      <c r="AG43" s="897">
        <f>'Energy NPV'!U96</f>
        <v>368.78200000000004</v>
      </c>
      <c r="AH43" s="197"/>
      <c r="AI43" s="197">
        <f t="shared" si="81"/>
        <v>368.78200000000004</v>
      </c>
      <c r="AJ43" s="197">
        <f t="shared" si="82"/>
        <v>975.96800000000019</v>
      </c>
      <c r="AK43" s="197">
        <f t="shared" si="83"/>
        <v>1195.9680000000003</v>
      </c>
      <c r="AL43" s="196">
        <f t="shared" si="98"/>
        <v>1105.2864768146383</v>
      </c>
      <c r="AM43" s="197">
        <f t="shared" si="98"/>
        <v>180.82396348705734</v>
      </c>
      <c r="AN43" s="197">
        <f t="shared" si="99"/>
        <v>303.11192228492723</v>
      </c>
      <c r="AO43" s="197">
        <f t="shared" si="99"/>
        <v>802.17455452971092</v>
      </c>
      <c r="AP43" s="199">
        <f t="shared" si="99"/>
        <v>982.99851801676834</v>
      </c>
      <c r="AQ43" s="196">
        <f t="shared" si="127"/>
        <v>5317.9380028247569</v>
      </c>
      <c r="AR43" s="197">
        <f t="shared" si="100"/>
        <v>1199.4009128235652</v>
      </c>
      <c r="AS43" s="197">
        <f t="shared" si="100"/>
        <v>3937.6951854803683</v>
      </c>
      <c r="AT43" s="197">
        <f t="shared" si="100"/>
        <v>1380.2428173443882</v>
      </c>
      <c r="AU43" s="199">
        <f t="shared" si="100"/>
        <v>2579.6437301679534</v>
      </c>
      <c r="AX43" s="204">
        <f t="shared" si="128"/>
        <v>6</v>
      </c>
      <c r="AY43" s="197">
        <f>'Energy NPV'!$D96*$AZ$34</f>
        <v>8.15</v>
      </c>
      <c r="AZ43" s="197">
        <f>'Energy margins'!$Z$12</f>
        <v>55</v>
      </c>
      <c r="BA43" s="197">
        <f t="shared" si="129"/>
        <v>448.25</v>
      </c>
      <c r="BB43" s="197">
        <f>'Margins summary'!$W$14</f>
        <v>220</v>
      </c>
      <c r="BC43" s="197">
        <f t="shared" si="101"/>
        <v>668.25</v>
      </c>
      <c r="BD43" s="197"/>
      <c r="BE43" s="897">
        <f>'Energy NPV'!U96</f>
        <v>368.78200000000004</v>
      </c>
      <c r="BF43" s="197"/>
      <c r="BG43" s="197">
        <f t="shared" si="84"/>
        <v>368.78200000000004</v>
      </c>
      <c r="BH43" s="197">
        <f t="shared" si="85"/>
        <v>79.467999999999961</v>
      </c>
      <c r="BI43" s="197">
        <f t="shared" si="86"/>
        <v>299.46799999999996</v>
      </c>
      <c r="BJ43" s="196">
        <f t="shared" si="102"/>
        <v>368.42882560487931</v>
      </c>
      <c r="BK43" s="197">
        <f t="shared" si="102"/>
        <v>180.82396348705734</v>
      </c>
      <c r="BL43" s="197">
        <f t="shared" si="103"/>
        <v>303.11192228492723</v>
      </c>
      <c r="BM43" s="197">
        <f t="shared" si="103"/>
        <v>65.316903319952118</v>
      </c>
      <c r="BN43" s="199">
        <f t="shared" si="103"/>
        <v>246.14086680700944</v>
      </c>
      <c r="BO43" s="196">
        <f t="shared" si="130"/>
        <v>1772.6460009415855</v>
      </c>
      <c r="BP43" s="197">
        <f t="shared" si="104"/>
        <v>1199.4009128235652</v>
      </c>
      <c r="BQ43" s="197">
        <f t="shared" si="105"/>
        <v>3937.6951854803683</v>
      </c>
      <c r="BR43" s="197">
        <f t="shared" si="106"/>
        <v>-2165.0491845387833</v>
      </c>
      <c r="BS43" s="199">
        <f t="shared" si="107"/>
        <v>-965.64827171521779</v>
      </c>
      <c r="BV43" s="204">
        <f t="shared" si="131"/>
        <v>6</v>
      </c>
      <c r="BW43" s="197">
        <f>'Energy NPV'!$D96*$BX$34</f>
        <v>32.6</v>
      </c>
      <c r="BX43" s="197">
        <f>'Energy margins'!$Z$12</f>
        <v>55</v>
      </c>
      <c r="BY43" s="197">
        <f t="shared" si="132"/>
        <v>1793</v>
      </c>
      <c r="BZ43" s="197">
        <f>'Margins summary'!$W$14</f>
        <v>220</v>
      </c>
      <c r="CA43" s="197">
        <f t="shared" si="108"/>
        <v>2013</v>
      </c>
      <c r="CB43" s="197"/>
      <c r="CC43" s="897">
        <f>'Energy NPV'!U96</f>
        <v>368.78200000000004</v>
      </c>
      <c r="CD43" s="197"/>
      <c r="CE43" s="197">
        <f t="shared" si="87"/>
        <v>368.78200000000004</v>
      </c>
      <c r="CF43" s="197">
        <f t="shared" si="88"/>
        <v>1424.2179999999998</v>
      </c>
      <c r="CG43" s="197">
        <f t="shared" si="89"/>
        <v>1644.2179999999998</v>
      </c>
      <c r="CH43" s="196">
        <f t="shared" si="109"/>
        <v>1473.7153024195172</v>
      </c>
      <c r="CI43" s="197">
        <f t="shared" si="109"/>
        <v>180.82396348705734</v>
      </c>
      <c r="CJ43" s="197">
        <f t="shared" si="110"/>
        <v>303.11192228492723</v>
      </c>
      <c r="CK43" s="197">
        <f t="shared" si="110"/>
        <v>1170.60338013459</v>
      </c>
      <c r="CL43" s="199">
        <f t="shared" si="110"/>
        <v>1351.4273436216474</v>
      </c>
      <c r="CM43" s="196">
        <f t="shared" si="133"/>
        <v>7090.584003766342</v>
      </c>
      <c r="CN43" s="197">
        <f t="shared" si="111"/>
        <v>1199.4009128235652</v>
      </c>
      <c r="CO43" s="197">
        <f t="shared" si="112"/>
        <v>3937.6951854803683</v>
      </c>
      <c r="CP43" s="197">
        <f t="shared" si="113"/>
        <v>3152.8888182859737</v>
      </c>
      <c r="CQ43" s="199">
        <f t="shared" si="114"/>
        <v>4352.2897311095385</v>
      </c>
      <c r="CT43" s="204">
        <f t="shared" si="134"/>
        <v>6</v>
      </c>
      <c r="CU43" s="197">
        <f>'Energy NPV'!$D96*$CV$34</f>
        <v>0</v>
      </c>
      <c r="CV43" s="197">
        <f>'Energy margins'!$Z$12</f>
        <v>55</v>
      </c>
      <c r="CW43" s="197">
        <f t="shared" si="135"/>
        <v>0</v>
      </c>
      <c r="CX43" s="197">
        <f>'Margins summary'!$W$14</f>
        <v>220</v>
      </c>
      <c r="CY43" s="197">
        <f t="shared" si="115"/>
        <v>220</v>
      </c>
      <c r="CZ43" s="197"/>
      <c r="DA43" s="897">
        <f>'Energy NPV'!U96</f>
        <v>368.78200000000004</v>
      </c>
      <c r="DB43" s="197"/>
      <c r="DC43" s="197">
        <f t="shared" si="90"/>
        <v>368.78200000000004</v>
      </c>
      <c r="DD43" s="197">
        <f t="shared" si="91"/>
        <v>-368.78200000000004</v>
      </c>
      <c r="DE43" s="197">
        <f t="shared" si="92"/>
        <v>-148.78200000000004</v>
      </c>
      <c r="DF43" s="196">
        <f t="shared" si="116"/>
        <v>0</v>
      </c>
      <c r="DG43" s="197">
        <f t="shared" si="116"/>
        <v>180.82396348705734</v>
      </c>
      <c r="DH43" s="197">
        <f t="shared" si="117"/>
        <v>303.11192228492723</v>
      </c>
      <c r="DI43" s="197">
        <f t="shared" si="117"/>
        <v>-303.11192228492723</v>
      </c>
      <c r="DJ43" s="199">
        <f t="shared" si="117"/>
        <v>-122.28795879786988</v>
      </c>
      <c r="DK43" s="196">
        <f t="shared" si="136"/>
        <v>0</v>
      </c>
      <c r="DL43" s="197">
        <f t="shared" si="118"/>
        <v>1199.4009128235652</v>
      </c>
      <c r="DM43" s="197">
        <f t="shared" si="119"/>
        <v>3937.6951854803683</v>
      </c>
      <c r="DN43" s="197">
        <f t="shared" si="120"/>
        <v>-3937.6951854803683</v>
      </c>
      <c r="DO43" s="199">
        <f t="shared" si="121"/>
        <v>-2738.2942726568035</v>
      </c>
    </row>
    <row r="44" spans="2:175" x14ac:dyDescent="0.3">
      <c r="B44" s="204">
        <f t="shared" si="122"/>
        <v>7</v>
      </c>
      <c r="C44" s="225">
        <f>'Energy NPV'!$D97*$E$34</f>
        <v>16.3</v>
      </c>
      <c r="D44" s="197">
        <f>'Energy margins'!$Z$12</f>
        <v>55</v>
      </c>
      <c r="E44" s="197">
        <f t="shared" si="123"/>
        <v>896.5</v>
      </c>
      <c r="F44" s="197">
        <f>'Margins summary'!$W$14</f>
        <v>220</v>
      </c>
      <c r="G44" s="197">
        <f t="shared" si="93"/>
        <v>1116.5</v>
      </c>
      <c r="H44" s="197"/>
      <c r="I44" s="897">
        <f>'Energy NPV'!U97</f>
        <v>368.78200000000004</v>
      </c>
      <c r="J44" s="197"/>
      <c r="K44" s="197">
        <f t="shared" si="78"/>
        <v>368.78200000000004</v>
      </c>
      <c r="L44" s="197">
        <f t="shared" si="79"/>
        <v>527.71799999999996</v>
      </c>
      <c r="M44" s="197">
        <f t="shared" si="80"/>
        <v>747.71799999999996</v>
      </c>
      <c r="N44" s="196">
        <f t="shared" si="94"/>
        <v>708.51697231707567</v>
      </c>
      <c r="O44" s="197">
        <f t="shared" si="94"/>
        <v>173.86919566063204</v>
      </c>
      <c r="P44" s="197">
        <f t="shared" si="95"/>
        <v>291.45377142781462</v>
      </c>
      <c r="Q44" s="197">
        <f t="shared" si="95"/>
        <v>417.063200889261</v>
      </c>
      <c r="R44" s="199">
        <f t="shared" si="95"/>
        <v>590.93239654989304</v>
      </c>
      <c r="S44" s="196">
        <f t="shared" si="124"/>
        <v>4253.8089742002467</v>
      </c>
      <c r="T44" s="197">
        <f t="shared" si="96"/>
        <v>1373.2701084841974</v>
      </c>
      <c r="U44" s="197">
        <f t="shared" si="96"/>
        <v>4229.1489569081832</v>
      </c>
      <c r="V44" s="197">
        <f t="shared" si="96"/>
        <v>24.660017292063742</v>
      </c>
      <c r="W44" s="199">
        <f t="shared" si="96"/>
        <v>1397.9301257762609</v>
      </c>
      <c r="Z44" s="204">
        <f t="shared" si="125"/>
        <v>7</v>
      </c>
      <c r="AA44" s="197">
        <f>'Energy NPV'!$D97*$AB$34</f>
        <v>24.450000000000003</v>
      </c>
      <c r="AB44" s="197">
        <f>'Energy margins'!$Z$12</f>
        <v>55</v>
      </c>
      <c r="AC44" s="197">
        <f t="shared" si="126"/>
        <v>1344.7500000000002</v>
      </c>
      <c r="AD44" s="197">
        <f>'Margins summary'!$W$14</f>
        <v>220</v>
      </c>
      <c r="AE44" s="197">
        <f t="shared" si="97"/>
        <v>1564.7500000000002</v>
      </c>
      <c r="AF44" s="197"/>
      <c r="AG44" s="897">
        <f>'Energy NPV'!U97</f>
        <v>368.78200000000004</v>
      </c>
      <c r="AH44" s="197"/>
      <c r="AI44" s="197">
        <f t="shared" si="81"/>
        <v>368.78200000000004</v>
      </c>
      <c r="AJ44" s="197">
        <f t="shared" si="82"/>
        <v>975.96800000000019</v>
      </c>
      <c r="AK44" s="197">
        <f t="shared" si="83"/>
        <v>1195.9680000000003</v>
      </c>
      <c r="AL44" s="196">
        <f t="shared" si="98"/>
        <v>1062.7754584756137</v>
      </c>
      <c r="AM44" s="197">
        <f t="shared" si="98"/>
        <v>173.86919566063204</v>
      </c>
      <c r="AN44" s="197">
        <f t="shared" si="99"/>
        <v>291.45377142781462</v>
      </c>
      <c r="AO44" s="197">
        <f t="shared" si="99"/>
        <v>771.32168704779895</v>
      </c>
      <c r="AP44" s="199">
        <f t="shared" si="99"/>
        <v>945.1908827084311</v>
      </c>
      <c r="AQ44" s="196">
        <f t="shared" si="127"/>
        <v>6380.7134613003709</v>
      </c>
      <c r="AR44" s="197">
        <f t="shared" si="100"/>
        <v>1373.2701084841974</v>
      </c>
      <c r="AS44" s="197">
        <f t="shared" si="100"/>
        <v>4229.1489569081832</v>
      </c>
      <c r="AT44" s="197">
        <f t="shared" si="100"/>
        <v>2151.5645043921872</v>
      </c>
      <c r="AU44" s="199">
        <f t="shared" si="100"/>
        <v>3524.8346128763847</v>
      </c>
      <c r="AX44" s="204">
        <f t="shared" si="128"/>
        <v>7</v>
      </c>
      <c r="AY44" s="197">
        <f>'Energy NPV'!$D97*$AZ$34</f>
        <v>8.15</v>
      </c>
      <c r="AZ44" s="197">
        <f>'Energy margins'!$Z$12</f>
        <v>55</v>
      </c>
      <c r="BA44" s="197">
        <f t="shared" si="129"/>
        <v>448.25</v>
      </c>
      <c r="BB44" s="197">
        <f>'Margins summary'!$W$14</f>
        <v>220</v>
      </c>
      <c r="BC44" s="197">
        <f t="shared" si="101"/>
        <v>668.25</v>
      </c>
      <c r="BD44" s="197"/>
      <c r="BE44" s="897">
        <f>'Energy NPV'!U97</f>
        <v>368.78200000000004</v>
      </c>
      <c r="BF44" s="197"/>
      <c r="BG44" s="197">
        <f t="shared" si="84"/>
        <v>368.78200000000004</v>
      </c>
      <c r="BH44" s="197">
        <f t="shared" si="85"/>
        <v>79.467999999999961</v>
      </c>
      <c r="BI44" s="197">
        <f t="shared" si="86"/>
        <v>299.46799999999996</v>
      </c>
      <c r="BJ44" s="196">
        <f t="shared" si="102"/>
        <v>354.25848615853783</v>
      </c>
      <c r="BK44" s="197">
        <f t="shared" si="102"/>
        <v>173.86919566063204</v>
      </c>
      <c r="BL44" s="197">
        <f t="shared" si="103"/>
        <v>291.45377142781462</v>
      </c>
      <c r="BM44" s="197">
        <f t="shared" si="103"/>
        <v>62.804714730723191</v>
      </c>
      <c r="BN44" s="199">
        <f t="shared" si="103"/>
        <v>236.67391039135524</v>
      </c>
      <c r="BO44" s="196">
        <f t="shared" si="130"/>
        <v>2126.9044871001233</v>
      </c>
      <c r="BP44" s="197">
        <f t="shared" si="104"/>
        <v>1373.2701084841974</v>
      </c>
      <c r="BQ44" s="197">
        <f t="shared" si="105"/>
        <v>4229.1489569081832</v>
      </c>
      <c r="BR44" s="197">
        <f t="shared" si="106"/>
        <v>-2102.2444698080599</v>
      </c>
      <c r="BS44" s="199">
        <f t="shared" si="107"/>
        <v>-728.97436132386258</v>
      </c>
      <c r="BV44" s="204">
        <f t="shared" si="131"/>
        <v>7</v>
      </c>
      <c r="BW44" s="197">
        <f>'Energy NPV'!$D97*$BX$34</f>
        <v>32.6</v>
      </c>
      <c r="BX44" s="197">
        <f>'Energy margins'!$Z$12</f>
        <v>55</v>
      </c>
      <c r="BY44" s="197">
        <f t="shared" si="132"/>
        <v>1793</v>
      </c>
      <c r="BZ44" s="197">
        <f>'Margins summary'!$W$14</f>
        <v>220</v>
      </c>
      <c r="CA44" s="197">
        <f t="shared" si="108"/>
        <v>2013</v>
      </c>
      <c r="CB44" s="197"/>
      <c r="CC44" s="897">
        <f>'Energy NPV'!U97</f>
        <v>368.78200000000004</v>
      </c>
      <c r="CD44" s="197"/>
      <c r="CE44" s="197">
        <f t="shared" si="87"/>
        <v>368.78200000000004</v>
      </c>
      <c r="CF44" s="197">
        <f t="shared" si="88"/>
        <v>1424.2179999999998</v>
      </c>
      <c r="CG44" s="197">
        <f t="shared" si="89"/>
        <v>1644.2179999999998</v>
      </c>
      <c r="CH44" s="196">
        <f t="shared" si="109"/>
        <v>1417.0339446341513</v>
      </c>
      <c r="CI44" s="197">
        <f t="shared" si="109"/>
        <v>173.86919566063204</v>
      </c>
      <c r="CJ44" s="197">
        <f t="shared" si="110"/>
        <v>291.45377142781462</v>
      </c>
      <c r="CK44" s="197">
        <f t="shared" si="110"/>
        <v>1125.5801732063364</v>
      </c>
      <c r="CL44" s="199">
        <f t="shared" si="110"/>
        <v>1299.4493688669686</v>
      </c>
      <c r="CM44" s="196">
        <f t="shared" si="133"/>
        <v>8507.6179484004933</v>
      </c>
      <c r="CN44" s="197">
        <f t="shared" si="111"/>
        <v>1373.2701084841974</v>
      </c>
      <c r="CO44" s="197">
        <f t="shared" si="112"/>
        <v>4229.1489569081832</v>
      </c>
      <c r="CP44" s="197">
        <f t="shared" si="113"/>
        <v>4278.4689914923101</v>
      </c>
      <c r="CQ44" s="199">
        <f t="shared" si="114"/>
        <v>5651.7390999765066</v>
      </c>
      <c r="CT44" s="204">
        <f t="shared" si="134"/>
        <v>7</v>
      </c>
      <c r="CU44" s="197">
        <f>'Energy NPV'!$D97*$CV$34</f>
        <v>0</v>
      </c>
      <c r="CV44" s="197">
        <f>'Energy margins'!$Z$12</f>
        <v>55</v>
      </c>
      <c r="CW44" s="197">
        <f t="shared" si="135"/>
        <v>0</v>
      </c>
      <c r="CX44" s="197">
        <f>'Margins summary'!$W$14</f>
        <v>220</v>
      </c>
      <c r="CY44" s="197">
        <f t="shared" si="115"/>
        <v>220</v>
      </c>
      <c r="CZ44" s="197"/>
      <c r="DA44" s="897">
        <f>'Energy NPV'!U97</f>
        <v>368.78200000000004</v>
      </c>
      <c r="DB44" s="197"/>
      <c r="DC44" s="197">
        <f t="shared" si="90"/>
        <v>368.78200000000004</v>
      </c>
      <c r="DD44" s="197">
        <f t="shared" si="91"/>
        <v>-368.78200000000004</v>
      </c>
      <c r="DE44" s="197">
        <f t="shared" si="92"/>
        <v>-148.78200000000004</v>
      </c>
      <c r="DF44" s="196">
        <f t="shared" si="116"/>
        <v>0</v>
      </c>
      <c r="DG44" s="197">
        <f t="shared" si="116"/>
        <v>173.86919566063204</v>
      </c>
      <c r="DH44" s="197">
        <f t="shared" si="117"/>
        <v>291.45377142781462</v>
      </c>
      <c r="DI44" s="197">
        <f t="shared" si="117"/>
        <v>-291.45377142781462</v>
      </c>
      <c r="DJ44" s="199">
        <f t="shared" si="117"/>
        <v>-117.58457576718257</v>
      </c>
      <c r="DK44" s="196">
        <f t="shared" si="136"/>
        <v>0</v>
      </c>
      <c r="DL44" s="197">
        <f t="shared" si="118"/>
        <v>1373.2701084841974</v>
      </c>
      <c r="DM44" s="197">
        <f t="shared" si="119"/>
        <v>4229.1489569081832</v>
      </c>
      <c r="DN44" s="197">
        <f t="shared" si="120"/>
        <v>-4229.1489569081832</v>
      </c>
      <c r="DO44" s="199">
        <f t="shared" si="121"/>
        <v>-2855.8788484239863</v>
      </c>
    </row>
    <row r="45" spans="2:175" x14ac:dyDescent="0.3">
      <c r="B45" s="204">
        <f t="shared" si="122"/>
        <v>8</v>
      </c>
      <c r="C45" s="225">
        <f>'Energy NPV'!$D98*$E$34</f>
        <v>16.3</v>
      </c>
      <c r="D45" s="197">
        <f>'Energy margins'!$Z$12</f>
        <v>55</v>
      </c>
      <c r="E45" s="197">
        <f t="shared" si="123"/>
        <v>896.5</v>
      </c>
      <c r="F45" s="197">
        <f>'Margins summary'!$W$14</f>
        <v>220</v>
      </c>
      <c r="G45" s="197">
        <f t="shared" si="93"/>
        <v>1116.5</v>
      </c>
      <c r="H45" s="197"/>
      <c r="I45" s="897">
        <f>'Energy NPV'!U98</f>
        <v>368.78200000000004</v>
      </c>
      <c r="J45" s="197"/>
      <c r="K45" s="197">
        <f t="shared" si="78"/>
        <v>368.78200000000004</v>
      </c>
      <c r="L45" s="197">
        <f t="shared" si="79"/>
        <v>527.71799999999996</v>
      </c>
      <c r="M45" s="197">
        <f t="shared" si="80"/>
        <v>747.71799999999996</v>
      </c>
      <c r="N45" s="196">
        <f t="shared" si="94"/>
        <v>681.2663195356497</v>
      </c>
      <c r="O45" s="197">
        <f t="shared" si="94"/>
        <v>167.18191890445391</v>
      </c>
      <c r="P45" s="197">
        <f t="shared" si="95"/>
        <v>280.24401098828332</v>
      </c>
      <c r="Q45" s="197">
        <f t="shared" si="95"/>
        <v>401.02230854736638</v>
      </c>
      <c r="R45" s="199">
        <f t="shared" si="95"/>
        <v>568.20422745182032</v>
      </c>
      <c r="S45" s="196">
        <f t="shared" si="124"/>
        <v>4935.0752937358966</v>
      </c>
      <c r="T45" s="197">
        <f t="shared" si="96"/>
        <v>1540.4520273886512</v>
      </c>
      <c r="U45" s="197">
        <f t="shared" si="96"/>
        <v>4509.3929678964669</v>
      </c>
      <c r="V45" s="197">
        <f t="shared" si="96"/>
        <v>425.68232583943012</v>
      </c>
      <c r="W45" s="199">
        <f t="shared" si="96"/>
        <v>1966.1343532280812</v>
      </c>
      <c r="Z45" s="204">
        <f t="shared" si="125"/>
        <v>8</v>
      </c>
      <c r="AA45" s="197">
        <f>'Energy NPV'!$D98*$AB$34</f>
        <v>24.450000000000003</v>
      </c>
      <c r="AB45" s="197">
        <f>'Energy margins'!$Z$12</f>
        <v>55</v>
      </c>
      <c r="AC45" s="197">
        <f t="shared" si="126"/>
        <v>1344.7500000000002</v>
      </c>
      <c r="AD45" s="197">
        <f>'Margins summary'!$W$14</f>
        <v>220</v>
      </c>
      <c r="AE45" s="197">
        <f t="shared" si="97"/>
        <v>1564.7500000000002</v>
      </c>
      <c r="AF45" s="197"/>
      <c r="AG45" s="897">
        <f>'Energy NPV'!U98</f>
        <v>368.78200000000004</v>
      </c>
      <c r="AH45" s="197"/>
      <c r="AI45" s="197">
        <f t="shared" si="81"/>
        <v>368.78200000000004</v>
      </c>
      <c r="AJ45" s="197">
        <f t="shared" si="82"/>
        <v>975.96800000000019</v>
      </c>
      <c r="AK45" s="197">
        <f t="shared" si="83"/>
        <v>1195.9680000000003</v>
      </c>
      <c r="AL45" s="196">
        <f t="shared" si="98"/>
        <v>1021.8994793034748</v>
      </c>
      <c r="AM45" s="197">
        <f t="shared" si="98"/>
        <v>167.18191890445391</v>
      </c>
      <c r="AN45" s="197">
        <f t="shared" si="99"/>
        <v>280.24401098828332</v>
      </c>
      <c r="AO45" s="197">
        <f t="shared" si="99"/>
        <v>741.65546831519146</v>
      </c>
      <c r="AP45" s="199">
        <f t="shared" si="99"/>
        <v>908.83738721964539</v>
      </c>
      <c r="AQ45" s="196">
        <f t="shared" si="127"/>
        <v>7402.6129406038453</v>
      </c>
      <c r="AR45" s="197">
        <f t="shared" si="100"/>
        <v>1540.4520273886512</v>
      </c>
      <c r="AS45" s="197">
        <f t="shared" si="100"/>
        <v>4509.3929678964669</v>
      </c>
      <c r="AT45" s="197">
        <f t="shared" si="100"/>
        <v>2893.2199727073785</v>
      </c>
      <c r="AU45" s="199">
        <f t="shared" si="100"/>
        <v>4433.6720000960304</v>
      </c>
      <c r="AX45" s="204">
        <f t="shared" si="128"/>
        <v>8</v>
      </c>
      <c r="AY45" s="197">
        <f>'Energy NPV'!$D98*$AZ$34</f>
        <v>8.15</v>
      </c>
      <c r="AZ45" s="197">
        <f>'Energy margins'!$Z$12</f>
        <v>55</v>
      </c>
      <c r="BA45" s="197">
        <f t="shared" si="129"/>
        <v>448.25</v>
      </c>
      <c r="BB45" s="197">
        <f>'Margins summary'!$W$14</f>
        <v>220</v>
      </c>
      <c r="BC45" s="197">
        <f t="shared" si="101"/>
        <v>668.25</v>
      </c>
      <c r="BD45" s="197"/>
      <c r="BE45" s="897">
        <f>'Energy NPV'!U98</f>
        <v>368.78200000000004</v>
      </c>
      <c r="BF45" s="197"/>
      <c r="BG45" s="197">
        <f t="shared" si="84"/>
        <v>368.78200000000004</v>
      </c>
      <c r="BH45" s="197">
        <f t="shared" si="85"/>
        <v>79.467999999999961</v>
      </c>
      <c r="BI45" s="197">
        <f t="shared" si="86"/>
        <v>299.46799999999996</v>
      </c>
      <c r="BJ45" s="196">
        <f t="shared" si="102"/>
        <v>340.63315976782485</v>
      </c>
      <c r="BK45" s="197">
        <f t="shared" si="102"/>
        <v>167.18191890445391</v>
      </c>
      <c r="BL45" s="197">
        <f t="shared" si="103"/>
        <v>280.24401098828332</v>
      </c>
      <c r="BM45" s="197">
        <f t="shared" si="103"/>
        <v>60.389148779541536</v>
      </c>
      <c r="BN45" s="199">
        <f t="shared" si="103"/>
        <v>227.57106768399544</v>
      </c>
      <c r="BO45" s="196">
        <f t="shared" si="130"/>
        <v>2467.5376468679483</v>
      </c>
      <c r="BP45" s="197">
        <f t="shared" si="104"/>
        <v>1540.4520273886512</v>
      </c>
      <c r="BQ45" s="197">
        <f t="shared" si="105"/>
        <v>4509.3929678964669</v>
      </c>
      <c r="BR45" s="197">
        <f t="shared" si="106"/>
        <v>-2041.8553210285183</v>
      </c>
      <c r="BS45" s="199">
        <f t="shared" si="107"/>
        <v>-501.40329363986712</v>
      </c>
      <c r="BV45" s="204">
        <f t="shared" si="131"/>
        <v>8</v>
      </c>
      <c r="BW45" s="197">
        <f>'Energy NPV'!$D98*$BX$34</f>
        <v>32.6</v>
      </c>
      <c r="BX45" s="197">
        <f>'Energy margins'!$Z$12</f>
        <v>55</v>
      </c>
      <c r="BY45" s="197">
        <f t="shared" si="132"/>
        <v>1793</v>
      </c>
      <c r="BZ45" s="197">
        <f>'Margins summary'!$W$14</f>
        <v>220</v>
      </c>
      <c r="CA45" s="197">
        <f t="shared" si="108"/>
        <v>2013</v>
      </c>
      <c r="CB45" s="197"/>
      <c r="CC45" s="897">
        <f>'Energy NPV'!U98</f>
        <v>368.78200000000004</v>
      </c>
      <c r="CD45" s="197"/>
      <c r="CE45" s="197">
        <f t="shared" si="87"/>
        <v>368.78200000000004</v>
      </c>
      <c r="CF45" s="197">
        <f t="shared" si="88"/>
        <v>1424.2179999999998</v>
      </c>
      <c r="CG45" s="197">
        <f t="shared" si="89"/>
        <v>1644.2179999999998</v>
      </c>
      <c r="CH45" s="196">
        <f t="shared" si="109"/>
        <v>1362.5326390712994</v>
      </c>
      <c r="CI45" s="197">
        <f t="shared" si="109"/>
        <v>167.18191890445391</v>
      </c>
      <c r="CJ45" s="197">
        <f t="shared" si="110"/>
        <v>280.24401098828332</v>
      </c>
      <c r="CK45" s="197">
        <f t="shared" si="110"/>
        <v>1082.288628083016</v>
      </c>
      <c r="CL45" s="199">
        <f t="shared" si="110"/>
        <v>1249.47054698747</v>
      </c>
      <c r="CM45" s="196">
        <f t="shared" si="133"/>
        <v>9870.1505874717932</v>
      </c>
      <c r="CN45" s="197">
        <f t="shared" si="111"/>
        <v>1540.4520273886512</v>
      </c>
      <c r="CO45" s="197">
        <f t="shared" si="112"/>
        <v>4509.3929678964669</v>
      </c>
      <c r="CP45" s="197">
        <f t="shared" si="113"/>
        <v>5360.7576195753263</v>
      </c>
      <c r="CQ45" s="199">
        <f t="shared" si="114"/>
        <v>6901.2096469639764</v>
      </c>
      <c r="CT45" s="204">
        <f t="shared" si="134"/>
        <v>8</v>
      </c>
      <c r="CU45" s="197">
        <f>'Energy NPV'!$D98*$CV$34</f>
        <v>0</v>
      </c>
      <c r="CV45" s="197">
        <f>'Energy margins'!$Z$12</f>
        <v>55</v>
      </c>
      <c r="CW45" s="197">
        <f t="shared" si="135"/>
        <v>0</v>
      </c>
      <c r="CX45" s="197">
        <f>'Margins summary'!$W$14</f>
        <v>220</v>
      </c>
      <c r="CY45" s="197">
        <f t="shared" si="115"/>
        <v>220</v>
      </c>
      <c r="CZ45" s="197"/>
      <c r="DA45" s="897">
        <f>'Energy NPV'!U98</f>
        <v>368.78200000000004</v>
      </c>
      <c r="DB45" s="197"/>
      <c r="DC45" s="197">
        <f t="shared" si="90"/>
        <v>368.78200000000004</v>
      </c>
      <c r="DD45" s="197">
        <f t="shared" si="91"/>
        <v>-368.78200000000004</v>
      </c>
      <c r="DE45" s="197">
        <f t="shared" si="92"/>
        <v>-148.78200000000004</v>
      </c>
      <c r="DF45" s="196">
        <f t="shared" si="116"/>
        <v>0</v>
      </c>
      <c r="DG45" s="197">
        <f t="shared" si="116"/>
        <v>167.18191890445391</v>
      </c>
      <c r="DH45" s="197">
        <f t="shared" si="117"/>
        <v>280.24401098828332</v>
      </c>
      <c r="DI45" s="197">
        <f t="shared" si="117"/>
        <v>-280.24401098828332</v>
      </c>
      <c r="DJ45" s="199">
        <f t="shared" si="117"/>
        <v>-113.0620920838294</v>
      </c>
      <c r="DK45" s="196">
        <f t="shared" si="136"/>
        <v>0</v>
      </c>
      <c r="DL45" s="197">
        <f t="shared" si="118"/>
        <v>1540.4520273886512</v>
      </c>
      <c r="DM45" s="197">
        <f t="shared" si="119"/>
        <v>4509.3929678964669</v>
      </c>
      <c r="DN45" s="197">
        <f t="shared" si="120"/>
        <v>-4509.3929678964669</v>
      </c>
      <c r="DO45" s="199">
        <f t="shared" si="121"/>
        <v>-2968.9409405078159</v>
      </c>
    </row>
    <row r="46" spans="2:175" x14ac:dyDescent="0.3">
      <c r="B46" s="204">
        <f t="shared" si="122"/>
        <v>9</v>
      </c>
      <c r="C46" s="225">
        <f>'Energy NPV'!$D99*$E$34</f>
        <v>16.3</v>
      </c>
      <c r="D46" s="197">
        <f>'Energy margins'!$Z$12</f>
        <v>55</v>
      </c>
      <c r="E46" s="197">
        <f t="shared" si="123"/>
        <v>896.5</v>
      </c>
      <c r="F46" s="197">
        <f>'Margins summary'!$W$14</f>
        <v>220</v>
      </c>
      <c r="G46" s="197">
        <f t="shared" si="93"/>
        <v>1116.5</v>
      </c>
      <c r="H46" s="197"/>
      <c r="I46" s="897">
        <f>'Energy NPV'!U99</f>
        <v>368.78200000000004</v>
      </c>
      <c r="J46" s="197"/>
      <c r="K46" s="197">
        <f t="shared" si="78"/>
        <v>368.78200000000004</v>
      </c>
      <c r="L46" s="197">
        <f t="shared" si="79"/>
        <v>527.71799999999996</v>
      </c>
      <c r="M46" s="197">
        <f t="shared" si="80"/>
        <v>747.71799999999996</v>
      </c>
      <c r="N46" s="196">
        <f t="shared" si="94"/>
        <v>655.06376878427841</v>
      </c>
      <c r="O46" s="197">
        <f t="shared" si="94"/>
        <v>160.75184510043644</v>
      </c>
      <c r="P46" s="197">
        <f t="shared" si="95"/>
        <v>269.46539518104163</v>
      </c>
      <c r="Q46" s="197">
        <f t="shared" si="95"/>
        <v>385.59837360323684</v>
      </c>
      <c r="R46" s="199">
        <f t="shared" si="95"/>
        <v>546.35021870367325</v>
      </c>
      <c r="S46" s="196">
        <f t="shared" si="124"/>
        <v>5590.1390625201748</v>
      </c>
      <c r="T46" s="197">
        <f t="shared" si="96"/>
        <v>1701.2038724890876</v>
      </c>
      <c r="U46" s="197">
        <f t="shared" si="96"/>
        <v>4778.8583630775083</v>
      </c>
      <c r="V46" s="197">
        <f t="shared" si="96"/>
        <v>811.2806994426669</v>
      </c>
      <c r="W46" s="199">
        <f t="shared" si="96"/>
        <v>2512.4845719317545</v>
      </c>
      <c r="Z46" s="204">
        <f t="shared" si="125"/>
        <v>9</v>
      </c>
      <c r="AA46" s="197">
        <f>'Energy NPV'!$D99*$AB$34</f>
        <v>24.450000000000003</v>
      </c>
      <c r="AB46" s="197">
        <f>'Energy margins'!$Z$12</f>
        <v>55</v>
      </c>
      <c r="AC46" s="197">
        <f t="shared" si="126"/>
        <v>1344.7500000000002</v>
      </c>
      <c r="AD46" s="197">
        <f>'Margins summary'!$W$14</f>
        <v>220</v>
      </c>
      <c r="AE46" s="197">
        <f t="shared" si="97"/>
        <v>1564.7500000000002</v>
      </c>
      <c r="AF46" s="197"/>
      <c r="AG46" s="897">
        <f>'Energy NPV'!U99</f>
        <v>368.78200000000004</v>
      </c>
      <c r="AH46" s="197"/>
      <c r="AI46" s="197">
        <f t="shared" si="81"/>
        <v>368.78200000000004</v>
      </c>
      <c r="AJ46" s="197">
        <f t="shared" si="82"/>
        <v>975.96800000000019</v>
      </c>
      <c r="AK46" s="197">
        <f t="shared" si="83"/>
        <v>1195.9680000000003</v>
      </c>
      <c r="AL46" s="196">
        <f t="shared" si="98"/>
        <v>982.59565317641784</v>
      </c>
      <c r="AM46" s="197">
        <f t="shared" si="98"/>
        <v>160.75184510043644</v>
      </c>
      <c r="AN46" s="197">
        <f t="shared" si="99"/>
        <v>269.46539518104163</v>
      </c>
      <c r="AO46" s="197">
        <f t="shared" si="99"/>
        <v>713.13025799537627</v>
      </c>
      <c r="AP46" s="199">
        <f t="shared" si="99"/>
        <v>873.88210309581279</v>
      </c>
      <c r="AQ46" s="196">
        <f t="shared" si="127"/>
        <v>8385.208593780264</v>
      </c>
      <c r="AR46" s="197">
        <f t="shared" si="100"/>
        <v>1701.2038724890876</v>
      </c>
      <c r="AS46" s="197">
        <f t="shared" si="100"/>
        <v>4778.8583630775083</v>
      </c>
      <c r="AT46" s="197">
        <f t="shared" si="100"/>
        <v>3606.3502307027547</v>
      </c>
      <c r="AU46" s="199">
        <f t="shared" si="100"/>
        <v>5307.5541031918428</v>
      </c>
      <c r="AX46" s="204">
        <f t="shared" si="128"/>
        <v>9</v>
      </c>
      <c r="AY46" s="197">
        <f>'Energy NPV'!$D99*$AZ$34</f>
        <v>8.15</v>
      </c>
      <c r="AZ46" s="197">
        <f>'Energy margins'!$Z$12</f>
        <v>55</v>
      </c>
      <c r="BA46" s="197">
        <f t="shared" si="129"/>
        <v>448.25</v>
      </c>
      <c r="BB46" s="197">
        <f>'Margins summary'!$W$14</f>
        <v>220</v>
      </c>
      <c r="BC46" s="197">
        <f t="shared" si="101"/>
        <v>668.25</v>
      </c>
      <c r="BD46" s="197"/>
      <c r="BE46" s="897">
        <f>'Energy NPV'!U99</f>
        <v>368.78200000000004</v>
      </c>
      <c r="BF46" s="197"/>
      <c r="BG46" s="197">
        <f t="shared" si="84"/>
        <v>368.78200000000004</v>
      </c>
      <c r="BH46" s="197">
        <f t="shared" si="85"/>
        <v>79.467999999999961</v>
      </c>
      <c r="BI46" s="197">
        <f t="shared" si="86"/>
        <v>299.46799999999996</v>
      </c>
      <c r="BJ46" s="196">
        <f t="shared" si="102"/>
        <v>327.5318843921392</v>
      </c>
      <c r="BK46" s="197">
        <f t="shared" si="102"/>
        <v>160.75184510043644</v>
      </c>
      <c r="BL46" s="197">
        <f t="shared" si="103"/>
        <v>269.46539518104163</v>
      </c>
      <c r="BM46" s="197">
        <f t="shared" si="103"/>
        <v>58.066489211097618</v>
      </c>
      <c r="BN46" s="199">
        <f t="shared" si="103"/>
        <v>218.81833431153404</v>
      </c>
      <c r="BO46" s="196">
        <f t="shared" si="130"/>
        <v>2795.0695312600874</v>
      </c>
      <c r="BP46" s="197">
        <f t="shared" si="104"/>
        <v>1701.2038724890876</v>
      </c>
      <c r="BQ46" s="197">
        <f t="shared" si="105"/>
        <v>4778.8583630775083</v>
      </c>
      <c r="BR46" s="197">
        <f t="shared" si="106"/>
        <v>-1983.7888318174207</v>
      </c>
      <c r="BS46" s="199">
        <f t="shared" si="107"/>
        <v>-282.58495932833307</v>
      </c>
      <c r="BV46" s="204">
        <f t="shared" si="131"/>
        <v>9</v>
      </c>
      <c r="BW46" s="197">
        <f>'Energy NPV'!$D99*$BX$34</f>
        <v>32.6</v>
      </c>
      <c r="BX46" s="197">
        <f>'Energy margins'!$Z$12</f>
        <v>55</v>
      </c>
      <c r="BY46" s="197">
        <f t="shared" si="132"/>
        <v>1793</v>
      </c>
      <c r="BZ46" s="197">
        <f>'Margins summary'!$W$14</f>
        <v>220</v>
      </c>
      <c r="CA46" s="197">
        <f t="shared" si="108"/>
        <v>2013</v>
      </c>
      <c r="CB46" s="197"/>
      <c r="CC46" s="897">
        <f>'Energy NPV'!U99</f>
        <v>368.78200000000004</v>
      </c>
      <c r="CD46" s="197"/>
      <c r="CE46" s="197">
        <f t="shared" si="87"/>
        <v>368.78200000000004</v>
      </c>
      <c r="CF46" s="197">
        <f t="shared" si="88"/>
        <v>1424.2179999999998</v>
      </c>
      <c r="CG46" s="197">
        <f t="shared" si="89"/>
        <v>1644.2179999999998</v>
      </c>
      <c r="CH46" s="196">
        <f t="shared" si="109"/>
        <v>1310.1275375685568</v>
      </c>
      <c r="CI46" s="197">
        <f t="shared" si="109"/>
        <v>160.75184510043644</v>
      </c>
      <c r="CJ46" s="197">
        <f t="shared" si="110"/>
        <v>269.46539518104163</v>
      </c>
      <c r="CK46" s="197">
        <f t="shared" si="110"/>
        <v>1040.6621423875151</v>
      </c>
      <c r="CL46" s="199">
        <f t="shared" si="110"/>
        <v>1201.4139874879515</v>
      </c>
      <c r="CM46" s="196">
        <f t="shared" si="133"/>
        <v>11180.27812504035</v>
      </c>
      <c r="CN46" s="197">
        <f t="shared" si="111"/>
        <v>1701.2038724890876</v>
      </c>
      <c r="CO46" s="197">
        <f t="shared" si="112"/>
        <v>4778.8583630775083</v>
      </c>
      <c r="CP46" s="197">
        <f t="shared" si="113"/>
        <v>6401.4197619628412</v>
      </c>
      <c r="CQ46" s="199">
        <f t="shared" si="114"/>
        <v>8102.6236344519275</v>
      </c>
      <c r="CT46" s="204">
        <f t="shared" si="134"/>
        <v>9</v>
      </c>
      <c r="CU46" s="197">
        <f>'Energy NPV'!$D99*$CV$34</f>
        <v>0</v>
      </c>
      <c r="CV46" s="197">
        <f>'Energy margins'!$Z$12</f>
        <v>55</v>
      </c>
      <c r="CW46" s="197">
        <f t="shared" si="135"/>
        <v>0</v>
      </c>
      <c r="CX46" s="197">
        <f>'Margins summary'!$W$14</f>
        <v>220</v>
      </c>
      <c r="CY46" s="197">
        <f t="shared" si="115"/>
        <v>220</v>
      </c>
      <c r="CZ46" s="197"/>
      <c r="DA46" s="897">
        <f>'Energy NPV'!U99</f>
        <v>368.78200000000004</v>
      </c>
      <c r="DB46" s="197"/>
      <c r="DC46" s="197">
        <f t="shared" si="90"/>
        <v>368.78200000000004</v>
      </c>
      <c r="DD46" s="197">
        <f t="shared" si="91"/>
        <v>-368.78200000000004</v>
      </c>
      <c r="DE46" s="197">
        <f t="shared" si="92"/>
        <v>-148.78200000000004</v>
      </c>
      <c r="DF46" s="196">
        <f t="shared" si="116"/>
        <v>0</v>
      </c>
      <c r="DG46" s="197">
        <f t="shared" si="116"/>
        <v>160.75184510043644</v>
      </c>
      <c r="DH46" s="197">
        <f t="shared" si="117"/>
        <v>269.46539518104163</v>
      </c>
      <c r="DI46" s="197">
        <f t="shared" si="117"/>
        <v>-269.46539518104163</v>
      </c>
      <c r="DJ46" s="199">
        <f t="shared" si="117"/>
        <v>-108.71355008060517</v>
      </c>
      <c r="DK46" s="196">
        <f t="shared" si="136"/>
        <v>0</v>
      </c>
      <c r="DL46" s="197">
        <f t="shared" si="118"/>
        <v>1701.2038724890876</v>
      </c>
      <c r="DM46" s="197">
        <f t="shared" si="119"/>
        <v>4778.8583630775083</v>
      </c>
      <c r="DN46" s="197">
        <f t="shared" si="120"/>
        <v>-4778.8583630775083</v>
      </c>
      <c r="DO46" s="199">
        <f t="shared" si="121"/>
        <v>-3077.6544905884211</v>
      </c>
    </row>
    <row r="47" spans="2:175" x14ac:dyDescent="0.3">
      <c r="B47" s="204">
        <f t="shared" si="122"/>
        <v>10</v>
      </c>
      <c r="C47" s="225">
        <f>'Energy NPV'!$D100*$E$34</f>
        <v>16.3</v>
      </c>
      <c r="D47" s="197">
        <f>'Energy margins'!$Z$12</f>
        <v>55</v>
      </c>
      <c r="E47" s="197">
        <f t="shared" si="123"/>
        <v>896.5</v>
      </c>
      <c r="F47" s="197">
        <f>'Margins summary'!$W$14</f>
        <v>220</v>
      </c>
      <c r="G47" s="197">
        <f t="shared" si="93"/>
        <v>1116.5</v>
      </c>
      <c r="H47" s="197"/>
      <c r="I47" s="897">
        <f>'Energy NPV'!U100</f>
        <v>368.78200000000004</v>
      </c>
      <c r="J47" s="197"/>
      <c r="K47" s="197">
        <f t="shared" si="78"/>
        <v>368.78200000000004</v>
      </c>
      <c r="L47" s="197">
        <f t="shared" si="79"/>
        <v>527.71799999999996</v>
      </c>
      <c r="M47" s="197">
        <f t="shared" si="80"/>
        <v>747.71799999999996</v>
      </c>
      <c r="N47" s="196">
        <f t="shared" si="94"/>
        <v>629.8690084464215</v>
      </c>
      <c r="O47" s="197">
        <f t="shared" si="94"/>
        <v>154.5690818273427</v>
      </c>
      <c r="P47" s="197">
        <f t="shared" si="95"/>
        <v>259.10134152023227</v>
      </c>
      <c r="Q47" s="197">
        <f t="shared" si="95"/>
        <v>370.76766692618924</v>
      </c>
      <c r="R47" s="199">
        <f t="shared" si="95"/>
        <v>525.33674875353199</v>
      </c>
      <c r="S47" s="196">
        <f t="shared" si="124"/>
        <v>6220.0080709665963</v>
      </c>
      <c r="T47" s="197">
        <f t="shared" si="96"/>
        <v>1855.7729543164303</v>
      </c>
      <c r="U47" s="197">
        <f t="shared" si="96"/>
        <v>5037.9597045977407</v>
      </c>
      <c r="V47" s="197">
        <f t="shared" si="96"/>
        <v>1182.048366368856</v>
      </c>
      <c r="W47" s="199">
        <f t="shared" si="96"/>
        <v>3037.8213206852865</v>
      </c>
      <c r="Z47" s="204">
        <f t="shared" si="125"/>
        <v>10</v>
      </c>
      <c r="AA47" s="197">
        <f>'Energy NPV'!$D100*$AB$34</f>
        <v>24.450000000000003</v>
      </c>
      <c r="AB47" s="197">
        <f>'Energy margins'!$Z$12</f>
        <v>55</v>
      </c>
      <c r="AC47" s="197">
        <f t="shared" si="126"/>
        <v>1344.7500000000002</v>
      </c>
      <c r="AD47" s="197">
        <f>'Margins summary'!$W$14</f>
        <v>220</v>
      </c>
      <c r="AE47" s="197">
        <f t="shared" si="97"/>
        <v>1564.7500000000002</v>
      </c>
      <c r="AF47" s="197"/>
      <c r="AG47" s="897">
        <f>'Energy NPV'!U100</f>
        <v>368.78200000000004</v>
      </c>
      <c r="AH47" s="197"/>
      <c r="AI47" s="197">
        <f t="shared" si="81"/>
        <v>368.78200000000004</v>
      </c>
      <c r="AJ47" s="197">
        <f t="shared" si="82"/>
        <v>975.96800000000019</v>
      </c>
      <c r="AK47" s="197">
        <f t="shared" si="83"/>
        <v>1195.9680000000003</v>
      </c>
      <c r="AL47" s="196">
        <f t="shared" si="98"/>
        <v>944.80351266963248</v>
      </c>
      <c r="AM47" s="197">
        <f t="shared" si="98"/>
        <v>154.5690818273427</v>
      </c>
      <c r="AN47" s="197">
        <f t="shared" si="99"/>
        <v>259.10134152023227</v>
      </c>
      <c r="AO47" s="197">
        <f t="shared" si="99"/>
        <v>685.70217114940021</v>
      </c>
      <c r="AP47" s="199">
        <f t="shared" si="99"/>
        <v>840.27125297674297</v>
      </c>
      <c r="AQ47" s="196">
        <f t="shared" si="127"/>
        <v>9330.0121064498962</v>
      </c>
      <c r="AR47" s="197">
        <f t="shared" si="100"/>
        <v>1855.7729543164303</v>
      </c>
      <c r="AS47" s="197">
        <f t="shared" si="100"/>
        <v>5037.9597045977407</v>
      </c>
      <c r="AT47" s="197">
        <f t="shared" si="100"/>
        <v>4292.0524018521546</v>
      </c>
      <c r="AU47" s="199">
        <f t="shared" si="100"/>
        <v>6147.825356168586</v>
      </c>
      <c r="AX47" s="204">
        <f t="shared" si="128"/>
        <v>10</v>
      </c>
      <c r="AY47" s="197">
        <f>'Energy NPV'!$D100*$AZ$34</f>
        <v>8.15</v>
      </c>
      <c r="AZ47" s="197">
        <f>'Energy margins'!$Z$12</f>
        <v>55</v>
      </c>
      <c r="BA47" s="197">
        <f t="shared" si="129"/>
        <v>448.25</v>
      </c>
      <c r="BB47" s="197">
        <f>'Margins summary'!$W$14</f>
        <v>220</v>
      </c>
      <c r="BC47" s="197">
        <f t="shared" si="101"/>
        <v>668.25</v>
      </c>
      <c r="BD47" s="197"/>
      <c r="BE47" s="897">
        <f>'Energy NPV'!U100</f>
        <v>368.78200000000004</v>
      </c>
      <c r="BF47" s="197"/>
      <c r="BG47" s="197">
        <f t="shared" si="84"/>
        <v>368.78200000000004</v>
      </c>
      <c r="BH47" s="197">
        <f t="shared" si="85"/>
        <v>79.467999999999961</v>
      </c>
      <c r="BI47" s="197">
        <f t="shared" si="86"/>
        <v>299.46799999999996</v>
      </c>
      <c r="BJ47" s="196">
        <f t="shared" si="102"/>
        <v>314.93450422321075</v>
      </c>
      <c r="BK47" s="197">
        <f t="shared" si="102"/>
        <v>154.5690818273427</v>
      </c>
      <c r="BL47" s="197">
        <f t="shared" si="103"/>
        <v>259.10134152023227</v>
      </c>
      <c r="BM47" s="197">
        <f t="shared" si="103"/>
        <v>55.833162702978477</v>
      </c>
      <c r="BN47" s="199">
        <f t="shared" si="103"/>
        <v>210.40224453032118</v>
      </c>
      <c r="BO47" s="196">
        <f t="shared" si="130"/>
        <v>3110.0040354832981</v>
      </c>
      <c r="BP47" s="197">
        <f t="shared" si="104"/>
        <v>1855.7729543164303</v>
      </c>
      <c r="BQ47" s="197">
        <f t="shared" si="105"/>
        <v>5037.9597045977407</v>
      </c>
      <c r="BR47" s="197">
        <f t="shared" si="106"/>
        <v>-1927.9556691144423</v>
      </c>
      <c r="BS47" s="199">
        <f t="shared" si="107"/>
        <v>-72.182714798011887</v>
      </c>
      <c r="BV47" s="204">
        <f t="shared" si="131"/>
        <v>10</v>
      </c>
      <c r="BW47" s="197">
        <f>'Energy NPV'!$D100*$BX$34</f>
        <v>32.6</v>
      </c>
      <c r="BX47" s="197">
        <f>'Energy margins'!$Z$12</f>
        <v>55</v>
      </c>
      <c r="BY47" s="197">
        <f t="shared" si="132"/>
        <v>1793</v>
      </c>
      <c r="BZ47" s="197">
        <f>'Margins summary'!$W$14</f>
        <v>220</v>
      </c>
      <c r="CA47" s="197">
        <f t="shared" si="108"/>
        <v>2013</v>
      </c>
      <c r="CB47" s="197"/>
      <c r="CC47" s="897">
        <f>'Energy NPV'!U100</f>
        <v>368.78200000000004</v>
      </c>
      <c r="CD47" s="197"/>
      <c r="CE47" s="197">
        <f t="shared" si="87"/>
        <v>368.78200000000004</v>
      </c>
      <c r="CF47" s="197">
        <f t="shared" si="88"/>
        <v>1424.2179999999998</v>
      </c>
      <c r="CG47" s="197">
        <f t="shared" si="89"/>
        <v>1644.2179999999998</v>
      </c>
      <c r="CH47" s="196">
        <f t="shared" si="109"/>
        <v>1259.738016892843</v>
      </c>
      <c r="CI47" s="197">
        <f t="shared" si="109"/>
        <v>154.5690818273427</v>
      </c>
      <c r="CJ47" s="197">
        <f t="shared" si="110"/>
        <v>259.10134152023227</v>
      </c>
      <c r="CK47" s="197">
        <f t="shared" si="110"/>
        <v>1000.6366753726107</v>
      </c>
      <c r="CL47" s="199">
        <f t="shared" si="110"/>
        <v>1155.2057571999535</v>
      </c>
      <c r="CM47" s="196">
        <f t="shared" si="133"/>
        <v>12440.016141933193</v>
      </c>
      <c r="CN47" s="197">
        <f t="shared" si="111"/>
        <v>1855.7729543164303</v>
      </c>
      <c r="CO47" s="197">
        <f t="shared" si="112"/>
        <v>5037.9597045977407</v>
      </c>
      <c r="CP47" s="197">
        <f t="shared" si="113"/>
        <v>7402.0564373354518</v>
      </c>
      <c r="CQ47" s="199">
        <f t="shared" si="114"/>
        <v>9257.8293916518815</v>
      </c>
      <c r="CT47" s="204">
        <f t="shared" si="134"/>
        <v>10</v>
      </c>
      <c r="CU47" s="197">
        <f>'Energy NPV'!$D100*$CV$34</f>
        <v>0</v>
      </c>
      <c r="CV47" s="197">
        <f>'Energy margins'!$Z$12</f>
        <v>55</v>
      </c>
      <c r="CW47" s="197">
        <f t="shared" si="135"/>
        <v>0</v>
      </c>
      <c r="CX47" s="197">
        <f>'Margins summary'!$W$14</f>
        <v>220</v>
      </c>
      <c r="CY47" s="197">
        <f t="shared" si="115"/>
        <v>220</v>
      </c>
      <c r="CZ47" s="197"/>
      <c r="DA47" s="897">
        <f>'Energy NPV'!U100</f>
        <v>368.78200000000004</v>
      </c>
      <c r="DB47" s="197"/>
      <c r="DC47" s="197">
        <f t="shared" si="90"/>
        <v>368.78200000000004</v>
      </c>
      <c r="DD47" s="197">
        <f t="shared" si="91"/>
        <v>-368.78200000000004</v>
      </c>
      <c r="DE47" s="197">
        <f t="shared" si="92"/>
        <v>-148.78200000000004</v>
      </c>
      <c r="DF47" s="196">
        <f t="shared" si="116"/>
        <v>0</v>
      </c>
      <c r="DG47" s="197">
        <f t="shared" si="116"/>
        <v>154.5690818273427</v>
      </c>
      <c r="DH47" s="197">
        <f t="shared" si="117"/>
        <v>259.10134152023227</v>
      </c>
      <c r="DI47" s="197">
        <f t="shared" si="117"/>
        <v>-259.10134152023227</v>
      </c>
      <c r="DJ47" s="199">
        <f t="shared" si="117"/>
        <v>-104.53225969288958</v>
      </c>
      <c r="DK47" s="196">
        <f t="shared" si="136"/>
        <v>0</v>
      </c>
      <c r="DL47" s="197">
        <f t="shared" si="118"/>
        <v>1855.7729543164303</v>
      </c>
      <c r="DM47" s="197">
        <f t="shared" si="119"/>
        <v>5037.9597045977407</v>
      </c>
      <c r="DN47" s="197">
        <f t="shared" si="120"/>
        <v>-5037.9597045977407</v>
      </c>
      <c r="DO47" s="199">
        <f t="shared" si="121"/>
        <v>-3182.1867502813107</v>
      </c>
    </row>
    <row r="48" spans="2:175" x14ac:dyDescent="0.3">
      <c r="B48" s="204">
        <f t="shared" si="122"/>
        <v>11</v>
      </c>
      <c r="C48" s="225">
        <f>'Energy NPV'!$D101*$E$34</f>
        <v>16.3</v>
      </c>
      <c r="D48" s="197">
        <f>'Energy margins'!$Z$12</f>
        <v>55</v>
      </c>
      <c r="E48" s="197">
        <f t="shared" si="123"/>
        <v>896.5</v>
      </c>
      <c r="F48" s="197">
        <f>'Margins summary'!$W$14</f>
        <v>220</v>
      </c>
      <c r="G48" s="197">
        <f t="shared" si="93"/>
        <v>1116.5</v>
      </c>
      <c r="H48" s="197"/>
      <c r="I48" s="897">
        <f>'Energy NPV'!U101</f>
        <v>368.78200000000004</v>
      </c>
      <c r="J48" s="197"/>
      <c r="K48" s="197">
        <f t="shared" si="78"/>
        <v>368.78200000000004</v>
      </c>
      <c r="L48" s="197">
        <f t="shared" si="79"/>
        <v>527.71799999999996</v>
      </c>
      <c r="M48" s="197">
        <f t="shared" si="80"/>
        <v>747.71799999999996</v>
      </c>
      <c r="N48" s="196">
        <f t="shared" si="94"/>
        <v>605.64327735232837</v>
      </c>
      <c r="O48" s="197">
        <f t="shared" si="94"/>
        <v>148.62411714167567</v>
      </c>
      <c r="P48" s="197">
        <f t="shared" si="95"/>
        <v>249.13590530791566</v>
      </c>
      <c r="Q48" s="197">
        <f t="shared" si="95"/>
        <v>356.50737204441276</v>
      </c>
      <c r="R48" s="199">
        <f t="shared" si="95"/>
        <v>505.1314891860884</v>
      </c>
      <c r="S48" s="196">
        <f t="shared" si="124"/>
        <v>6825.6513483189246</v>
      </c>
      <c r="T48" s="197">
        <f t="shared" si="96"/>
        <v>2004.397071458106</v>
      </c>
      <c r="U48" s="197">
        <f t="shared" si="96"/>
        <v>5287.0956099056566</v>
      </c>
      <c r="V48" s="197">
        <f t="shared" si="96"/>
        <v>1538.5557384132687</v>
      </c>
      <c r="W48" s="199">
        <f t="shared" si="96"/>
        <v>3542.9528098713749</v>
      </c>
      <c r="Z48" s="204">
        <f t="shared" si="125"/>
        <v>11</v>
      </c>
      <c r="AA48" s="197">
        <f>'Energy NPV'!$D101*$AB$34</f>
        <v>24.450000000000003</v>
      </c>
      <c r="AB48" s="197">
        <f>'Energy margins'!$Z$12</f>
        <v>55</v>
      </c>
      <c r="AC48" s="197">
        <f t="shared" si="126"/>
        <v>1344.7500000000002</v>
      </c>
      <c r="AD48" s="197">
        <f>'Margins summary'!$W$14</f>
        <v>220</v>
      </c>
      <c r="AE48" s="197">
        <f t="shared" si="97"/>
        <v>1564.7500000000002</v>
      </c>
      <c r="AF48" s="197"/>
      <c r="AG48" s="897">
        <f>'Energy NPV'!U101</f>
        <v>368.78200000000004</v>
      </c>
      <c r="AH48" s="197"/>
      <c r="AI48" s="197">
        <f t="shared" si="81"/>
        <v>368.78200000000004</v>
      </c>
      <c r="AJ48" s="197">
        <f t="shared" si="82"/>
        <v>975.96800000000019</v>
      </c>
      <c r="AK48" s="197">
        <f t="shared" si="83"/>
        <v>1195.9680000000003</v>
      </c>
      <c r="AL48" s="196">
        <f t="shared" si="98"/>
        <v>908.46491602849278</v>
      </c>
      <c r="AM48" s="197">
        <f t="shared" si="98"/>
        <v>148.62411714167567</v>
      </c>
      <c r="AN48" s="197">
        <f t="shared" si="99"/>
        <v>249.13590530791566</v>
      </c>
      <c r="AO48" s="197">
        <f t="shared" si="99"/>
        <v>659.32901072057712</v>
      </c>
      <c r="AP48" s="199">
        <f t="shared" si="99"/>
        <v>807.95312786225281</v>
      </c>
      <c r="AQ48" s="196">
        <f t="shared" si="127"/>
        <v>10238.47702247839</v>
      </c>
      <c r="AR48" s="197">
        <f t="shared" si="100"/>
        <v>2004.397071458106</v>
      </c>
      <c r="AS48" s="197">
        <f t="shared" si="100"/>
        <v>5287.0956099056566</v>
      </c>
      <c r="AT48" s="197">
        <f t="shared" si="100"/>
        <v>4951.3814125727313</v>
      </c>
      <c r="AU48" s="199">
        <f t="shared" si="100"/>
        <v>6955.7784840308386</v>
      </c>
      <c r="AX48" s="204">
        <f t="shared" si="128"/>
        <v>11</v>
      </c>
      <c r="AY48" s="197">
        <f>'Energy NPV'!$D101*$AZ$34</f>
        <v>8.15</v>
      </c>
      <c r="AZ48" s="197">
        <f>'Energy margins'!$Z$12</f>
        <v>55</v>
      </c>
      <c r="BA48" s="197">
        <f t="shared" si="129"/>
        <v>448.25</v>
      </c>
      <c r="BB48" s="197">
        <f>'Margins summary'!$W$14</f>
        <v>220</v>
      </c>
      <c r="BC48" s="197">
        <f t="shared" si="101"/>
        <v>668.25</v>
      </c>
      <c r="BD48" s="197"/>
      <c r="BE48" s="897">
        <f>'Energy NPV'!U101</f>
        <v>368.78200000000004</v>
      </c>
      <c r="BF48" s="197"/>
      <c r="BG48" s="197">
        <f t="shared" si="84"/>
        <v>368.78200000000004</v>
      </c>
      <c r="BH48" s="197">
        <f t="shared" si="85"/>
        <v>79.467999999999961</v>
      </c>
      <c r="BI48" s="197">
        <f t="shared" si="86"/>
        <v>299.46799999999996</v>
      </c>
      <c r="BJ48" s="196">
        <f t="shared" si="102"/>
        <v>302.82163867616418</v>
      </c>
      <c r="BK48" s="197">
        <f t="shared" si="102"/>
        <v>148.62411714167567</v>
      </c>
      <c r="BL48" s="197">
        <f t="shared" si="103"/>
        <v>249.13590530791566</v>
      </c>
      <c r="BM48" s="197">
        <f t="shared" si="103"/>
        <v>53.685733368248535</v>
      </c>
      <c r="BN48" s="199">
        <f t="shared" si="103"/>
        <v>202.30985050992422</v>
      </c>
      <c r="BO48" s="196">
        <f t="shared" si="130"/>
        <v>3412.8256741594623</v>
      </c>
      <c r="BP48" s="197">
        <f t="shared" si="104"/>
        <v>2004.397071458106</v>
      </c>
      <c r="BQ48" s="197">
        <f t="shared" si="105"/>
        <v>5287.0956099056566</v>
      </c>
      <c r="BR48" s="197">
        <f t="shared" si="106"/>
        <v>-1874.2699357461938</v>
      </c>
      <c r="BS48" s="199">
        <f t="shared" si="107"/>
        <v>130.12713571191233</v>
      </c>
      <c r="BV48" s="204">
        <f t="shared" si="131"/>
        <v>11</v>
      </c>
      <c r="BW48" s="197">
        <f>'Energy NPV'!$D101*$BX$34</f>
        <v>32.6</v>
      </c>
      <c r="BX48" s="197">
        <f>'Energy margins'!$Z$12</f>
        <v>55</v>
      </c>
      <c r="BY48" s="197">
        <f t="shared" si="132"/>
        <v>1793</v>
      </c>
      <c r="BZ48" s="197">
        <f>'Margins summary'!$W$14</f>
        <v>220</v>
      </c>
      <c r="CA48" s="197">
        <f t="shared" si="108"/>
        <v>2013</v>
      </c>
      <c r="CB48" s="197"/>
      <c r="CC48" s="897">
        <f>'Energy NPV'!U101</f>
        <v>368.78200000000004</v>
      </c>
      <c r="CD48" s="197"/>
      <c r="CE48" s="197">
        <f t="shared" si="87"/>
        <v>368.78200000000004</v>
      </c>
      <c r="CF48" s="197">
        <f t="shared" si="88"/>
        <v>1424.2179999999998</v>
      </c>
      <c r="CG48" s="197">
        <f t="shared" si="89"/>
        <v>1644.2179999999998</v>
      </c>
      <c r="CH48" s="196">
        <f t="shared" si="109"/>
        <v>1211.2865547046567</v>
      </c>
      <c r="CI48" s="197">
        <f t="shared" si="109"/>
        <v>148.62411714167567</v>
      </c>
      <c r="CJ48" s="197">
        <f t="shared" si="110"/>
        <v>249.13590530791566</v>
      </c>
      <c r="CK48" s="197">
        <f t="shared" si="110"/>
        <v>962.15064939674107</v>
      </c>
      <c r="CL48" s="199">
        <f t="shared" si="110"/>
        <v>1110.7747665384168</v>
      </c>
      <c r="CM48" s="196">
        <f t="shared" si="133"/>
        <v>13651.302696637849</v>
      </c>
      <c r="CN48" s="197">
        <f t="shared" si="111"/>
        <v>2004.397071458106</v>
      </c>
      <c r="CO48" s="197">
        <f t="shared" si="112"/>
        <v>5287.0956099056566</v>
      </c>
      <c r="CP48" s="197">
        <f t="shared" si="113"/>
        <v>8364.2070867321927</v>
      </c>
      <c r="CQ48" s="199">
        <f t="shared" si="114"/>
        <v>10368.604158190297</v>
      </c>
      <c r="CT48" s="204">
        <f t="shared" si="134"/>
        <v>11</v>
      </c>
      <c r="CU48" s="197">
        <f>'Energy NPV'!$D101*$CV$34</f>
        <v>0</v>
      </c>
      <c r="CV48" s="197">
        <f>'Energy margins'!$Z$12</f>
        <v>55</v>
      </c>
      <c r="CW48" s="197">
        <f t="shared" si="135"/>
        <v>0</v>
      </c>
      <c r="CX48" s="197">
        <f>'Margins summary'!$W$14</f>
        <v>220</v>
      </c>
      <c r="CY48" s="197">
        <f t="shared" si="115"/>
        <v>220</v>
      </c>
      <c r="CZ48" s="197"/>
      <c r="DA48" s="897">
        <f>'Energy NPV'!U101</f>
        <v>368.78200000000004</v>
      </c>
      <c r="DB48" s="197"/>
      <c r="DC48" s="197">
        <f t="shared" si="90"/>
        <v>368.78200000000004</v>
      </c>
      <c r="DD48" s="197">
        <f t="shared" si="91"/>
        <v>-368.78200000000004</v>
      </c>
      <c r="DE48" s="197">
        <f t="shared" si="92"/>
        <v>-148.78200000000004</v>
      </c>
      <c r="DF48" s="196">
        <f t="shared" si="116"/>
        <v>0</v>
      </c>
      <c r="DG48" s="197">
        <f t="shared" si="116"/>
        <v>148.62411714167567</v>
      </c>
      <c r="DH48" s="197">
        <f t="shared" si="117"/>
        <v>249.13590530791566</v>
      </c>
      <c r="DI48" s="197">
        <f t="shared" si="117"/>
        <v>-249.13590530791566</v>
      </c>
      <c r="DJ48" s="199">
        <f t="shared" si="117"/>
        <v>-100.51178816623998</v>
      </c>
      <c r="DK48" s="196">
        <f t="shared" si="136"/>
        <v>0</v>
      </c>
      <c r="DL48" s="197">
        <f t="shared" si="118"/>
        <v>2004.397071458106</v>
      </c>
      <c r="DM48" s="197">
        <f t="shared" si="119"/>
        <v>5287.0956099056566</v>
      </c>
      <c r="DN48" s="197">
        <f t="shared" si="120"/>
        <v>-5287.0956099056566</v>
      </c>
      <c r="DO48" s="199">
        <f t="shared" si="121"/>
        <v>-3282.6985384475506</v>
      </c>
    </row>
    <row r="49" spans="2:176" x14ac:dyDescent="0.3">
      <c r="B49" s="204">
        <f t="shared" si="122"/>
        <v>12</v>
      </c>
      <c r="C49" s="225">
        <f>'Energy NPV'!$D102*$E$34</f>
        <v>16.3</v>
      </c>
      <c r="D49" s="197">
        <f>'Energy margins'!$Z$12</f>
        <v>55</v>
      </c>
      <c r="E49" s="197">
        <f t="shared" si="123"/>
        <v>896.5</v>
      </c>
      <c r="F49" s="197">
        <f>'Margins summary'!$W$14</f>
        <v>220</v>
      </c>
      <c r="G49" s="197">
        <f t="shared" si="93"/>
        <v>1116.5</v>
      </c>
      <c r="H49" s="197"/>
      <c r="I49" s="897">
        <f>'Energy NPV'!U102</f>
        <v>368.78200000000004</v>
      </c>
      <c r="J49" s="197"/>
      <c r="K49" s="197">
        <f t="shared" si="78"/>
        <v>368.78200000000004</v>
      </c>
      <c r="L49" s="197">
        <f t="shared" si="79"/>
        <v>527.71799999999996</v>
      </c>
      <c r="M49" s="197">
        <f t="shared" si="80"/>
        <v>747.71799999999996</v>
      </c>
      <c r="N49" s="196">
        <f t="shared" si="94"/>
        <v>582.34930514646965</v>
      </c>
      <c r="O49" s="197">
        <f t="shared" si="94"/>
        <v>142.90780494391893</v>
      </c>
      <c r="P49" s="197">
        <f t="shared" si="95"/>
        <v>239.55375510376507</v>
      </c>
      <c r="Q49" s="197">
        <f t="shared" si="95"/>
        <v>342.79555004270458</v>
      </c>
      <c r="R49" s="199">
        <f t="shared" si="95"/>
        <v>485.70335498662354</v>
      </c>
      <c r="S49" s="196">
        <f t="shared" si="124"/>
        <v>7408.000653465394</v>
      </c>
      <c r="T49" s="197">
        <f t="shared" si="96"/>
        <v>2147.304876402025</v>
      </c>
      <c r="U49" s="197">
        <f t="shared" si="96"/>
        <v>5526.6493650094217</v>
      </c>
      <c r="V49" s="197">
        <f t="shared" si="96"/>
        <v>1881.3512884559732</v>
      </c>
      <c r="W49" s="199">
        <f t="shared" si="96"/>
        <v>4028.6561648579986</v>
      </c>
      <c r="Z49" s="204">
        <f t="shared" si="125"/>
        <v>12</v>
      </c>
      <c r="AA49" s="197">
        <f>'Energy NPV'!$D102*$AB$34</f>
        <v>24.450000000000003</v>
      </c>
      <c r="AB49" s="197">
        <f>'Energy margins'!$Z$12</f>
        <v>55</v>
      </c>
      <c r="AC49" s="197">
        <f t="shared" si="126"/>
        <v>1344.7500000000002</v>
      </c>
      <c r="AD49" s="197">
        <f>'Margins summary'!$W$14</f>
        <v>220</v>
      </c>
      <c r="AE49" s="197">
        <f t="shared" si="97"/>
        <v>1564.7500000000002</v>
      </c>
      <c r="AF49" s="197"/>
      <c r="AG49" s="897">
        <f>'Energy NPV'!U102</f>
        <v>368.78200000000004</v>
      </c>
      <c r="AH49" s="197"/>
      <c r="AI49" s="197">
        <f t="shared" si="81"/>
        <v>368.78200000000004</v>
      </c>
      <c r="AJ49" s="197">
        <f t="shared" si="82"/>
        <v>975.96800000000019</v>
      </c>
      <c r="AK49" s="197">
        <f t="shared" si="83"/>
        <v>1195.9680000000003</v>
      </c>
      <c r="AL49" s="196">
        <f t="shared" si="98"/>
        <v>873.52395771970464</v>
      </c>
      <c r="AM49" s="197">
        <f t="shared" si="98"/>
        <v>142.90780494391893</v>
      </c>
      <c r="AN49" s="197">
        <f t="shared" si="99"/>
        <v>239.55375510376507</v>
      </c>
      <c r="AO49" s="197">
        <f t="shared" si="99"/>
        <v>633.97020261593957</v>
      </c>
      <c r="AP49" s="199">
        <f t="shared" si="99"/>
        <v>776.87800755985859</v>
      </c>
      <c r="AQ49" s="196">
        <f t="shared" si="127"/>
        <v>11112.000980198094</v>
      </c>
      <c r="AR49" s="197">
        <f t="shared" si="100"/>
        <v>2147.304876402025</v>
      </c>
      <c r="AS49" s="197">
        <f t="shared" si="100"/>
        <v>5526.6493650094217</v>
      </c>
      <c r="AT49" s="197">
        <f t="shared" si="100"/>
        <v>5585.3516151886706</v>
      </c>
      <c r="AU49" s="199">
        <f t="shared" si="100"/>
        <v>7732.6564915906974</v>
      </c>
      <c r="AX49" s="204">
        <f t="shared" si="128"/>
        <v>12</v>
      </c>
      <c r="AY49" s="197">
        <f>'Energy NPV'!$D102*$AZ$34</f>
        <v>8.15</v>
      </c>
      <c r="AZ49" s="197">
        <f>'Energy margins'!$Z$12</f>
        <v>55</v>
      </c>
      <c r="BA49" s="197">
        <f t="shared" si="129"/>
        <v>448.25</v>
      </c>
      <c r="BB49" s="197">
        <f>'Margins summary'!$W$14</f>
        <v>220</v>
      </c>
      <c r="BC49" s="197">
        <f t="shared" si="101"/>
        <v>668.25</v>
      </c>
      <c r="BD49" s="197"/>
      <c r="BE49" s="897">
        <f>'Energy NPV'!U102</f>
        <v>368.78200000000004</v>
      </c>
      <c r="BF49" s="197"/>
      <c r="BG49" s="197">
        <f t="shared" si="84"/>
        <v>368.78200000000004</v>
      </c>
      <c r="BH49" s="197">
        <f t="shared" si="85"/>
        <v>79.467999999999961</v>
      </c>
      <c r="BI49" s="197">
        <f t="shared" si="86"/>
        <v>299.46799999999996</v>
      </c>
      <c r="BJ49" s="196">
        <f t="shared" si="102"/>
        <v>291.17465257323482</v>
      </c>
      <c r="BK49" s="197">
        <f t="shared" si="102"/>
        <v>142.90780494391893</v>
      </c>
      <c r="BL49" s="197">
        <f t="shared" si="103"/>
        <v>239.55375510376507</v>
      </c>
      <c r="BM49" s="197">
        <f t="shared" si="103"/>
        <v>51.620897469469746</v>
      </c>
      <c r="BN49" s="199">
        <f t="shared" si="103"/>
        <v>194.52870241338869</v>
      </c>
      <c r="BO49" s="196">
        <f t="shared" si="130"/>
        <v>3704.000326732697</v>
      </c>
      <c r="BP49" s="197">
        <f t="shared" si="104"/>
        <v>2147.304876402025</v>
      </c>
      <c r="BQ49" s="197">
        <f t="shared" si="105"/>
        <v>5526.6493650094217</v>
      </c>
      <c r="BR49" s="197">
        <f t="shared" si="106"/>
        <v>-1822.649038276724</v>
      </c>
      <c r="BS49" s="199">
        <f t="shared" si="107"/>
        <v>324.65583812530099</v>
      </c>
      <c r="BV49" s="204">
        <f t="shared" si="131"/>
        <v>12</v>
      </c>
      <c r="BW49" s="197">
        <f>'Energy NPV'!$D102*$BX$34</f>
        <v>32.6</v>
      </c>
      <c r="BX49" s="197">
        <f>'Energy margins'!$Z$12</f>
        <v>55</v>
      </c>
      <c r="BY49" s="197">
        <f t="shared" si="132"/>
        <v>1793</v>
      </c>
      <c r="BZ49" s="197">
        <f>'Margins summary'!$W$14</f>
        <v>220</v>
      </c>
      <c r="CA49" s="197">
        <f t="shared" si="108"/>
        <v>2013</v>
      </c>
      <c r="CB49" s="197"/>
      <c r="CC49" s="897">
        <f>'Energy NPV'!U102</f>
        <v>368.78200000000004</v>
      </c>
      <c r="CD49" s="197"/>
      <c r="CE49" s="197">
        <f t="shared" si="87"/>
        <v>368.78200000000004</v>
      </c>
      <c r="CF49" s="197">
        <f t="shared" si="88"/>
        <v>1424.2179999999998</v>
      </c>
      <c r="CG49" s="197">
        <f t="shared" si="89"/>
        <v>1644.2179999999998</v>
      </c>
      <c r="CH49" s="196">
        <f t="shared" si="109"/>
        <v>1164.6986102929393</v>
      </c>
      <c r="CI49" s="197">
        <f t="shared" si="109"/>
        <v>142.90780494391893</v>
      </c>
      <c r="CJ49" s="197">
        <f t="shared" si="110"/>
        <v>239.55375510376507</v>
      </c>
      <c r="CK49" s="197">
        <f t="shared" si="110"/>
        <v>925.14485518917422</v>
      </c>
      <c r="CL49" s="199">
        <f t="shared" si="110"/>
        <v>1068.052660133093</v>
      </c>
      <c r="CM49" s="196">
        <f t="shared" si="133"/>
        <v>14816.001306930788</v>
      </c>
      <c r="CN49" s="197">
        <f t="shared" si="111"/>
        <v>2147.304876402025</v>
      </c>
      <c r="CO49" s="197">
        <f t="shared" si="112"/>
        <v>5526.6493650094217</v>
      </c>
      <c r="CP49" s="197">
        <f t="shared" si="113"/>
        <v>9289.3519419213662</v>
      </c>
      <c r="CQ49" s="199">
        <f t="shared" si="114"/>
        <v>11436.65681832339</v>
      </c>
      <c r="CT49" s="204">
        <f t="shared" si="134"/>
        <v>12</v>
      </c>
      <c r="CU49" s="197">
        <f>'Energy NPV'!$D102*$CV$34</f>
        <v>0</v>
      </c>
      <c r="CV49" s="197">
        <f>'Energy margins'!$Z$12</f>
        <v>55</v>
      </c>
      <c r="CW49" s="197">
        <f t="shared" si="135"/>
        <v>0</v>
      </c>
      <c r="CX49" s="197">
        <f>'Margins summary'!$W$14</f>
        <v>220</v>
      </c>
      <c r="CY49" s="197">
        <f t="shared" si="115"/>
        <v>220</v>
      </c>
      <c r="CZ49" s="197"/>
      <c r="DA49" s="897">
        <f>'Energy NPV'!U102</f>
        <v>368.78200000000004</v>
      </c>
      <c r="DB49" s="197"/>
      <c r="DC49" s="197">
        <f t="shared" si="90"/>
        <v>368.78200000000004</v>
      </c>
      <c r="DD49" s="197">
        <f t="shared" si="91"/>
        <v>-368.78200000000004</v>
      </c>
      <c r="DE49" s="197">
        <f t="shared" si="92"/>
        <v>-148.78200000000004</v>
      </c>
      <c r="DF49" s="196">
        <f t="shared" si="116"/>
        <v>0</v>
      </c>
      <c r="DG49" s="197">
        <f t="shared" si="116"/>
        <v>142.90780494391893</v>
      </c>
      <c r="DH49" s="197">
        <f t="shared" si="117"/>
        <v>239.55375510376507</v>
      </c>
      <c r="DI49" s="197">
        <f t="shared" si="117"/>
        <v>-239.55375510376507</v>
      </c>
      <c r="DJ49" s="199">
        <f t="shared" si="117"/>
        <v>-96.645950159846151</v>
      </c>
      <c r="DK49" s="196">
        <f t="shared" si="136"/>
        <v>0</v>
      </c>
      <c r="DL49" s="197">
        <f t="shared" si="118"/>
        <v>2147.304876402025</v>
      </c>
      <c r="DM49" s="197">
        <f t="shared" si="119"/>
        <v>5526.6493650094217</v>
      </c>
      <c r="DN49" s="197">
        <f t="shared" si="120"/>
        <v>-5526.6493650094217</v>
      </c>
      <c r="DO49" s="199">
        <f t="shared" si="121"/>
        <v>-3379.3444886073967</v>
      </c>
    </row>
    <row r="50" spans="2:176" x14ac:dyDescent="0.3">
      <c r="B50" s="204">
        <f t="shared" si="122"/>
        <v>13</v>
      </c>
      <c r="C50" s="225">
        <f>'Energy NPV'!$D103*$E$34</f>
        <v>16.3</v>
      </c>
      <c r="D50" s="197">
        <f>'Energy margins'!$Z$12</f>
        <v>55</v>
      </c>
      <c r="E50" s="197">
        <f t="shared" si="123"/>
        <v>896.5</v>
      </c>
      <c r="F50" s="197">
        <f>'Margins summary'!$W$14</f>
        <v>220</v>
      </c>
      <c r="G50" s="197">
        <f t="shared" si="93"/>
        <v>1116.5</v>
      </c>
      <c r="H50" s="197"/>
      <c r="I50" s="897">
        <f>'Energy NPV'!U103</f>
        <v>368.78200000000004</v>
      </c>
      <c r="J50" s="197"/>
      <c r="K50" s="197">
        <f t="shared" si="78"/>
        <v>368.78200000000004</v>
      </c>
      <c r="L50" s="197">
        <f t="shared" si="79"/>
        <v>527.71799999999996</v>
      </c>
      <c r="M50" s="197">
        <f t="shared" si="80"/>
        <v>747.71799999999996</v>
      </c>
      <c r="N50" s="196">
        <f t="shared" si="94"/>
        <v>559.95125494852834</v>
      </c>
      <c r="O50" s="197">
        <f t="shared" si="94"/>
        <v>137.41135090761432</v>
      </c>
      <c r="P50" s="197">
        <f t="shared" si="95"/>
        <v>230.3401491382356</v>
      </c>
      <c r="Q50" s="197">
        <f t="shared" si="95"/>
        <v>329.61110581029277</v>
      </c>
      <c r="R50" s="199">
        <f t="shared" si="95"/>
        <v>467.02245671790712</v>
      </c>
      <c r="S50" s="196">
        <f t="shared" si="124"/>
        <v>7967.951908413922</v>
      </c>
      <c r="T50" s="197">
        <f t="shared" si="96"/>
        <v>2284.7162273096392</v>
      </c>
      <c r="U50" s="197">
        <f t="shared" si="96"/>
        <v>5756.9895141476572</v>
      </c>
      <c r="V50" s="197">
        <f t="shared" si="96"/>
        <v>2210.9623942662661</v>
      </c>
      <c r="W50" s="199">
        <f t="shared" si="96"/>
        <v>4495.6786215759057</v>
      </c>
      <c r="Z50" s="204">
        <f t="shared" si="125"/>
        <v>13</v>
      </c>
      <c r="AA50" s="197">
        <f>'Energy NPV'!$D103*$AB$34</f>
        <v>24.450000000000003</v>
      </c>
      <c r="AB50" s="197">
        <f>'Energy margins'!$Z$12</f>
        <v>55</v>
      </c>
      <c r="AC50" s="197">
        <f t="shared" si="126"/>
        <v>1344.7500000000002</v>
      </c>
      <c r="AD50" s="197">
        <f>'Margins summary'!$W$14</f>
        <v>220</v>
      </c>
      <c r="AE50" s="197">
        <f t="shared" si="97"/>
        <v>1564.7500000000002</v>
      </c>
      <c r="AF50" s="197"/>
      <c r="AG50" s="897">
        <f>'Energy NPV'!U103</f>
        <v>368.78200000000004</v>
      </c>
      <c r="AH50" s="197"/>
      <c r="AI50" s="197">
        <f t="shared" si="81"/>
        <v>368.78200000000004</v>
      </c>
      <c r="AJ50" s="197">
        <f t="shared" si="82"/>
        <v>975.96800000000019</v>
      </c>
      <c r="AK50" s="197">
        <f t="shared" si="83"/>
        <v>1195.9680000000003</v>
      </c>
      <c r="AL50" s="196">
        <f t="shared" si="98"/>
        <v>839.92688242279269</v>
      </c>
      <c r="AM50" s="197">
        <f t="shared" si="98"/>
        <v>137.41135090761432</v>
      </c>
      <c r="AN50" s="197">
        <f t="shared" si="99"/>
        <v>230.3401491382356</v>
      </c>
      <c r="AO50" s="197">
        <f t="shared" si="99"/>
        <v>609.58673328455711</v>
      </c>
      <c r="AP50" s="199">
        <f t="shared" si="99"/>
        <v>746.99808419217152</v>
      </c>
      <c r="AQ50" s="196">
        <f t="shared" si="127"/>
        <v>11951.927862620887</v>
      </c>
      <c r="AR50" s="197">
        <f t="shared" si="100"/>
        <v>2284.7162273096392</v>
      </c>
      <c r="AS50" s="197">
        <f t="shared" si="100"/>
        <v>5756.9895141476572</v>
      </c>
      <c r="AT50" s="197">
        <f t="shared" si="100"/>
        <v>6194.938348473228</v>
      </c>
      <c r="AU50" s="199">
        <f t="shared" si="100"/>
        <v>8479.6545757828681</v>
      </c>
      <c r="AX50" s="204">
        <f t="shared" si="128"/>
        <v>13</v>
      </c>
      <c r="AY50" s="197">
        <f>'Energy NPV'!$D103*$AZ$34</f>
        <v>8.15</v>
      </c>
      <c r="AZ50" s="197">
        <f>'Energy margins'!$Z$12</f>
        <v>55</v>
      </c>
      <c r="BA50" s="197">
        <f t="shared" si="129"/>
        <v>448.25</v>
      </c>
      <c r="BB50" s="197">
        <f>'Margins summary'!$W$14</f>
        <v>220</v>
      </c>
      <c r="BC50" s="197">
        <f t="shared" si="101"/>
        <v>668.25</v>
      </c>
      <c r="BD50" s="197"/>
      <c r="BE50" s="897">
        <f>'Energy NPV'!U103</f>
        <v>368.78200000000004</v>
      </c>
      <c r="BF50" s="197"/>
      <c r="BG50" s="197">
        <f t="shared" si="84"/>
        <v>368.78200000000004</v>
      </c>
      <c r="BH50" s="197">
        <f t="shared" si="85"/>
        <v>79.467999999999961</v>
      </c>
      <c r="BI50" s="197">
        <f t="shared" si="86"/>
        <v>299.46799999999996</v>
      </c>
      <c r="BJ50" s="196">
        <f t="shared" si="102"/>
        <v>279.97562747426417</v>
      </c>
      <c r="BK50" s="197">
        <f t="shared" si="102"/>
        <v>137.41135090761432</v>
      </c>
      <c r="BL50" s="197">
        <f t="shared" si="103"/>
        <v>230.3401491382356</v>
      </c>
      <c r="BM50" s="197">
        <f t="shared" si="103"/>
        <v>49.635478336028591</v>
      </c>
      <c r="BN50" s="199">
        <f t="shared" si="103"/>
        <v>187.04682924364292</v>
      </c>
      <c r="BO50" s="196">
        <f t="shared" si="130"/>
        <v>3983.975954206961</v>
      </c>
      <c r="BP50" s="197">
        <f t="shared" si="104"/>
        <v>2284.7162273096392</v>
      </c>
      <c r="BQ50" s="197">
        <f t="shared" si="105"/>
        <v>5756.9895141476572</v>
      </c>
      <c r="BR50" s="197">
        <f t="shared" si="106"/>
        <v>-1773.0135599406954</v>
      </c>
      <c r="BS50" s="199">
        <f t="shared" si="107"/>
        <v>511.70266736894393</v>
      </c>
      <c r="BV50" s="204">
        <f t="shared" si="131"/>
        <v>13</v>
      </c>
      <c r="BW50" s="197">
        <f>'Energy NPV'!$D103*$BX$34</f>
        <v>32.6</v>
      </c>
      <c r="BX50" s="197">
        <f>'Energy margins'!$Z$12</f>
        <v>55</v>
      </c>
      <c r="BY50" s="197">
        <f t="shared" si="132"/>
        <v>1793</v>
      </c>
      <c r="BZ50" s="197">
        <f>'Margins summary'!$W$14</f>
        <v>220</v>
      </c>
      <c r="CA50" s="197">
        <f t="shared" si="108"/>
        <v>2013</v>
      </c>
      <c r="CB50" s="197"/>
      <c r="CC50" s="897">
        <f>'Energy NPV'!U103</f>
        <v>368.78200000000004</v>
      </c>
      <c r="CD50" s="197"/>
      <c r="CE50" s="197">
        <f t="shared" si="87"/>
        <v>368.78200000000004</v>
      </c>
      <c r="CF50" s="197">
        <f t="shared" si="88"/>
        <v>1424.2179999999998</v>
      </c>
      <c r="CG50" s="197">
        <f t="shared" si="89"/>
        <v>1644.2179999999998</v>
      </c>
      <c r="CH50" s="196">
        <f t="shared" si="109"/>
        <v>1119.9025098970567</v>
      </c>
      <c r="CI50" s="197">
        <f t="shared" si="109"/>
        <v>137.41135090761432</v>
      </c>
      <c r="CJ50" s="197">
        <f t="shared" si="110"/>
        <v>230.3401491382356</v>
      </c>
      <c r="CK50" s="197">
        <f t="shared" si="110"/>
        <v>889.56236075882111</v>
      </c>
      <c r="CL50" s="199">
        <f t="shared" si="110"/>
        <v>1026.9737116664355</v>
      </c>
      <c r="CM50" s="196">
        <f t="shared" si="133"/>
        <v>15935.903816827844</v>
      </c>
      <c r="CN50" s="197">
        <f t="shared" si="111"/>
        <v>2284.7162273096392</v>
      </c>
      <c r="CO50" s="197">
        <f t="shared" si="112"/>
        <v>5756.9895141476572</v>
      </c>
      <c r="CP50" s="197">
        <f t="shared" si="113"/>
        <v>10178.914302680187</v>
      </c>
      <c r="CQ50" s="199">
        <f t="shared" si="114"/>
        <v>12463.630529989827</v>
      </c>
      <c r="CT50" s="204">
        <f t="shared" si="134"/>
        <v>13</v>
      </c>
      <c r="CU50" s="197">
        <f>'Energy NPV'!$D103*$CV$34</f>
        <v>0</v>
      </c>
      <c r="CV50" s="197">
        <f>'Energy margins'!$Z$12</f>
        <v>55</v>
      </c>
      <c r="CW50" s="197">
        <f t="shared" si="135"/>
        <v>0</v>
      </c>
      <c r="CX50" s="197">
        <f>'Margins summary'!$W$14</f>
        <v>220</v>
      </c>
      <c r="CY50" s="197">
        <f t="shared" si="115"/>
        <v>220</v>
      </c>
      <c r="CZ50" s="197"/>
      <c r="DA50" s="897">
        <f>'Energy NPV'!U103</f>
        <v>368.78200000000004</v>
      </c>
      <c r="DB50" s="197"/>
      <c r="DC50" s="197">
        <f t="shared" si="90"/>
        <v>368.78200000000004</v>
      </c>
      <c r="DD50" s="197">
        <f t="shared" si="91"/>
        <v>-368.78200000000004</v>
      </c>
      <c r="DE50" s="197">
        <f t="shared" si="92"/>
        <v>-148.78200000000004</v>
      </c>
      <c r="DF50" s="196">
        <f t="shared" si="116"/>
        <v>0</v>
      </c>
      <c r="DG50" s="197">
        <f t="shared" si="116"/>
        <v>137.41135090761432</v>
      </c>
      <c r="DH50" s="197">
        <f t="shared" si="117"/>
        <v>230.3401491382356</v>
      </c>
      <c r="DI50" s="197">
        <f t="shared" si="117"/>
        <v>-230.3401491382356</v>
      </c>
      <c r="DJ50" s="199">
        <f t="shared" si="117"/>
        <v>-92.928798230621283</v>
      </c>
      <c r="DK50" s="196">
        <f t="shared" si="136"/>
        <v>0</v>
      </c>
      <c r="DL50" s="197">
        <f t="shared" si="118"/>
        <v>2284.7162273096392</v>
      </c>
      <c r="DM50" s="197">
        <f t="shared" si="119"/>
        <v>5756.9895141476572</v>
      </c>
      <c r="DN50" s="197">
        <f t="shared" si="120"/>
        <v>-5756.9895141476572</v>
      </c>
      <c r="DO50" s="199">
        <f t="shared" si="121"/>
        <v>-3472.2732868380181</v>
      </c>
    </row>
    <row r="51" spans="2:176" x14ac:dyDescent="0.3">
      <c r="B51" s="204">
        <f t="shared" si="122"/>
        <v>14</v>
      </c>
      <c r="C51" s="225">
        <f>'Energy NPV'!$D104*$E$34</f>
        <v>16.3</v>
      </c>
      <c r="D51" s="197">
        <f>'Energy margins'!$Z$12</f>
        <v>55</v>
      </c>
      <c r="E51" s="197">
        <f t="shared" si="123"/>
        <v>896.5</v>
      </c>
      <c r="F51" s="197">
        <f>'Margins summary'!$W$14</f>
        <v>220</v>
      </c>
      <c r="G51" s="197">
        <f t="shared" si="93"/>
        <v>1116.5</v>
      </c>
      <c r="H51" s="197"/>
      <c r="I51" s="897">
        <f>'Energy NPV'!U104</f>
        <v>368.78200000000004</v>
      </c>
      <c r="J51" s="197"/>
      <c r="K51" s="197">
        <f t="shared" si="78"/>
        <v>368.78200000000004</v>
      </c>
      <c r="L51" s="197">
        <f t="shared" si="79"/>
        <v>527.71799999999996</v>
      </c>
      <c r="M51" s="197">
        <f t="shared" si="80"/>
        <v>747.71799999999996</v>
      </c>
      <c r="N51" s="196">
        <f t="shared" si="94"/>
        <v>538.41466821973881</v>
      </c>
      <c r="O51" s="197">
        <f t="shared" si="94"/>
        <v>132.12629894962916</v>
      </c>
      <c r="P51" s="197">
        <f t="shared" si="95"/>
        <v>221.48091263291886</v>
      </c>
      <c r="Q51" s="197">
        <f t="shared" si="95"/>
        <v>316.93375558681998</v>
      </c>
      <c r="R51" s="199">
        <f t="shared" si="95"/>
        <v>449.06005453644912</v>
      </c>
      <c r="S51" s="196">
        <f t="shared" si="124"/>
        <v>8506.3665766336599</v>
      </c>
      <c r="T51" s="197">
        <f t="shared" si="96"/>
        <v>2416.8425262592682</v>
      </c>
      <c r="U51" s="197">
        <f t="shared" si="96"/>
        <v>5978.4704267805764</v>
      </c>
      <c r="V51" s="197">
        <f t="shared" si="96"/>
        <v>2527.8961498530862</v>
      </c>
      <c r="W51" s="199">
        <f t="shared" si="96"/>
        <v>4944.7386761123544</v>
      </c>
      <c r="Z51" s="204">
        <f t="shared" si="125"/>
        <v>14</v>
      </c>
      <c r="AA51" s="197">
        <f>'Energy NPV'!$D104*$AB$34</f>
        <v>24.450000000000003</v>
      </c>
      <c r="AB51" s="197">
        <f>'Energy margins'!$Z$12</f>
        <v>55</v>
      </c>
      <c r="AC51" s="197">
        <f t="shared" si="126"/>
        <v>1344.7500000000002</v>
      </c>
      <c r="AD51" s="197">
        <f>'Margins summary'!$W$14</f>
        <v>220</v>
      </c>
      <c r="AE51" s="197">
        <f t="shared" si="97"/>
        <v>1564.7500000000002</v>
      </c>
      <c r="AF51" s="197"/>
      <c r="AG51" s="897">
        <f>'Energy NPV'!U104</f>
        <v>368.78200000000004</v>
      </c>
      <c r="AH51" s="197"/>
      <c r="AI51" s="197">
        <f t="shared" si="81"/>
        <v>368.78200000000004</v>
      </c>
      <c r="AJ51" s="197">
        <f t="shared" si="82"/>
        <v>975.96800000000019</v>
      </c>
      <c r="AK51" s="197">
        <f t="shared" si="83"/>
        <v>1195.9680000000003</v>
      </c>
      <c r="AL51" s="196">
        <f t="shared" si="98"/>
        <v>807.62200232960834</v>
      </c>
      <c r="AM51" s="197">
        <f t="shared" si="98"/>
        <v>132.12629894962916</v>
      </c>
      <c r="AN51" s="197">
        <f t="shared" si="99"/>
        <v>221.48091263291886</v>
      </c>
      <c r="AO51" s="197">
        <f t="shared" si="99"/>
        <v>586.14108969668951</v>
      </c>
      <c r="AP51" s="199">
        <f t="shared" si="99"/>
        <v>718.26738864631875</v>
      </c>
      <c r="AQ51" s="196">
        <f t="shared" si="127"/>
        <v>12759.549864950495</v>
      </c>
      <c r="AR51" s="197">
        <f t="shared" si="100"/>
        <v>2416.8425262592682</v>
      </c>
      <c r="AS51" s="197">
        <f t="shared" si="100"/>
        <v>5978.4704267805764</v>
      </c>
      <c r="AT51" s="197">
        <f t="shared" si="100"/>
        <v>6781.0794381699179</v>
      </c>
      <c r="AU51" s="199">
        <f t="shared" si="100"/>
        <v>9197.9219644291861</v>
      </c>
      <c r="AX51" s="204">
        <f t="shared" si="128"/>
        <v>14</v>
      </c>
      <c r="AY51" s="197">
        <f>'Energy NPV'!$D104*$AZ$34</f>
        <v>8.15</v>
      </c>
      <c r="AZ51" s="197">
        <f>'Energy margins'!$Z$12</f>
        <v>55</v>
      </c>
      <c r="BA51" s="197">
        <f t="shared" si="129"/>
        <v>448.25</v>
      </c>
      <c r="BB51" s="197">
        <f>'Margins summary'!$W$14</f>
        <v>220</v>
      </c>
      <c r="BC51" s="197">
        <f t="shared" si="101"/>
        <v>668.25</v>
      </c>
      <c r="BD51" s="197"/>
      <c r="BE51" s="897">
        <f>'Energy NPV'!U104</f>
        <v>368.78200000000004</v>
      </c>
      <c r="BF51" s="197"/>
      <c r="BG51" s="197">
        <f t="shared" si="84"/>
        <v>368.78200000000004</v>
      </c>
      <c r="BH51" s="197">
        <f t="shared" si="85"/>
        <v>79.467999999999961</v>
      </c>
      <c r="BI51" s="197">
        <f t="shared" si="86"/>
        <v>299.46799999999996</v>
      </c>
      <c r="BJ51" s="196">
        <f t="shared" si="102"/>
        <v>269.20733410986941</v>
      </c>
      <c r="BK51" s="197">
        <f t="shared" si="102"/>
        <v>132.12629894962916</v>
      </c>
      <c r="BL51" s="197">
        <f t="shared" si="103"/>
        <v>221.48091263291886</v>
      </c>
      <c r="BM51" s="197">
        <f t="shared" si="103"/>
        <v>47.72642147695057</v>
      </c>
      <c r="BN51" s="199">
        <f t="shared" si="103"/>
        <v>179.85272042657974</v>
      </c>
      <c r="BO51" s="196">
        <f t="shared" si="130"/>
        <v>4253.1832883168299</v>
      </c>
      <c r="BP51" s="197">
        <f t="shared" si="104"/>
        <v>2416.8425262592682</v>
      </c>
      <c r="BQ51" s="197">
        <f t="shared" si="105"/>
        <v>5978.4704267805764</v>
      </c>
      <c r="BR51" s="197">
        <f t="shared" si="106"/>
        <v>-1725.2871384637449</v>
      </c>
      <c r="BS51" s="199">
        <f t="shared" si="107"/>
        <v>691.55538779552364</v>
      </c>
      <c r="BV51" s="204">
        <f t="shared" si="131"/>
        <v>14</v>
      </c>
      <c r="BW51" s="197">
        <f>'Energy NPV'!$D104*$BX$34</f>
        <v>32.6</v>
      </c>
      <c r="BX51" s="197">
        <f>'Energy margins'!$Z$12</f>
        <v>55</v>
      </c>
      <c r="BY51" s="197">
        <f t="shared" si="132"/>
        <v>1793</v>
      </c>
      <c r="BZ51" s="197">
        <f>'Margins summary'!$W$14</f>
        <v>220</v>
      </c>
      <c r="CA51" s="197">
        <f t="shared" si="108"/>
        <v>2013</v>
      </c>
      <c r="CB51" s="197"/>
      <c r="CC51" s="897">
        <f>'Energy NPV'!U104</f>
        <v>368.78200000000004</v>
      </c>
      <c r="CD51" s="197"/>
      <c r="CE51" s="197">
        <f t="shared" si="87"/>
        <v>368.78200000000004</v>
      </c>
      <c r="CF51" s="197">
        <f t="shared" si="88"/>
        <v>1424.2179999999998</v>
      </c>
      <c r="CG51" s="197">
        <f t="shared" si="89"/>
        <v>1644.2179999999998</v>
      </c>
      <c r="CH51" s="196">
        <f t="shared" si="109"/>
        <v>1076.8293364394776</v>
      </c>
      <c r="CI51" s="197">
        <f t="shared" si="109"/>
        <v>132.12629894962916</v>
      </c>
      <c r="CJ51" s="197">
        <f t="shared" si="110"/>
        <v>221.48091263291886</v>
      </c>
      <c r="CK51" s="197">
        <f t="shared" si="110"/>
        <v>855.3484238065588</v>
      </c>
      <c r="CL51" s="199">
        <f t="shared" si="110"/>
        <v>987.47472275618793</v>
      </c>
      <c r="CM51" s="196">
        <f t="shared" si="133"/>
        <v>17012.73315326732</v>
      </c>
      <c r="CN51" s="197">
        <f t="shared" si="111"/>
        <v>2416.8425262592682</v>
      </c>
      <c r="CO51" s="197">
        <f t="shared" si="112"/>
        <v>5978.4704267805764</v>
      </c>
      <c r="CP51" s="197">
        <f t="shared" si="113"/>
        <v>11034.262726486746</v>
      </c>
      <c r="CQ51" s="199">
        <f t="shared" si="114"/>
        <v>13451.105252746014</v>
      </c>
      <c r="CT51" s="204">
        <f t="shared" si="134"/>
        <v>14</v>
      </c>
      <c r="CU51" s="197">
        <f>'Energy NPV'!$D104*$CV$34</f>
        <v>0</v>
      </c>
      <c r="CV51" s="197">
        <f>'Energy margins'!$Z$12</f>
        <v>55</v>
      </c>
      <c r="CW51" s="197">
        <f t="shared" si="135"/>
        <v>0</v>
      </c>
      <c r="CX51" s="197">
        <f>'Margins summary'!$W$14</f>
        <v>220</v>
      </c>
      <c r="CY51" s="197">
        <f t="shared" si="115"/>
        <v>220</v>
      </c>
      <c r="CZ51" s="197"/>
      <c r="DA51" s="897">
        <f>'Energy NPV'!U104</f>
        <v>368.78200000000004</v>
      </c>
      <c r="DB51" s="197"/>
      <c r="DC51" s="197">
        <f t="shared" si="90"/>
        <v>368.78200000000004</v>
      </c>
      <c r="DD51" s="197">
        <f t="shared" si="91"/>
        <v>-368.78200000000004</v>
      </c>
      <c r="DE51" s="197">
        <f t="shared" si="92"/>
        <v>-148.78200000000004</v>
      </c>
      <c r="DF51" s="196">
        <f t="shared" si="116"/>
        <v>0</v>
      </c>
      <c r="DG51" s="197">
        <f t="shared" si="116"/>
        <v>132.12629894962916</v>
      </c>
      <c r="DH51" s="197">
        <f t="shared" si="117"/>
        <v>221.48091263291886</v>
      </c>
      <c r="DI51" s="197">
        <f t="shared" si="117"/>
        <v>-221.48091263291886</v>
      </c>
      <c r="DJ51" s="199">
        <f t="shared" si="117"/>
        <v>-89.354613683289685</v>
      </c>
      <c r="DK51" s="196">
        <f t="shared" si="136"/>
        <v>0</v>
      </c>
      <c r="DL51" s="197">
        <f t="shared" si="118"/>
        <v>2416.8425262592682</v>
      </c>
      <c r="DM51" s="197">
        <f t="shared" si="119"/>
        <v>5978.4704267805764</v>
      </c>
      <c r="DN51" s="197">
        <f t="shared" si="120"/>
        <v>-5978.4704267805764</v>
      </c>
      <c r="DO51" s="199">
        <f t="shared" si="121"/>
        <v>-3561.6279005213078</v>
      </c>
    </row>
    <row r="52" spans="2:176" x14ac:dyDescent="0.3">
      <c r="B52" s="204">
        <f t="shared" si="122"/>
        <v>15</v>
      </c>
      <c r="C52" s="225">
        <f>'Energy NPV'!$D105*$E$34</f>
        <v>16.3</v>
      </c>
      <c r="D52" s="197">
        <f>'Energy margins'!$Z$12</f>
        <v>55</v>
      </c>
      <c r="E52" s="197">
        <f t="shared" si="123"/>
        <v>896.5</v>
      </c>
      <c r="F52" s="197">
        <f>'Margins summary'!$W$14</f>
        <v>220</v>
      </c>
      <c r="G52" s="197">
        <f t="shared" si="93"/>
        <v>1116.5</v>
      </c>
      <c r="H52" s="197"/>
      <c r="I52" s="897">
        <f>'Energy NPV'!U105</f>
        <v>368.78200000000004</v>
      </c>
      <c r="J52" s="197"/>
      <c r="K52" s="197">
        <f t="shared" si="78"/>
        <v>368.78200000000004</v>
      </c>
      <c r="L52" s="197">
        <f t="shared" si="79"/>
        <v>527.71799999999996</v>
      </c>
      <c r="M52" s="197">
        <f t="shared" si="80"/>
        <v>747.71799999999996</v>
      </c>
      <c r="N52" s="196">
        <f t="shared" si="94"/>
        <v>517.7064117497489</v>
      </c>
      <c r="O52" s="197">
        <f t="shared" si="94"/>
        <v>127.04451822079727</v>
      </c>
      <c r="P52" s="197">
        <f t="shared" si="95"/>
        <v>212.9624159931912</v>
      </c>
      <c r="Q52" s="197">
        <f t="shared" si="95"/>
        <v>304.74399575655769</v>
      </c>
      <c r="R52" s="199">
        <f t="shared" si="95"/>
        <v>431.78851397735497</v>
      </c>
      <c r="S52" s="196">
        <f t="shared" si="124"/>
        <v>9024.0729883834083</v>
      </c>
      <c r="T52" s="197">
        <f t="shared" si="96"/>
        <v>2543.8870444800655</v>
      </c>
      <c r="U52" s="197">
        <f t="shared" si="96"/>
        <v>6191.4328427737673</v>
      </c>
      <c r="V52" s="197">
        <f t="shared" si="96"/>
        <v>2832.6401456096437</v>
      </c>
      <c r="W52" s="199">
        <f t="shared" si="96"/>
        <v>5376.5271900897096</v>
      </c>
      <c r="Z52" s="204">
        <f t="shared" si="125"/>
        <v>15</v>
      </c>
      <c r="AA52" s="197">
        <f>'Energy NPV'!$D105*$AB$34</f>
        <v>24.450000000000003</v>
      </c>
      <c r="AB52" s="197">
        <f>'Energy margins'!$Z$12</f>
        <v>55</v>
      </c>
      <c r="AC52" s="197">
        <f t="shared" si="126"/>
        <v>1344.7500000000002</v>
      </c>
      <c r="AD52" s="197">
        <f>'Margins summary'!$W$14</f>
        <v>220</v>
      </c>
      <c r="AE52" s="197">
        <f t="shared" si="97"/>
        <v>1564.7500000000002</v>
      </c>
      <c r="AF52" s="197"/>
      <c r="AG52" s="897">
        <f>'Energy NPV'!U105</f>
        <v>368.78200000000004</v>
      </c>
      <c r="AH52" s="197"/>
      <c r="AI52" s="197">
        <f t="shared" si="81"/>
        <v>368.78200000000004</v>
      </c>
      <c r="AJ52" s="197">
        <f t="shared" si="82"/>
        <v>975.96800000000019</v>
      </c>
      <c r="AK52" s="197">
        <f t="shared" si="83"/>
        <v>1195.9680000000003</v>
      </c>
      <c r="AL52" s="196">
        <f t="shared" si="98"/>
        <v>776.55961762462346</v>
      </c>
      <c r="AM52" s="197">
        <f t="shared" si="98"/>
        <v>127.04451822079727</v>
      </c>
      <c r="AN52" s="197">
        <f t="shared" si="99"/>
        <v>212.9624159931912</v>
      </c>
      <c r="AO52" s="197">
        <f t="shared" si="99"/>
        <v>563.5972016314322</v>
      </c>
      <c r="AP52" s="199">
        <f t="shared" si="99"/>
        <v>690.64171985222958</v>
      </c>
      <c r="AQ52" s="196">
        <f t="shared" si="127"/>
        <v>13536.109482575119</v>
      </c>
      <c r="AR52" s="197">
        <f t="shared" si="100"/>
        <v>2543.8870444800655</v>
      </c>
      <c r="AS52" s="197">
        <f t="shared" si="100"/>
        <v>6191.4328427737673</v>
      </c>
      <c r="AT52" s="197">
        <f t="shared" si="100"/>
        <v>7344.6766398013497</v>
      </c>
      <c r="AU52" s="199">
        <f t="shared" si="100"/>
        <v>9888.5636842814165</v>
      </c>
      <c r="AX52" s="204">
        <f t="shared" si="128"/>
        <v>15</v>
      </c>
      <c r="AY52" s="197">
        <f>'Energy NPV'!$D105*$AZ$34</f>
        <v>8.15</v>
      </c>
      <c r="AZ52" s="197">
        <f>'Energy margins'!$Z$12</f>
        <v>55</v>
      </c>
      <c r="BA52" s="197">
        <f t="shared" si="129"/>
        <v>448.25</v>
      </c>
      <c r="BB52" s="197">
        <f>'Margins summary'!$W$14</f>
        <v>220</v>
      </c>
      <c r="BC52" s="197">
        <f t="shared" si="101"/>
        <v>668.25</v>
      </c>
      <c r="BD52" s="197"/>
      <c r="BE52" s="897">
        <f>'Energy NPV'!U105</f>
        <v>368.78200000000004</v>
      </c>
      <c r="BF52" s="197"/>
      <c r="BG52" s="197">
        <f t="shared" si="84"/>
        <v>368.78200000000004</v>
      </c>
      <c r="BH52" s="197">
        <f t="shared" si="85"/>
        <v>79.467999999999961</v>
      </c>
      <c r="BI52" s="197">
        <f t="shared" si="86"/>
        <v>299.46799999999996</v>
      </c>
      <c r="BJ52" s="196">
        <f t="shared" si="102"/>
        <v>258.85320587487445</v>
      </c>
      <c r="BK52" s="197">
        <f t="shared" si="102"/>
        <v>127.04451822079727</v>
      </c>
      <c r="BL52" s="197">
        <f t="shared" si="103"/>
        <v>212.9624159931912</v>
      </c>
      <c r="BM52" s="197">
        <f t="shared" si="103"/>
        <v>45.89078988168324</v>
      </c>
      <c r="BN52" s="199">
        <f t="shared" si="103"/>
        <v>172.93530810248052</v>
      </c>
      <c r="BO52" s="196">
        <f t="shared" si="130"/>
        <v>4512.0364941917042</v>
      </c>
      <c r="BP52" s="197">
        <f t="shared" si="104"/>
        <v>2543.8870444800655</v>
      </c>
      <c r="BQ52" s="197">
        <f t="shared" si="105"/>
        <v>6191.4328427737673</v>
      </c>
      <c r="BR52" s="197">
        <f t="shared" si="106"/>
        <v>-1679.3963485820616</v>
      </c>
      <c r="BS52" s="199">
        <f t="shared" si="107"/>
        <v>864.49069589800411</v>
      </c>
      <c r="BV52" s="204">
        <f t="shared" si="131"/>
        <v>15</v>
      </c>
      <c r="BW52" s="197">
        <f>'Energy NPV'!$D105*$BX$34</f>
        <v>32.6</v>
      </c>
      <c r="BX52" s="197">
        <f>'Energy margins'!$Z$12</f>
        <v>55</v>
      </c>
      <c r="BY52" s="197">
        <f t="shared" si="132"/>
        <v>1793</v>
      </c>
      <c r="BZ52" s="197">
        <f>'Margins summary'!$W$14</f>
        <v>220</v>
      </c>
      <c r="CA52" s="197">
        <f t="shared" si="108"/>
        <v>2013</v>
      </c>
      <c r="CB52" s="197"/>
      <c r="CC52" s="897">
        <f>'Energy NPV'!U105</f>
        <v>368.78200000000004</v>
      </c>
      <c r="CD52" s="197"/>
      <c r="CE52" s="197">
        <f t="shared" si="87"/>
        <v>368.78200000000004</v>
      </c>
      <c r="CF52" s="197">
        <f t="shared" si="88"/>
        <v>1424.2179999999998</v>
      </c>
      <c r="CG52" s="197">
        <f t="shared" si="89"/>
        <v>1644.2179999999998</v>
      </c>
      <c r="CH52" s="196">
        <f t="shared" si="109"/>
        <v>1035.4128234994978</v>
      </c>
      <c r="CI52" s="197">
        <f t="shared" si="109"/>
        <v>127.04451822079727</v>
      </c>
      <c r="CJ52" s="197">
        <f t="shared" si="110"/>
        <v>212.9624159931912</v>
      </c>
      <c r="CK52" s="197">
        <f t="shared" si="110"/>
        <v>822.45040750630653</v>
      </c>
      <c r="CL52" s="199">
        <f t="shared" si="110"/>
        <v>949.49492572710381</v>
      </c>
      <c r="CM52" s="196">
        <f t="shared" si="133"/>
        <v>18048.145976766817</v>
      </c>
      <c r="CN52" s="197">
        <f t="shared" si="111"/>
        <v>2543.8870444800655</v>
      </c>
      <c r="CO52" s="197">
        <f t="shared" si="112"/>
        <v>6191.4328427737673</v>
      </c>
      <c r="CP52" s="197">
        <f t="shared" si="113"/>
        <v>11856.713133993053</v>
      </c>
      <c r="CQ52" s="199">
        <f t="shared" si="114"/>
        <v>14400.600178473118</v>
      </c>
      <c r="CT52" s="204">
        <f t="shared" si="134"/>
        <v>15</v>
      </c>
      <c r="CU52" s="197">
        <f>'Energy NPV'!$D105*$CV$34</f>
        <v>0</v>
      </c>
      <c r="CV52" s="197">
        <f>'Energy margins'!$Z$12</f>
        <v>55</v>
      </c>
      <c r="CW52" s="197">
        <f t="shared" si="135"/>
        <v>0</v>
      </c>
      <c r="CX52" s="197">
        <f>'Margins summary'!$W$14</f>
        <v>220</v>
      </c>
      <c r="CY52" s="197">
        <f t="shared" si="115"/>
        <v>220</v>
      </c>
      <c r="CZ52" s="197"/>
      <c r="DA52" s="897">
        <f>'Energy NPV'!U105</f>
        <v>368.78200000000004</v>
      </c>
      <c r="DB52" s="197"/>
      <c r="DC52" s="197">
        <f t="shared" si="90"/>
        <v>368.78200000000004</v>
      </c>
      <c r="DD52" s="197">
        <f t="shared" si="91"/>
        <v>-368.78200000000004</v>
      </c>
      <c r="DE52" s="197">
        <f t="shared" si="92"/>
        <v>-148.78200000000004</v>
      </c>
      <c r="DF52" s="196">
        <f t="shared" si="116"/>
        <v>0</v>
      </c>
      <c r="DG52" s="197">
        <f t="shared" si="116"/>
        <v>127.04451822079727</v>
      </c>
      <c r="DH52" s="197">
        <f t="shared" si="117"/>
        <v>212.9624159931912</v>
      </c>
      <c r="DI52" s="197">
        <f t="shared" si="117"/>
        <v>-212.9624159931912</v>
      </c>
      <c r="DJ52" s="199">
        <f t="shared" si="117"/>
        <v>-85.917897772393928</v>
      </c>
      <c r="DK52" s="196">
        <f t="shared" si="136"/>
        <v>0</v>
      </c>
      <c r="DL52" s="197">
        <f t="shared" si="118"/>
        <v>2543.8870444800655</v>
      </c>
      <c r="DM52" s="197">
        <f t="shared" si="119"/>
        <v>6191.4328427737673</v>
      </c>
      <c r="DN52" s="197">
        <f t="shared" si="120"/>
        <v>-6191.4328427737673</v>
      </c>
      <c r="DO52" s="199">
        <f t="shared" si="121"/>
        <v>-3647.5457982937019</v>
      </c>
    </row>
    <row r="53" spans="2:176" x14ac:dyDescent="0.3">
      <c r="B53" s="206">
        <f t="shared" si="122"/>
        <v>16</v>
      </c>
      <c r="C53" s="226">
        <f>'Energy NPV'!$D106*$E$34</f>
        <v>16.3</v>
      </c>
      <c r="D53" s="207">
        <f>'Energy margins'!$Z$12</f>
        <v>55</v>
      </c>
      <c r="E53" s="207">
        <f t="shared" si="123"/>
        <v>896.5</v>
      </c>
      <c r="F53" s="207">
        <f>'Margins summary'!$W$14</f>
        <v>220</v>
      </c>
      <c r="G53" s="207">
        <f t="shared" si="93"/>
        <v>1116.5</v>
      </c>
      <c r="H53" s="207"/>
      <c r="I53" s="898">
        <f>'Energy NPV'!U106</f>
        <v>368.78200000000004</v>
      </c>
      <c r="J53" s="207">
        <f>'Energy margins'!$AE$67</f>
        <v>170</v>
      </c>
      <c r="K53" s="207">
        <f t="shared" si="78"/>
        <v>538.78200000000004</v>
      </c>
      <c r="L53" s="207">
        <f t="shared" si="79"/>
        <v>357.71799999999996</v>
      </c>
      <c r="M53" s="207">
        <f t="shared" si="80"/>
        <v>577.71799999999996</v>
      </c>
      <c r="N53" s="208">
        <f t="shared" si="94"/>
        <v>497.79462668245088</v>
      </c>
      <c r="O53" s="207">
        <f t="shared" si="94"/>
        <v>122.15819059692046</v>
      </c>
      <c r="P53" s="207">
        <f t="shared" si="95"/>
        <v>299.16651930086363</v>
      </c>
      <c r="Q53" s="207">
        <f t="shared" si="95"/>
        <v>198.62810738158723</v>
      </c>
      <c r="R53" s="209">
        <f>M53/((1+$B$4)^($B53-1))</f>
        <v>320.78629797850766</v>
      </c>
      <c r="S53" s="208">
        <f t="shared" si="124"/>
        <v>9521.8676150658594</v>
      </c>
      <c r="T53" s="207">
        <f t="shared" si="96"/>
        <v>2666.045235076986</v>
      </c>
      <c r="U53" s="207">
        <f t="shared" si="96"/>
        <v>6490.5993620746312</v>
      </c>
      <c r="V53" s="207">
        <f t="shared" si="96"/>
        <v>3031.2682529912308</v>
      </c>
      <c r="W53" s="209">
        <f t="shared" si="96"/>
        <v>5697.3134880682173</v>
      </c>
      <c r="Z53" s="206">
        <f t="shared" si="125"/>
        <v>16</v>
      </c>
      <c r="AA53" s="207">
        <f>'Energy NPV'!$D106*$AB$34</f>
        <v>24.450000000000003</v>
      </c>
      <c r="AB53" s="207">
        <f>'Energy margins'!$Z$12</f>
        <v>55</v>
      </c>
      <c r="AC53" s="207">
        <f t="shared" si="126"/>
        <v>1344.7500000000002</v>
      </c>
      <c r="AD53" s="207">
        <f>'Margins summary'!$W$14</f>
        <v>220</v>
      </c>
      <c r="AE53" s="207">
        <f t="shared" si="97"/>
        <v>1564.7500000000002</v>
      </c>
      <c r="AF53" s="207"/>
      <c r="AG53" s="898">
        <f>'Energy NPV'!U106</f>
        <v>368.78200000000004</v>
      </c>
      <c r="AH53" s="207">
        <f>'Energy margins'!$AE$67</f>
        <v>170</v>
      </c>
      <c r="AI53" s="207">
        <f t="shared" si="81"/>
        <v>538.78200000000004</v>
      </c>
      <c r="AJ53" s="207">
        <f t="shared" si="82"/>
        <v>805.96800000000019</v>
      </c>
      <c r="AK53" s="207">
        <f t="shared" si="83"/>
        <v>1025.9680000000003</v>
      </c>
      <c r="AL53" s="208">
        <f t="shared" si="98"/>
        <v>746.69194002367647</v>
      </c>
      <c r="AM53" s="207">
        <f t="shared" si="98"/>
        <v>122.15819059692046</v>
      </c>
      <c r="AN53" s="207">
        <f t="shared" si="99"/>
        <v>299.16651930086363</v>
      </c>
      <c r="AO53" s="207">
        <f t="shared" si="99"/>
        <v>447.52542072281278</v>
      </c>
      <c r="AP53" s="209">
        <f t="shared" si="99"/>
        <v>569.68361131973325</v>
      </c>
      <c r="AQ53" s="208">
        <f t="shared" si="127"/>
        <v>14282.801422598795</v>
      </c>
      <c r="AR53" s="207">
        <f t="shared" si="100"/>
        <v>2666.045235076986</v>
      </c>
      <c r="AS53" s="207">
        <f t="shared" si="100"/>
        <v>6490.5993620746312</v>
      </c>
      <c r="AT53" s="207">
        <f t="shared" si="100"/>
        <v>7792.2020605241623</v>
      </c>
      <c r="AU53" s="209">
        <f t="shared" si="100"/>
        <v>10458.24729560115</v>
      </c>
      <c r="AX53" s="206">
        <f t="shared" si="128"/>
        <v>16</v>
      </c>
      <c r="AY53" s="207">
        <f>'Energy NPV'!$D106*$AZ$34</f>
        <v>8.15</v>
      </c>
      <c r="AZ53" s="207">
        <f>'Energy margins'!$Z$12</f>
        <v>55</v>
      </c>
      <c r="BA53" s="207">
        <f t="shared" si="129"/>
        <v>448.25</v>
      </c>
      <c r="BB53" s="207">
        <f>'Margins summary'!$W$14</f>
        <v>220</v>
      </c>
      <c r="BC53" s="207">
        <f t="shared" si="101"/>
        <v>668.25</v>
      </c>
      <c r="BD53" s="207"/>
      <c r="BE53" s="898">
        <f>'Energy NPV'!U106</f>
        <v>368.78200000000004</v>
      </c>
      <c r="BF53" s="207">
        <f>'Energy margins'!$AE$67</f>
        <v>170</v>
      </c>
      <c r="BG53" s="207">
        <f t="shared" si="84"/>
        <v>538.78200000000004</v>
      </c>
      <c r="BH53" s="207">
        <f t="shared" si="85"/>
        <v>-90.532000000000039</v>
      </c>
      <c r="BI53" s="207">
        <f t="shared" si="86"/>
        <v>129.46799999999996</v>
      </c>
      <c r="BJ53" s="208">
        <f t="shared" si="102"/>
        <v>248.89731334122544</v>
      </c>
      <c r="BK53" s="207">
        <f t="shared" si="102"/>
        <v>122.15819059692046</v>
      </c>
      <c r="BL53" s="207">
        <f t="shared" si="103"/>
        <v>299.16651930086363</v>
      </c>
      <c r="BM53" s="207">
        <f t="shared" si="103"/>
        <v>-50.269205959638214</v>
      </c>
      <c r="BN53" s="209">
        <f t="shared" si="103"/>
        <v>71.888984637282235</v>
      </c>
      <c r="BO53" s="208">
        <f t="shared" si="130"/>
        <v>4760.9338075329297</v>
      </c>
      <c r="BP53" s="207">
        <f t="shared" si="104"/>
        <v>2666.045235076986</v>
      </c>
      <c r="BQ53" s="207">
        <f t="shared" si="105"/>
        <v>6490.5993620746312</v>
      </c>
      <c r="BR53" s="207">
        <f t="shared" si="106"/>
        <v>-1729.6655545416997</v>
      </c>
      <c r="BS53" s="209">
        <f t="shared" si="107"/>
        <v>936.3796805352863</v>
      </c>
      <c r="BV53" s="206">
        <f t="shared" si="131"/>
        <v>16</v>
      </c>
      <c r="BW53" s="207">
        <f>'Energy NPV'!$D106*$BX$34</f>
        <v>32.6</v>
      </c>
      <c r="BX53" s="207">
        <f>'Energy margins'!$Z$12</f>
        <v>55</v>
      </c>
      <c r="BY53" s="207">
        <f t="shared" si="132"/>
        <v>1793</v>
      </c>
      <c r="BZ53" s="207">
        <f>'Margins summary'!$W$14</f>
        <v>220</v>
      </c>
      <c r="CA53" s="207">
        <f t="shared" si="108"/>
        <v>2013</v>
      </c>
      <c r="CB53" s="207"/>
      <c r="CC53" s="898">
        <f>'Energy NPV'!U106</f>
        <v>368.78200000000004</v>
      </c>
      <c r="CD53" s="207">
        <f>'Energy margins'!$AE$67</f>
        <v>170</v>
      </c>
      <c r="CE53" s="207">
        <f t="shared" si="87"/>
        <v>538.78200000000004</v>
      </c>
      <c r="CF53" s="207">
        <f t="shared" si="88"/>
        <v>1254.2179999999998</v>
      </c>
      <c r="CG53" s="207">
        <f t="shared" si="89"/>
        <v>1474.2179999999998</v>
      </c>
      <c r="CH53" s="208">
        <f t="shared" si="109"/>
        <v>995.58925336490177</v>
      </c>
      <c r="CI53" s="207">
        <f t="shared" si="109"/>
        <v>122.15819059692046</v>
      </c>
      <c r="CJ53" s="207">
        <f t="shared" si="110"/>
        <v>299.16651930086363</v>
      </c>
      <c r="CK53" s="207">
        <f t="shared" si="110"/>
        <v>696.42273406403797</v>
      </c>
      <c r="CL53" s="209">
        <f t="shared" si="110"/>
        <v>818.58092466095843</v>
      </c>
      <c r="CM53" s="208">
        <f t="shared" si="133"/>
        <v>19043.735230131719</v>
      </c>
      <c r="CN53" s="207">
        <f t="shared" si="111"/>
        <v>2666.045235076986</v>
      </c>
      <c r="CO53" s="207">
        <f t="shared" si="112"/>
        <v>6490.5993620746312</v>
      </c>
      <c r="CP53" s="207">
        <f t="shared" si="113"/>
        <v>12553.13586805709</v>
      </c>
      <c r="CQ53" s="209">
        <f t="shared" si="114"/>
        <v>15219.181103134077</v>
      </c>
      <c r="CT53" s="206">
        <f t="shared" si="134"/>
        <v>16</v>
      </c>
      <c r="CU53" s="207">
        <f>'Energy NPV'!$D106*$CV$34</f>
        <v>0</v>
      </c>
      <c r="CV53" s="207">
        <f>'Energy margins'!$Z$12</f>
        <v>55</v>
      </c>
      <c r="CW53" s="207">
        <f t="shared" si="135"/>
        <v>0</v>
      </c>
      <c r="CX53" s="207">
        <f>'Margins summary'!$W$14</f>
        <v>220</v>
      </c>
      <c r="CY53" s="207">
        <f t="shared" si="115"/>
        <v>220</v>
      </c>
      <c r="CZ53" s="207"/>
      <c r="DA53" s="898">
        <f>'Energy NPV'!U106</f>
        <v>368.78200000000004</v>
      </c>
      <c r="DB53" s="207">
        <f>'Energy margins'!$AE$67</f>
        <v>170</v>
      </c>
      <c r="DC53" s="207">
        <f t="shared" si="90"/>
        <v>538.78200000000004</v>
      </c>
      <c r="DD53" s="207">
        <f t="shared" si="91"/>
        <v>-538.78200000000004</v>
      </c>
      <c r="DE53" s="207">
        <f t="shared" si="92"/>
        <v>-318.78200000000004</v>
      </c>
      <c r="DF53" s="208">
        <f t="shared" si="116"/>
        <v>0</v>
      </c>
      <c r="DG53" s="207">
        <f t="shared" si="116"/>
        <v>122.15819059692046</v>
      </c>
      <c r="DH53" s="207">
        <f t="shared" si="117"/>
        <v>299.16651930086363</v>
      </c>
      <c r="DI53" s="207">
        <f t="shared" si="117"/>
        <v>-299.16651930086363</v>
      </c>
      <c r="DJ53" s="209">
        <f t="shared" si="117"/>
        <v>-177.00832870394319</v>
      </c>
      <c r="DK53" s="208">
        <f t="shared" si="136"/>
        <v>0</v>
      </c>
      <c r="DL53" s="207">
        <f t="shared" si="118"/>
        <v>2666.045235076986</v>
      </c>
      <c r="DM53" s="207">
        <f t="shared" si="119"/>
        <v>6490.5993620746312</v>
      </c>
      <c r="DN53" s="207">
        <f t="shared" si="120"/>
        <v>-6490.5993620746312</v>
      </c>
      <c r="DO53" s="209">
        <f t="shared" si="121"/>
        <v>-3824.5541269976452</v>
      </c>
    </row>
    <row r="59" spans="2:176" x14ac:dyDescent="0.3">
      <c r="B59" s="212" t="s">
        <v>303</v>
      </c>
      <c r="C59" s="750" t="s">
        <v>431</v>
      </c>
      <c r="D59" s="269" t="s">
        <v>418</v>
      </c>
      <c r="E59" s="102"/>
      <c r="H59" s="102"/>
      <c r="I59" s="102"/>
      <c r="J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212" t="s">
        <v>303</v>
      </c>
      <c r="AC59" s="750" t="s">
        <v>423</v>
      </c>
      <c r="AD59" s="267" t="s">
        <v>325</v>
      </c>
      <c r="AE59" s="102"/>
      <c r="AH59" s="102"/>
      <c r="AI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BB59" s="212" t="s">
        <v>303</v>
      </c>
      <c r="BC59" s="750" t="s">
        <v>424</v>
      </c>
      <c r="BD59" s="267" t="s">
        <v>325</v>
      </c>
      <c r="BE59" s="102"/>
      <c r="BH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CB59" s="212" t="s">
        <v>303</v>
      </c>
      <c r="CC59" s="750" t="s">
        <v>425</v>
      </c>
      <c r="CD59" s="267" t="s">
        <v>325</v>
      </c>
      <c r="CE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DB59" s="212" t="s">
        <v>303</v>
      </c>
      <c r="DC59" s="750" t="s">
        <v>426</v>
      </c>
      <c r="DD59" s="267" t="s">
        <v>325</v>
      </c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</row>
    <row r="60" spans="2:176" x14ac:dyDescent="0.3">
      <c r="B60" s="203"/>
      <c r="C60" s="64"/>
      <c r="E60" s="158"/>
      <c r="F60" s="158"/>
      <c r="G60" s="158"/>
      <c r="H60" s="745"/>
      <c r="I60" s="745"/>
      <c r="J60" s="745"/>
      <c r="K60" s="148"/>
      <c r="L60" s="148"/>
      <c r="M60" s="745"/>
      <c r="N60" s="148"/>
      <c r="O60" s="148"/>
      <c r="P60" s="998" t="s">
        <v>279</v>
      </c>
      <c r="Q60" s="999"/>
      <c r="R60" s="999"/>
      <c r="S60" s="999"/>
      <c r="T60" s="1000"/>
      <c r="U60" s="998" t="s">
        <v>280</v>
      </c>
      <c r="V60" s="999"/>
      <c r="W60" s="999"/>
      <c r="X60" s="999"/>
      <c r="Y60" s="1000"/>
      <c r="AB60" s="203"/>
      <c r="AC60" s="64"/>
      <c r="AE60" s="158"/>
      <c r="AF60" s="158"/>
      <c r="AG60" s="158"/>
      <c r="AH60" s="745"/>
      <c r="AI60" s="745"/>
      <c r="AJ60" s="745"/>
      <c r="AK60" s="148"/>
      <c r="AL60" s="148"/>
      <c r="AM60" s="745"/>
      <c r="AN60" s="148"/>
      <c r="AO60" s="148"/>
      <c r="AP60" s="998" t="s">
        <v>279</v>
      </c>
      <c r="AQ60" s="999"/>
      <c r="AR60" s="999"/>
      <c r="AS60" s="999"/>
      <c r="AT60" s="1000"/>
      <c r="AU60" s="998" t="s">
        <v>280</v>
      </c>
      <c r="AV60" s="999"/>
      <c r="AW60" s="999"/>
      <c r="AX60" s="999"/>
      <c r="AY60" s="1000"/>
      <c r="BB60" s="203"/>
      <c r="BC60" s="64"/>
      <c r="BE60" s="158"/>
      <c r="BF60" s="158"/>
      <c r="BG60" s="158"/>
      <c r="BH60" s="745"/>
      <c r="BI60" s="745"/>
      <c r="BJ60" s="745"/>
      <c r="BK60" s="148"/>
      <c r="BL60" s="148"/>
      <c r="BM60" s="745"/>
      <c r="BN60" s="148"/>
      <c r="BO60" s="148"/>
      <c r="BP60" s="998" t="s">
        <v>279</v>
      </c>
      <c r="BQ60" s="999"/>
      <c r="BR60" s="999"/>
      <c r="BS60" s="999"/>
      <c r="BT60" s="1000"/>
      <c r="BU60" s="998" t="s">
        <v>280</v>
      </c>
      <c r="BV60" s="999"/>
      <c r="BW60" s="999"/>
      <c r="BX60" s="999"/>
      <c r="BY60" s="1000"/>
      <c r="CB60" s="203"/>
      <c r="CC60" s="64"/>
      <c r="CE60" s="158"/>
      <c r="CF60" s="158"/>
      <c r="CG60" s="158"/>
      <c r="CH60" s="745"/>
      <c r="CI60" s="745"/>
      <c r="CJ60" s="745"/>
      <c r="CK60" s="148"/>
      <c r="CL60" s="148"/>
      <c r="CM60" s="745"/>
      <c r="CN60" s="148"/>
      <c r="CO60" s="148"/>
      <c r="CP60" s="998" t="s">
        <v>279</v>
      </c>
      <c r="CQ60" s="999"/>
      <c r="CR60" s="999"/>
      <c r="CS60" s="999"/>
      <c r="CT60" s="1000"/>
      <c r="CU60" s="998" t="s">
        <v>280</v>
      </c>
      <c r="CV60" s="999"/>
      <c r="CW60" s="999"/>
      <c r="CX60" s="999"/>
      <c r="CY60" s="1000"/>
      <c r="DB60" s="203"/>
      <c r="DC60" s="64"/>
      <c r="DE60" s="158"/>
      <c r="DF60" s="158"/>
      <c r="DG60" s="158"/>
      <c r="DH60" s="745"/>
      <c r="DI60" s="745"/>
      <c r="DJ60" s="745"/>
      <c r="DK60" s="148"/>
      <c r="DL60" s="148"/>
      <c r="DM60" s="745"/>
      <c r="DN60" s="148"/>
      <c r="DO60" s="148"/>
      <c r="DP60" s="998" t="s">
        <v>279</v>
      </c>
      <c r="DQ60" s="999"/>
      <c r="DR60" s="999"/>
      <c r="DS60" s="999"/>
      <c r="DT60" s="1000"/>
      <c r="DU60" s="998" t="s">
        <v>280</v>
      </c>
      <c r="DV60" s="999"/>
      <c r="DW60" s="999"/>
      <c r="DX60" s="999"/>
      <c r="DY60" s="1000"/>
    </row>
    <row r="61" spans="2:176" ht="51" x14ac:dyDescent="0.3">
      <c r="B61" s="204" t="s">
        <v>281</v>
      </c>
      <c r="C61" s="204" t="s">
        <v>282</v>
      </c>
      <c r="D61" s="205" t="s">
        <v>307</v>
      </c>
      <c r="E61" s="205" t="s">
        <v>308</v>
      </c>
      <c r="F61" s="205" t="s">
        <v>652</v>
      </c>
      <c r="G61" s="205" t="s">
        <v>653</v>
      </c>
      <c r="H61" s="171" t="s">
        <v>283</v>
      </c>
      <c r="I61" s="171" t="s">
        <v>10</v>
      </c>
      <c r="J61" s="171" t="s">
        <v>284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287</v>
      </c>
      <c r="N61" s="171" t="s">
        <v>288</v>
      </c>
      <c r="O61" s="171" t="s">
        <v>289</v>
      </c>
      <c r="P61" s="195" t="s">
        <v>290</v>
      </c>
      <c r="Q61" s="171" t="s">
        <v>291</v>
      </c>
      <c r="R61" s="171" t="s">
        <v>292</v>
      </c>
      <c r="S61" s="171" t="s">
        <v>293</v>
      </c>
      <c r="T61" s="198" t="s">
        <v>294</v>
      </c>
      <c r="U61" s="195" t="s">
        <v>295</v>
      </c>
      <c r="V61" s="171" t="s">
        <v>296</v>
      </c>
      <c r="W61" s="171" t="s">
        <v>297</v>
      </c>
      <c r="X61" s="171" t="s">
        <v>298</v>
      </c>
      <c r="Y61" s="198" t="s">
        <v>299</v>
      </c>
      <c r="AB61" s="204" t="s">
        <v>281</v>
      </c>
      <c r="AC61" s="204" t="s">
        <v>282</v>
      </c>
      <c r="AD61" s="205" t="s">
        <v>307</v>
      </c>
      <c r="AE61" s="205" t="s">
        <v>308</v>
      </c>
      <c r="AF61" s="205" t="s">
        <v>652</v>
      </c>
      <c r="AG61" s="205" t="s">
        <v>653</v>
      </c>
      <c r="AH61" s="171" t="s">
        <v>283</v>
      </c>
      <c r="AI61" s="171" t="s">
        <v>10</v>
      </c>
      <c r="AJ61" s="171" t="s">
        <v>284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287</v>
      </c>
      <c r="AN61" s="171" t="s">
        <v>288</v>
      </c>
      <c r="AO61" s="171" t="s">
        <v>289</v>
      </c>
      <c r="AP61" s="195" t="s">
        <v>290</v>
      </c>
      <c r="AQ61" s="171" t="s">
        <v>291</v>
      </c>
      <c r="AR61" s="171" t="s">
        <v>292</v>
      </c>
      <c r="AS61" s="171" t="s">
        <v>293</v>
      </c>
      <c r="AT61" s="198" t="s">
        <v>294</v>
      </c>
      <c r="AU61" s="195" t="s">
        <v>295</v>
      </c>
      <c r="AV61" s="171" t="s">
        <v>296</v>
      </c>
      <c r="AW61" s="171" t="s">
        <v>297</v>
      </c>
      <c r="AX61" s="171" t="s">
        <v>298</v>
      </c>
      <c r="AY61" s="198" t="s">
        <v>299</v>
      </c>
      <c r="BB61" s="204" t="s">
        <v>281</v>
      </c>
      <c r="BC61" s="204" t="s">
        <v>282</v>
      </c>
      <c r="BD61" s="205" t="s">
        <v>307</v>
      </c>
      <c r="BE61" s="205" t="s">
        <v>308</v>
      </c>
      <c r="BF61" s="205" t="s">
        <v>652</v>
      </c>
      <c r="BG61" s="205" t="s">
        <v>653</v>
      </c>
      <c r="BH61" s="171" t="s">
        <v>283</v>
      </c>
      <c r="BI61" s="171" t="s">
        <v>10</v>
      </c>
      <c r="BJ61" s="171" t="s">
        <v>284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287</v>
      </c>
      <c r="BN61" s="171" t="s">
        <v>288</v>
      </c>
      <c r="BO61" s="171" t="s">
        <v>289</v>
      </c>
      <c r="BP61" s="195" t="s">
        <v>290</v>
      </c>
      <c r="BQ61" s="171" t="s">
        <v>291</v>
      </c>
      <c r="BR61" s="171" t="s">
        <v>292</v>
      </c>
      <c r="BS61" s="171" t="s">
        <v>293</v>
      </c>
      <c r="BT61" s="198" t="s">
        <v>294</v>
      </c>
      <c r="BU61" s="195" t="s">
        <v>295</v>
      </c>
      <c r="BV61" s="171" t="s">
        <v>296</v>
      </c>
      <c r="BW61" s="171" t="s">
        <v>297</v>
      </c>
      <c r="BX61" s="171" t="s">
        <v>298</v>
      </c>
      <c r="BY61" s="198" t="s">
        <v>299</v>
      </c>
      <c r="CB61" s="204" t="s">
        <v>281</v>
      </c>
      <c r="CC61" s="204" t="s">
        <v>282</v>
      </c>
      <c r="CD61" s="205" t="s">
        <v>307</v>
      </c>
      <c r="CE61" s="205" t="s">
        <v>308</v>
      </c>
      <c r="CF61" s="205" t="s">
        <v>652</v>
      </c>
      <c r="CG61" s="205" t="s">
        <v>653</v>
      </c>
      <c r="CH61" s="171" t="s">
        <v>283</v>
      </c>
      <c r="CI61" s="171" t="s">
        <v>10</v>
      </c>
      <c r="CJ61" s="171" t="s">
        <v>284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287</v>
      </c>
      <c r="CN61" s="171" t="s">
        <v>288</v>
      </c>
      <c r="CO61" s="171" t="s">
        <v>289</v>
      </c>
      <c r="CP61" s="195" t="s">
        <v>290</v>
      </c>
      <c r="CQ61" s="171" t="s">
        <v>291</v>
      </c>
      <c r="CR61" s="171" t="s">
        <v>292</v>
      </c>
      <c r="CS61" s="171" t="s">
        <v>293</v>
      </c>
      <c r="CT61" s="198" t="s">
        <v>294</v>
      </c>
      <c r="CU61" s="195" t="s">
        <v>295</v>
      </c>
      <c r="CV61" s="171" t="s">
        <v>296</v>
      </c>
      <c r="CW61" s="171" t="s">
        <v>297</v>
      </c>
      <c r="CX61" s="171" t="s">
        <v>298</v>
      </c>
      <c r="CY61" s="198" t="s">
        <v>299</v>
      </c>
      <c r="DB61" s="204" t="s">
        <v>281</v>
      </c>
      <c r="DC61" s="204" t="s">
        <v>282</v>
      </c>
      <c r="DD61" s="205" t="s">
        <v>307</v>
      </c>
      <c r="DE61" s="205" t="s">
        <v>308</v>
      </c>
      <c r="DF61" s="205" t="s">
        <v>652</v>
      </c>
      <c r="DG61" s="205" t="s">
        <v>653</v>
      </c>
      <c r="DH61" s="171" t="s">
        <v>283</v>
      </c>
      <c r="DI61" s="171" t="s">
        <v>10</v>
      </c>
      <c r="DJ61" s="171" t="s">
        <v>284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287</v>
      </c>
      <c r="DN61" s="171" t="s">
        <v>288</v>
      </c>
      <c r="DO61" s="171" t="s">
        <v>289</v>
      </c>
      <c r="DP61" s="195" t="s">
        <v>290</v>
      </c>
      <c r="DQ61" s="171" t="s">
        <v>291</v>
      </c>
      <c r="DR61" s="171" t="s">
        <v>292</v>
      </c>
      <c r="DS61" s="171" t="s">
        <v>293</v>
      </c>
      <c r="DT61" s="198" t="s">
        <v>294</v>
      </c>
      <c r="DU61" s="195" t="s">
        <v>295</v>
      </c>
      <c r="DV61" s="171" t="s">
        <v>296</v>
      </c>
      <c r="DW61" s="171" t="s">
        <v>297</v>
      </c>
      <c r="DX61" s="171" t="s">
        <v>298</v>
      </c>
      <c r="DY61" s="198" t="s">
        <v>299</v>
      </c>
    </row>
    <row r="62" spans="2:176" x14ac:dyDescent="0.3">
      <c r="B62" s="173"/>
      <c r="C62" s="55"/>
      <c r="D62" s="226" t="s">
        <v>356</v>
      </c>
      <c r="E62" s="226" t="s">
        <v>476</v>
      </c>
      <c r="F62" s="226" t="s">
        <v>356</v>
      </c>
      <c r="G62" s="226" t="s">
        <v>476</v>
      </c>
      <c r="H62" s="201" t="s">
        <v>474</v>
      </c>
      <c r="I62" s="201" t="s">
        <v>474</v>
      </c>
      <c r="J62" s="201" t="s">
        <v>474</v>
      </c>
      <c r="K62" s="201" t="s">
        <v>474</v>
      </c>
      <c r="L62" s="201" t="s">
        <v>474</v>
      </c>
      <c r="M62" s="201" t="s">
        <v>474</v>
      </c>
      <c r="N62" s="201" t="s">
        <v>474</v>
      </c>
      <c r="O62" s="202" t="s">
        <v>474</v>
      </c>
      <c r="P62" s="201" t="s">
        <v>474</v>
      </c>
      <c r="Q62" s="201" t="s">
        <v>474</v>
      </c>
      <c r="R62" s="201" t="s">
        <v>474</v>
      </c>
      <c r="S62" s="201" t="s">
        <v>474</v>
      </c>
      <c r="T62" s="202" t="s">
        <v>474</v>
      </c>
      <c r="U62" s="201" t="s">
        <v>474</v>
      </c>
      <c r="V62" s="201" t="s">
        <v>474</v>
      </c>
      <c r="W62" s="201" t="s">
        <v>474</v>
      </c>
      <c r="X62" s="201" t="s">
        <v>474</v>
      </c>
      <c r="Y62" s="202" t="s">
        <v>474</v>
      </c>
      <c r="AB62" s="173"/>
      <c r="AC62" s="55"/>
      <c r="AD62" s="226" t="s">
        <v>356</v>
      </c>
      <c r="AE62" s="226" t="s">
        <v>476</v>
      </c>
      <c r="AF62" s="226" t="s">
        <v>356</v>
      </c>
      <c r="AG62" s="226" t="s">
        <v>476</v>
      </c>
      <c r="AH62" s="201" t="s">
        <v>474</v>
      </c>
      <c r="AI62" s="201" t="s">
        <v>474</v>
      </c>
      <c r="AJ62" s="201" t="s">
        <v>474</v>
      </c>
      <c r="AK62" s="201" t="s">
        <v>474</v>
      </c>
      <c r="AL62" s="201" t="s">
        <v>474</v>
      </c>
      <c r="AM62" s="201" t="s">
        <v>474</v>
      </c>
      <c r="AN62" s="201" t="s">
        <v>474</v>
      </c>
      <c r="AO62" s="202" t="s">
        <v>474</v>
      </c>
      <c r="AP62" s="201" t="s">
        <v>474</v>
      </c>
      <c r="AQ62" s="201" t="s">
        <v>474</v>
      </c>
      <c r="AR62" s="201" t="s">
        <v>474</v>
      </c>
      <c r="AS62" s="201" t="s">
        <v>474</v>
      </c>
      <c r="AT62" s="202" t="s">
        <v>474</v>
      </c>
      <c r="AU62" s="201" t="s">
        <v>474</v>
      </c>
      <c r="AV62" s="201" t="s">
        <v>474</v>
      </c>
      <c r="AW62" s="201" t="s">
        <v>474</v>
      </c>
      <c r="AX62" s="201" t="s">
        <v>474</v>
      </c>
      <c r="AY62" s="202" t="s">
        <v>474</v>
      </c>
      <c r="BB62" s="173"/>
      <c r="BC62" s="55"/>
      <c r="BD62" s="226" t="s">
        <v>356</v>
      </c>
      <c r="BE62" s="226" t="s">
        <v>476</v>
      </c>
      <c r="BF62" s="226" t="s">
        <v>356</v>
      </c>
      <c r="BG62" s="226" t="s">
        <v>476</v>
      </c>
      <c r="BH62" s="201" t="s">
        <v>474</v>
      </c>
      <c r="BI62" s="201" t="s">
        <v>474</v>
      </c>
      <c r="BJ62" s="201" t="s">
        <v>474</v>
      </c>
      <c r="BK62" s="201" t="s">
        <v>474</v>
      </c>
      <c r="BL62" s="201" t="s">
        <v>474</v>
      </c>
      <c r="BM62" s="201" t="s">
        <v>474</v>
      </c>
      <c r="BN62" s="201" t="s">
        <v>474</v>
      </c>
      <c r="BO62" s="202" t="s">
        <v>474</v>
      </c>
      <c r="BP62" s="201" t="s">
        <v>474</v>
      </c>
      <c r="BQ62" s="201" t="s">
        <v>474</v>
      </c>
      <c r="BR62" s="201" t="s">
        <v>474</v>
      </c>
      <c r="BS62" s="201" t="s">
        <v>474</v>
      </c>
      <c r="BT62" s="202" t="s">
        <v>474</v>
      </c>
      <c r="BU62" s="201" t="s">
        <v>474</v>
      </c>
      <c r="BV62" s="201" t="s">
        <v>474</v>
      </c>
      <c r="BW62" s="201" t="s">
        <v>474</v>
      </c>
      <c r="BX62" s="201" t="s">
        <v>474</v>
      </c>
      <c r="BY62" s="202" t="s">
        <v>474</v>
      </c>
      <c r="CB62" s="173"/>
      <c r="CC62" s="55"/>
      <c r="CD62" s="226" t="s">
        <v>356</v>
      </c>
      <c r="CE62" s="226" t="s">
        <v>476</v>
      </c>
      <c r="CF62" s="226" t="s">
        <v>356</v>
      </c>
      <c r="CG62" s="226" t="s">
        <v>476</v>
      </c>
      <c r="CH62" s="201" t="s">
        <v>474</v>
      </c>
      <c r="CI62" s="201" t="s">
        <v>474</v>
      </c>
      <c r="CJ62" s="201" t="s">
        <v>474</v>
      </c>
      <c r="CK62" s="201" t="s">
        <v>474</v>
      </c>
      <c r="CL62" s="201" t="s">
        <v>474</v>
      </c>
      <c r="CM62" s="201" t="s">
        <v>474</v>
      </c>
      <c r="CN62" s="201" t="s">
        <v>474</v>
      </c>
      <c r="CO62" s="202" t="s">
        <v>474</v>
      </c>
      <c r="CP62" s="201" t="s">
        <v>474</v>
      </c>
      <c r="CQ62" s="201" t="s">
        <v>474</v>
      </c>
      <c r="CR62" s="201" t="s">
        <v>474</v>
      </c>
      <c r="CS62" s="201" t="s">
        <v>474</v>
      </c>
      <c r="CT62" s="202" t="s">
        <v>474</v>
      </c>
      <c r="CU62" s="201" t="s">
        <v>474</v>
      </c>
      <c r="CV62" s="201" t="s">
        <v>474</v>
      </c>
      <c r="CW62" s="201" t="s">
        <v>474</v>
      </c>
      <c r="CX62" s="201" t="s">
        <v>474</v>
      </c>
      <c r="CY62" s="202" t="s">
        <v>474</v>
      </c>
      <c r="DB62" s="173"/>
      <c r="DC62" s="55"/>
      <c r="DD62" s="226" t="s">
        <v>356</v>
      </c>
      <c r="DE62" s="226" t="s">
        <v>476</v>
      </c>
      <c r="DF62" s="226" t="s">
        <v>356</v>
      </c>
      <c r="DG62" s="226" t="s">
        <v>476</v>
      </c>
      <c r="DH62" s="201" t="s">
        <v>474</v>
      </c>
      <c r="DI62" s="201" t="s">
        <v>474</v>
      </c>
      <c r="DJ62" s="201" t="s">
        <v>474</v>
      </c>
      <c r="DK62" s="201" t="s">
        <v>474</v>
      </c>
      <c r="DL62" s="201" t="s">
        <v>474</v>
      </c>
      <c r="DM62" s="201" t="s">
        <v>474</v>
      </c>
      <c r="DN62" s="201" t="s">
        <v>474</v>
      </c>
      <c r="DO62" s="202" t="s">
        <v>474</v>
      </c>
      <c r="DP62" s="201" t="s">
        <v>474</v>
      </c>
      <c r="DQ62" s="201" t="s">
        <v>474</v>
      </c>
      <c r="DR62" s="201" t="s">
        <v>474</v>
      </c>
      <c r="DS62" s="201" t="s">
        <v>474</v>
      </c>
      <c r="DT62" s="202" t="s">
        <v>474</v>
      </c>
      <c r="DU62" s="201" t="s">
        <v>474</v>
      </c>
      <c r="DV62" s="201" t="s">
        <v>474</v>
      </c>
      <c r="DW62" s="201" t="s">
        <v>474</v>
      </c>
      <c r="DX62" s="201" t="s">
        <v>474</v>
      </c>
      <c r="DY62" s="202" t="s">
        <v>474</v>
      </c>
    </row>
    <row r="63" spans="2:176" x14ac:dyDescent="0.3">
      <c r="B63" s="204">
        <v>1</v>
      </c>
      <c r="C63" s="219" t="s">
        <v>4</v>
      </c>
      <c r="D63" s="747">
        <f>'Arable Inputs'!$D$18</f>
        <v>8.25</v>
      </c>
      <c r="E63" s="747">
        <f>'Arable Inputs'!$D$25</f>
        <v>162</v>
      </c>
      <c r="F63" s="747">
        <f>'Arable Inputs'!$D$19</f>
        <v>3.9</v>
      </c>
      <c r="G63" s="747">
        <f>'Arable Inputs'!$D$26</f>
        <v>65</v>
      </c>
      <c r="H63" s="749">
        <f>D63*E63+F63*G63</f>
        <v>1590</v>
      </c>
      <c r="I63" s="197">
        <f>'Arable NPV'!$E143</f>
        <v>220</v>
      </c>
      <c r="J63" s="197">
        <f>H63+I63</f>
        <v>1810</v>
      </c>
      <c r="K63" s="197">
        <f>'Arable NPV'!$G143</f>
        <v>684.46423508399835</v>
      </c>
      <c r="L63" s="197">
        <f>'Arable NPV'!$H143</f>
        <v>841.31999999999994</v>
      </c>
      <c r="M63" s="197">
        <f>K63+L63</f>
        <v>1525.7842350839983</v>
      </c>
      <c r="N63" s="197">
        <f t="shared" ref="N63:N78" si="137">H63-M63</f>
        <v>64.215764916001717</v>
      </c>
      <c r="O63" s="197">
        <f t="shared" ref="O63:O78" si="138">J63-M63</f>
        <v>284.21576491600172</v>
      </c>
      <c r="P63" s="1016">
        <f>H63/(1+$B$4)^(B63-1)</f>
        <v>1590</v>
      </c>
      <c r="Q63" s="213">
        <f>I63/(1+$B$4)^(B63-1)</f>
        <v>220</v>
      </c>
      <c r="R63" s="213">
        <f>M63/(1+$B$4)^(B63-1)</f>
        <v>1525.7842350839983</v>
      </c>
      <c r="S63" s="213">
        <f>N63/(1+$B$4)^(B63-1)</f>
        <v>64.215764916001717</v>
      </c>
      <c r="T63" s="908">
        <f>O63/(1+$B$4)^(B63-1)</f>
        <v>284.21576491600172</v>
      </c>
      <c r="U63" s="196">
        <f>P63</f>
        <v>1590</v>
      </c>
      <c r="V63" s="197">
        <f>Q63</f>
        <v>220</v>
      </c>
      <c r="W63" s="197">
        <f>R63</f>
        <v>1525.7842350839983</v>
      </c>
      <c r="X63" s="197">
        <f>S63</f>
        <v>64.215764916001717</v>
      </c>
      <c r="Y63" s="199">
        <f>T63</f>
        <v>284.21576491600172</v>
      </c>
      <c r="AB63" s="204">
        <v>1</v>
      </c>
      <c r="AC63" s="219" t="s">
        <v>4</v>
      </c>
      <c r="AD63" s="747">
        <f>'Arable Inputs'!$D$18+0.5*'Arable Inputs'!$D$18</f>
        <v>12.375</v>
      </c>
      <c r="AE63" s="747">
        <f>'Arable Inputs'!$D$25</f>
        <v>162</v>
      </c>
      <c r="AF63" s="747">
        <f>'Arable Inputs'!$D$19+0.5*'Arable Inputs'!$D$19</f>
        <v>5.85</v>
      </c>
      <c r="AG63" s="747">
        <f>'Arable Inputs'!$D$26</f>
        <v>65</v>
      </c>
      <c r="AH63" s="749">
        <f>AD63*AE63+AF63*AG63</f>
        <v>2385</v>
      </c>
      <c r="AI63" s="197">
        <f>'Arable NPV'!$E143</f>
        <v>220</v>
      </c>
      <c r="AJ63" s="197">
        <f t="shared" ref="AJ63:AJ78" si="139">AH63+AI63</f>
        <v>2605</v>
      </c>
      <c r="AK63" s="197">
        <f>'Arable NPV'!$G143</f>
        <v>684.46423508399835</v>
      </c>
      <c r="AL63" s="197">
        <f>'Arable NPV'!$H143</f>
        <v>841.31999999999994</v>
      </c>
      <c r="AM63" s="197">
        <f>AK63+AL63</f>
        <v>1525.7842350839983</v>
      </c>
      <c r="AN63" s="197">
        <f t="shared" ref="AN63:AN78" si="140">AH63-AM63</f>
        <v>859.21576491600172</v>
      </c>
      <c r="AO63" s="197">
        <f>AJ63-AM63</f>
        <v>1079.2157649160017</v>
      </c>
      <c r="AP63" s="1016">
        <f>AH63/(1+$B$4)^(AB63-1)</f>
        <v>2385</v>
      </c>
      <c r="AQ63" s="213">
        <f>AI63/(1+$B$4)^(AB63-1)</f>
        <v>220</v>
      </c>
      <c r="AR63" s="213">
        <f>AM63/(1+$B$4)^(AB63-1)</f>
        <v>1525.7842350839983</v>
      </c>
      <c r="AS63" s="213">
        <f>AN63/(1+$B$4)^(AB63-1)</f>
        <v>859.21576491600172</v>
      </c>
      <c r="AT63" s="908">
        <f>AO63/(1+$B$4)^(AB63-1)</f>
        <v>1079.2157649160017</v>
      </c>
      <c r="AU63" s="196">
        <f>AP63</f>
        <v>2385</v>
      </c>
      <c r="AV63" s="197">
        <f>AQ63</f>
        <v>220</v>
      </c>
      <c r="AW63" s="197">
        <f>AR63</f>
        <v>1525.7842350839983</v>
      </c>
      <c r="AX63" s="197">
        <f>AS63</f>
        <v>859.21576491600172</v>
      </c>
      <c r="AY63" s="199">
        <f>AT63</f>
        <v>1079.2157649160017</v>
      </c>
      <c r="BB63" s="204">
        <v>1</v>
      </c>
      <c r="BC63" s="219" t="s">
        <v>4</v>
      </c>
      <c r="BD63" s="747">
        <f>'Arable Inputs'!$D$18-0.5*'Arable Inputs'!$D$18</f>
        <v>4.125</v>
      </c>
      <c r="BE63" s="747">
        <f>'Arable Inputs'!$D$25</f>
        <v>162</v>
      </c>
      <c r="BF63" s="747">
        <f>'Arable Inputs'!$D$19-0.5*'Arable Inputs'!$D$19</f>
        <v>1.95</v>
      </c>
      <c r="BG63" s="747">
        <f>'Arable Inputs'!$D$26</f>
        <v>65</v>
      </c>
      <c r="BH63" s="749">
        <f>BD63*BE63+BF63*BG63</f>
        <v>795</v>
      </c>
      <c r="BI63" s="197">
        <f>'Arable NPV'!$E143</f>
        <v>220</v>
      </c>
      <c r="BJ63" s="197">
        <f t="shared" ref="BJ63:BJ78" si="141">BH63+BI63</f>
        <v>1015</v>
      </c>
      <c r="BK63" s="197">
        <f>'Arable NPV'!$G143</f>
        <v>684.46423508399835</v>
      </c>
      <c r="BL63" s="197">
        <f>'Arable NPV'!$H143</f>
        <v>841.31999999999994</v>
      </c>
      <c r="BM63" s="197">
        <f>BK63+BL63</f>
        <v>1525.7842350839983</v>
      </c>
      <c r="BN63" s="197">
        <f t="shared" ref="BN63:BN78" si="142">BH63-BM63</f>
        <v>-730.78423508399828</v>
      </c>
      <c r="BO63" s="197">
        <f>BJ63-BM63</f>
        <v>-510.78423508399828</v>
      </c>
      <c r="BP63" s="1016">
        <f>BH63/(1+$B$4)^(BB63-1)</f>
        <v>795</v>
      </c>
      <c r="BQ63" s="213">
        <f>BI63/(1+$B$4)^(BB63-1)</f>
        <v>220</v>
      </c>
      <c r="BR63" s="213">
        <f>BM63/(1+$B$4)^(BB63-1)</f>
        <v>1525.7842350839983</v>
      </c>
      <c r="BS63" s="213">
        <f>BN63/(1+$B$4)^(BB63-1)</f>
        <v>-730.78423508399828</v>
      </c>
      <c r="BT63" s="908">
        <f>BO63/(1+$B$4)^(BB63-1)</f>
        <v>-510.78423508399828</v>
      </c>
      <c r="BU63" s="196">
        <f>BP63</f>
        <v>795</v>
      </c>
      <c r="BV63" s="197">
        <f>BQ63</f>
        <v>220</v>
      </c>
      <c r="BW63" s="197">
        <f>BR63</f>
        <v>1525.7842350839983</v>
      </c>
      <c r="BX63" s="197">
        <f>BS63</f>
        <v>-730.78423508399828</v>
      </c>
      <c r="BY63" s="199">
        <f>BT63</f>
        <v>-510.78423508399828</v>
      </c>
      <c r="CB63" s="204">
        <v>1</v>
      </c>
      <c r="CC63" s="219" t="s">
        <v>4</v>
      </c>
      <c r="CD63" s="747">
        <f>'Arable Inputs'!$D$18+'Arable Inputs'!$D$18</f>
        <v>16.5</v>
      </c>
      <c r="CE63" s="747">
        <f>'Arable Inputs'!$D$25</f>
        <v>162</v>
      </c>
      <c r="CF63" s="747">
        <f>'Arable Inputs'!$D$19+'Arable Inputs'!$D$19</f>
        <v>7.8</v>
      </c>
      <c r="CG63" s="747">
        <f>'Arable Inputs'!$D$26</f>
        <v>65</v>
      </c>
      <c r="CH63" s="749">
        <f>CD63*CE63+CF63*CG63</f>
        <v>3180</v>
      </c>
      <c r="CI63" s="197">
        <f>'Arable NPV'!$E143</f>
        <v>220</v>
      </c>
      <c r="CJ63" s="197">
        <f>CH63+CI63</f>
        <v>3400</v>
      </c>
      <c r="CK63" s="197">
        <f>'Arable NPV'!$G143</f>
        <v>684.46423508399835</v>
      </c>
      <c r="CL63" s="197">
        <f>'Arable NPV'!$H143</f>
        <v>841.31999999999994</v>
      </c>
      <c r="CM63" s="197">
        <f>CK63+CL63</f>
        <v>1525.7842350839983</v>
      </c>
      <c r="CN63" s="197">
        <f>CH63-CM63</f>
        <v>1654.2157649160017</v>
      </c>
      <c r="CO63" s="197">
        <f>CJ63-CM63</f>
        <v>1874.2157649160017</v>
      </c>
      <c r="CP63" s="1016">
        <f>CH63/(1+$B$4)^(CB63-1)</f>
        <v>3180</v>
      </c>
      <c r="CQ63" s="213">
        <f>CI63/(1+$B$4)^(CB63-1)</f>
        <v>220</v>
      </c>
      <c r="CR63" s="213">
        <f>CM63/(1+$B$4)^(CB63-1)</f>
        <v>1525.7842350839983</v>
      </c>
      <c r="CS63" s="213">
        <f>CN63/(1+$B$4)^(CB63-1)</f>
        <v>1654.2157649160017</v>
      </c>
      <c r="CT63" s="908">
        <f>CO63/(1+$B$4)^(CB63-1)</f>
        <v>1874.2157649160017</v>
      </c>
      <c r="CU63" s="196">
        <f>CP63</f>
        <v>3180</v>
      </c>
      <c r="CV63" s="197">
        <f>CQ63</f>
        <v>220</v>
      </c>
      <c r="CW63" s="197">
        <f>CR63</f>
        <v>1525.7842350839983</v>
      </c>
      <c r="CX63" s="197">
        <f>CS63</f>
        <v>1654.2157649160017</v>
      </c>
      <c r="CY63" s="199">
        <f>CT63</f>
        <v>1874.2157649160017</v>
      </c>
      <c r="DB63" s="204">
        <v>1</v>
      </c>
      <c r="DC63" s="219" t="s">
        <v>4</v>
      </c>
      <c r="DD63" s="747">
        <f>'Arable Inputs'!$D$18-'Arable Inputs'!$D$18</f>
        <v>0</v>
      </c>
      <c r="DE63" s="747">
        <f>'Arable Inputs'!$D$25</f>
        <v>162</v>
      </c>
      <c r="DF63" s="747">
        <f>'Arable Inputs'!$D$19-'Arable Inputs'!$D$19</f>
        <v>0</v>
      </c>
      <c r="DG63" s="747">
        <f>'Arable Inputs'!$D$26</f>
        <v>65</v>
      </c>
      <c r="DH63" s="749">
        <f>DD63*DE63+DF63*DG63</f>
        <v>0</v>
      </c>
      <c r="DI63" s="197">
        <f>'Arable NPV'!$E143</f>
        <v>220</v>
      </c>
      <c r="DJ63" s="197">
        <f>DH63+DI63</f>
        <v>220</v>
      </c>
      <c r="DK63" s="197">
        <f>'Arable NPV'!$G143</f>
        <v>684.46423508399835</v>
      </c>
      <c r="DL63" s="197">
        <f>'Arable NPV'!$H143</f>
        <v>841.31999999999994</v>
      </c>
      <c r="DM63" s="197">
        <f>DK63+DL63</f>
        <v>1525.7842350839983</v>
      </c>
      <c r="DN63" s="197">
        <f>DH63-DM63</f>
        <v>-1525.7842350839983</v>
      </c>
      <c r="DO63" s="197">
        <f>DJ63-DM63</f>
        <v>-1305.7842350839983</v>
      </c>
      <c r="DP63" s="1016">
        <f>DH63/(1+$B$4)^(DB63-1)</f>
        <v>0</v>
      </c>
      <c r="DQ63" s="213">
        <f>DI63/(1+$B$4)^(DB63-1)</f>
        <v>220</v>
      </c>
      <c r="DR63" s="213">
        <f>DM63/(1+$B$4)^(DB63-1)</f>
        <v>1525.7842350839983</v>
      </c>
      <c r="DS63" s="213">
        <f>DN63/(1+$B$4)^(DB63-1)</f>
        <v>-1525.7842350839983</v>
      </c>
      <c r="DT63" s="908">
        <f>DO63/(1+$B$4)^(DB63-1)</f>
        <v>-1305.7842350839983</v>
      </c>
      <c r="DU63" s="196">
        <f>DP63</f>
        <v>0</v>
      </c>
      <c r="DV63" s="197">
        <f>DQ63</f>
        <v>220</v>
      </c>
      <c r="DW63" s="197">
        <f>DR63</f>
        <v>1525.7842350839983</v>
      </c>
      <c r="DX63" s="197">
        <f>DS63</f>
        <v>-1525.7842350839983</v>
      </c>
      <c r="DY63" s="199">
        <f>DT63</f>
        <v>-1305.7842350839983</v>
      </c>
    </row>
    <row r="64" spans="2:176" x14ac:dyDescent="0.3">
      <c r="B64" s="204">
        <v>2</v>
      </c>
      <c r="C64" s="219" t="s">
        <v>7</v>
      </c>
      <c r="D64" s="747">
        <f>'Arable Inputs'!$G$18</f>
        <v>78</v>
      </c>
      <c r="E64" s="747">
        <f>'Arable Inputs'!$G$25</f>
        <v>27.16</v>
      </c>
      <c r="H64" s="749">
        <f t="shared" ref="H64:H75" si="143">D64*E64</f>
        <v>2118.48</v>
      </c>
      <c r="I64" s="197">
        <f>'Arable NPV'!$E144</f>
        <v>220</v>
      </c>
      <c r="J64" s="197">
        <f t="shared" ref="J64:J78" si="144">H64+I64</f>
        <v>2338.48</v>
      </c>
      <c r="K64" s="197">
        <f>'Arable NPV'!$G144</f>
        <v>793.83573723279574</v>
      </c>
      <c r="L64" s="197">
        <f>'Arable NPV'!$H144</f>
        <v>841.03</v>
      </c>
      <c r="M64" s="197">
        <f t="shared" ref="M64:M78" si="145">K64+L64</f>
        <v>1634.8657372327957</v>
      </c>
      <c r="N64" s="197">
        <f t="shared" si="137"/>
        <v>483.61426276720431</v>
      </c>
      <c r="O64" s="197">
        <f t="shared" si="138"/>
        <v>703.61426276720431</v>
      </c>
      <c r="P64" s="196">
        <f t="shared" ref="P64:P78" si="146">H64/(1+$B$4)^(B64-1)</f>
        <v>2037</v>
      </c>
      <c r="Q64" s="197">
        <f t="shared" ref="Q64:Q78" si="147">I64/(1+$B$4)^(B64-1)</f>
        <v>211.53846153846152</v>
      </c>
      <c r="R64" s="197">
        <f t="shared" ref="R64:R78" si="148">M64/(1+$B$4)^(B64-1)</f>
        <v>1571.986285800765</v>
      </c>
      <c r="S64" s="197">
        <f t="shared" ref="S64:S78" si="149">N64/(1+$B$4)^(B64-1)</f>
        <v>465.01371419923487</v>
      </c>
      <c r="T64" s="199">
        <f t="shared" ref="T64:T77" si="150">O64/(1+$B$4)^(B64-1)</f>
        <v>676.55217573769642</v>
      </c>
      <c r="U64" s="196">
        <f t="shared" ref="U64:Y78" si="151">U63+P64</f>
        <v>3627</v>
      </c>
      <c r="V64" s="197">
        <f t="shared" si="151"/>
        <v>431.53846153846155</v>
      </c>
      <c r="W64" s="197">
        <f t="shared" si="151"/>
        <v>3097.7705208847633</v>
      </c>
      <c r="X64" s="197">
        <f t="shared" si="151"/>
        <v>529.22947911523659</v>
      </c>
      <c r="Y64" s="199">
        <f t="shared" si="151"/>
        <v>960.76794065369813</v>
      </c>
      <c r="AB64" s="204">
        <v>2</v>
      </c>
      <c r="AC64" s="219" t="s">
        <v>7</v>
      </c>
      <c r="AD64" s="747">
        <f>'Arable Inputs'!$G$18+0.5*'Arable Inputs'!$G$18</f>
        <v>117</v>
      </c>
      <c r="AE64" s="747">
        <f>'Arable Inputs'!$G$25</f>
        <v>27.16</v>
      </c>
      <c r="AH64" s="749">
        <f>AD64*AE64</f>
        <v>3177.72</v>
      </c>
      <c r="AI64" s="197">
        <f>'Arable NPV'!$E144</f>
        <v>220</v>
      </c>
      <c r="AJ64" s="197">
        <f t="shared" si="139"/>
        <v>3397.72</v>
      </c>
      <c r="AK64" s="197">
        <f>'Arable NPV'!$G144</f>
        <v>793.83573723279574</v>
      </c>
      <c r="AL64" s="197">
        <f>'Arable NPV'!$H144</f>
        <v>841.03</v>
      </c>
      <c r="AM64" s="197">
        <f t="shared" ref="AM64:AM78" si="152">AK64+AL64</f>
        <v>1634.8657372327957</v>
      </c>
      <c r="AN64" s="197">
        <f t="shared" si="140"/>
        <v>1542.8542627672041</v>
      </c>
      <c r="AO64" s="197">
        <f t="shared" ref="AO64:AO78" si="153">AJ64-AM64</f>
        <v>1762.8542627672041</v>
      </c>
      <c r="AP64" s="196">
        <f t="shared" ref="AP64:AP78" si="154">AH64/(1+$B$4)^(AB64-1)</f>
        <v>3055.4999999999995</v>
      </c>
      <c r="AQ64" s="197">
        <f t="shared" ref="AQ64:AQ78" si="155">AI64/(1+$B$4)^(AB64-1)</f>
        <v>211.53846153846152</v>
      </c>
      <c r="AR64" s="197">
        <f t="shared" ref="AR64:AR78" si="156">AM64/(1+$B$4)^(AB64-1)</f>
        <v>1571.986285800765</v>
      </c>
      <c r="AS64" s="197">
        <f t="shared" ref="AS64:AS78" si="157">AN64/(1+$B$4)^(AB64-1)</f>
        <v>1483.5137141992348</v>
      </c>
      <c r="AT64" s="199">
        <f t="shared" ref="AT64:AT77" si="158">AO64/(1+$B$4)^(AB64-1)</f>
        <v>1695.0521757376962</v>
      </c>
      <c r="AU64" s="196">
        <f t="shared" ref="AU64:AY78" si="159">AU63+AP64</f>
        <v>5440.5</v>
      </c>
      <c r="AV64" s="197">
        <f t="shared" si="159"/>
        <v>431.53846153846155</v>
      </c>
      <c r="AW64" s="197">
        <f t="shared" si="159"/>
        <v>3097.7705208847633</v>
      </c>
      <c r="AX64" s="197">
        <f t="shared" si="159"/>
        <v>2342.7294791152362</v>
      </c>
      <c r="AY64" s="199">
        <f t="shared" si="159"/>
        <v>2774.2679406536981</v>
      </c>
      <c r="BB64" s="204">
        <v>2</v>
      </c>
      <c r="BC64" s="219" t="s">
        <v>7</v>
      </c>
      <c r="BD64" s="747">
        <f>'Arable Inputs'!$G$18-0.5*'Arable Inputs'!$G$18</f>
        <v>39</v>
      </c>
      <c r="BE64" s="747">
        <f>'Arable Inputs'!$G$25</f>
        <v>27.16</v>
      </c>
      <c r="BH64" s="749">
        <f>BD64*BE64</f>
        <v>1059.24</v>
      </c>
      <c r="BI64" s="197">
        <f>'Arable NPV'!$E144</f>
        <v>220</v>
      </c>
      <c r="BJ64" s="197">
        <f t="shared" si="141"/>
        <v>1279.24</v>
      </c>
      <c r="BK64" s="197">
        <f>'Arable NPV'!$G144</f>
        <v>793.83573723279574</v>
      </c>
      <c r="BL64" s="197">
        <f>'Arable NPV'!$H144</f>
        <v>841.03</v>
      </c>
      <c r="BM64" s="197">
        <f t="shared" ref="BM64:BM78" si="160">BK64+BL64</f>
        <v>1634.8657372327957</v>
      </c>
      <c r="BN64" s="197">
        <f t="shared" si="142"/>
        <v>-575.6257372327957</v>
      </c>
      <c r="BO64" s="197">
        <f t="shared" ref="BO64:BO78" si="161">BJ64-BM64</f>
        <v>-355.6257372327957</v>
      </c>
      <c r="BP64" s="196">
        <f t="shared" ref="BP64:BP78" si="162">BH64/(1+$B$4)^(BB64-1)</f>
        <v>1018.5</v>
      </c>
      <c r="BQ64" s="197">
        <f t="shared" ref="BQ64:BQ78" si="163">BI64/(1+$B$4)^(BB64-1)</f>
        <v>211.53846153846152</v>
      </c>
      <c r="BR64" s="197">
        <f t="shared" ref="BR64:BR78" si="164">BM64/(1+$B$4)^(BB64-1)</f>
        <v>1571.986285800765</v>
      </c>
      <c r="BS64" s="197">
        <f t="shared" ref="BS64:BS78" si="165">BN64/(1+$B$4)^(BB64-1)</f>
        <v>-553.48628580076513</v>
      </c>
      <c r="BT64" s="199">
        <f t="shared" ref="BT64:BT77" si="166">BO64/(1+$B$4)^(BB64-1)</f>
        <v>-341.94782426230353</v>
      </c>
      <c r="BU64" s="196">
        <f t="shared" ref="BU64:BY78" si="167">BU63+BP64</f>
        <v>1813.5</v>
      </c>
      <c r="BV64" s="197">
        <f t="shared" si="167"/>
        <v>431.53846153846155</v>
      </c>
      <c r="BW64" s="197">
        <f t="shared" si="167"/>
        <v>3097.7705208847633</v>
      </c>
      <c r="BX64" s="197">
        <f t="shared" si="167"/>
        <v>-1284.2705208847633</v>
      </c>
      <c r="BY64" s="199">
        <f t="shared" si="167"/>
        <v>-852.73205934630187</v>
      </c>
      <c r="CB64" s="204">
        <v>2</v>
      </c>
      <c r="CC64" s="219" t="s">
        <v>7</v>
      </c>
      <c r="CD64" s="747">
        <f>'Arable Inputs'!$G$18+'Arable Inputs'!$G$18</f>
        <v>156</v>
      </c>
      <c r="CE64" s="747">
        <f>'Arable Inputs'!$G$25</f>
        <v>27.16</v>
      </c>
      <c r="CH64" s="749">
        <f>CD64*CE64</f>
        <v>4236.96</v>
      </c>
      <c r="CI64" s="197">
        <f>'Arable NPV'!$E144</f>
        <v>220</v>
      </c>
      <c r="CJ64" s="197">
        <f t="shared" ref="CJ64:CJ78" si="168">CH64+CI64</f>
        <v>4456.96</v>
      </c>
      <c r="CK64" s="197">
        <f>'Arable NPV'!$G144</f>
        <v>793.83573723279574</v>
      </c>
      <c r="CL64" s="197">
        <f>'Arable NPV'!$H144</f>
        <v>841.03</v>
      </c>
      <c r="CM64" s="197">
        <f t="shared" ref="CM64:CM78" si="169">CK64+CL64</f>
        <v>1634.8657372327957</v>
      </c>
      <c r="CN64" s="197">
        <f t="shared" ref="CN64:CN78" si="170">CH64-CM64</f>
        <v>2602.0942627672043</v>
      </c>
      <c r="CO64" s="197">
        <f t="shared" ref="CO64:CO78" si="171">CJ64-CM64</f>
        <v>2822.0942627672043</v>
      </c>
      <c r="CP64" s="196">
        <f t="shared" ref="CP64:CP78" si="172">CH64/(1+$B$4)^(CB64-1)</f>
        <v>4074</v>
      </c>
      <c r="CQ64" s="197">
        <f t="shared" ref="CQ64:CQ78" si="173">CI64/(1+$B$4)^(CB64-1)</f>
        <v>211.53846153846152</v>
      </c>
      <c r="CR64" s="197">
        <f t="shared" ref="CR64:CR78" si="174">CM64/(1+$B$4)^(CB64-1)</f>
        <v>1571.986285800765</v>
      </c>
      <c r="CS64" s="197">
        <f t="shared" ref="CS64:CS78" si="175">CN64/(1+$B$4)^(CB64-1)</f>
        <v>2502.013714199235</v>
      </c>
      <c r="CT64" s="199">
        <f t="shared" ref="CT64:CT77" si="176">CO64/(1+$B$4)^(CB64-1)</f>
        <v>2713.5521757376964</v>
      </c>
      <c r="CU64" s="196">
        <f t="shared" ref="CU64:CX78" si="177">CU63+CP64</f>
        <v>7254</v>
      </c>
      <c r="CV64" s="197">
        <f t="shared" si="177"/>
        <v>431.53846153846155</v>
      </c>
      <c r="CW64" s="197">
        <f t="shared" si="177"/>
        <v>3097.7705208847633</v>
      </c>
      <c r="CX64" s="197">
        <f t="shared" si="177"/>
        <v>4156.2294791152362</v>
      </c>
      <c r="CY64" s="199">
        <f t="shared" ref="CY64:CY78" si="178">CY63+CT64</f>
        <v>4587.7679406536981</v>
      </c>
      <c r="DB64" s="204">
        <v>2</v>
      </c>
      <c r="DC64" s="219" t="s">
        <v>7</v>
      </c>
      <c r="DD64" s="747">
        <f>'Arable Inputs'!$G$18-'Arable Inputs'!$G$18</f>
        <v>0</v>
      </c>
      <c r="DE64" s="747">
        <f>'Arable Inputs'!$G$25</f>
        <v>27.16</v>
      </c>
      <c r="DH64" s="749">
        <f>DD64*DE64</f>
        <v>0</v>
      </c>
      <c r="DI64" s="197">
        <f>'Arable NPV'!$E144</f>
        <v>220</v>
      </c>
      <c r="DJ64" s="197">
        <f t="shared" ref="DJ64:DJ78" si="179">DH64+DI64</f>
        <v>220</v>
      </c>
      <c r="DK64" s="197">
        <f>'Arable NPV'!$G144</f>
        <v>793.83573723279574</v>
      </c>
      <c r="DL64" s="197">
        <f>'Arable NPV'!$H144</f>
        <v>841.03</v>
      </c>
      <c r="DM64" s="197">
        <f t="shared" ref="DM64:DM78" si="180">DK64+DL64</f>
        <v>1634.8657372327957</v>
      </c>
      <c r="DN64" s="197">
        <f t="shared" ref="DN64:DN78" si="181">DH64-DM64</f>
        <v>-1634.8657372327957</v>
      </c>
      <c r="DO64" s="197">
        <f t="shared" ref="DO64:DO78" si="182">DJ64-DM64</f>
        <v>-1414.8657372327957</v>
      </c>
      <c r="DP64" s="196">
        <f t="shared" ref="DP64:DP78" si="183">DH64/(1+$B$4)^(DB64-1)</f>
        <v>0</v>
      </c>
      <c r="DQ64" s="197">
        <f t="shared" ref="DQ64:DQ78" si="184">DI64/(1+$B$4)^(DB64-1)</f>
        <v>211.53846153846152</v>
      </c>
      <c r="DR64" s="197">
        <f t="shared" ref="DR64:DR78" si="185">DM64/(1+$B$4)^(DB64-1)</f>
        <v>1571.986285800765</v>
      </c>
      <c r="DS64" s="197">
        <f t="shared" ref="DS64:DS78" si="186">DN64/(1+$B$4)^(DB64-1)</f>
        <v>-1571.986285800765</v>
      </c>
      <c r="DT64" s="199">
        <f t="shared" ref="DT64:DT77" si="187">DO64/(1+$B$4)^(DB64-1)</f>
        <v>-1360.4478242623036</v>
      </c>
      <c r="DU64" s="196">
        <f t="shared" ref="DU64:DY78" si="188">DU63+DP64</f>
        <v>0</v>
      </c>
      <c r="DV64" s="197">
        <f t="shared" si="188"/>
        <v>431.53846153846155</v>
      </c>
      <c r="DW64" s="197">
        <f t="shared" si="188"/>
        <v>3097.7705208847633</v>
      </c>
      <c r="DX64" s="197">
        <f t="shared" si="188"/>
        <v>-3097.7705208847633</v>
      </c>
      <c r="DY64" s="199">
        <f t="shared" si="188"/>
        <v>-2666.2320593463019</v>
      </c>
    </row>
    <row r="65" spans="2:129" x14ac:dyDescent="0.3">
      <c r="B65" s="204">
        <f t="shared" ref="B65:B78" si="189">B64+1</f>
        <v>3</v>
      </c>
      <c r="C65" s="219" t="s">
        <v>260</v>
      </c>
      <c r="D65" s="747">
        <f>'Arable Inputs'!$H$18</f>
        <v>12</v>
      </c>
      <c r="E65" s="747">
        <f>'Arable Inputs'!$H$25</f>
        <v>107.1</v>
      </c>
      <c r="H65" s="749">
        <f t="shared" si="143"/>
        <v>1285.1999999999998</v>
      </c>
      <c r="I65" s="197">
        <f>'Arable NPV'!$E145</f>
        <v>220</v>
      </c>
      <c r="J65" s="197">
        <f t="shared" si="144"/>
        <v>1505.1999999999998</v>
      </c>
      <c r="K65" s="197">
        <f>'Arable NPV'!$G145</f>
        <v>528.51499999999999</v>
      </c>
      <c r="L65" s="197">
        <f>'Arable NPV'!$H145</f>
        <v>552.40000000000009</v>
      </c>
      <c r="M65" s="197">
        <f t="shared" si="145"/>
        <v>1080.915</v>
      </c>
      <c r="N65" s="197">
        <f t="shared" si="137"/>
        <v>204.28499999999985</v>
      </c>
      <c r="O65" s="197">
        <f t="shared" si="138"/>
        <v>424.28499999999985</v>
      </c>
      <c r="P65" s="196">
        <f t="shared" si="146"/>
        <v>1188.2396449704138</v>
      </c>
      <c r="Q65" s="197">
        <f t="shared" si="147"/>
        <v>203.40236686390531</v>
      </c>
      <c r="R65" s="197">
        <f t="shared" si="148"/>
        <v>999.36667899408269</v>
      </c>
      <c r="S65" s="197">
        <f t="shared" si="149"/>
        <v>188.87296597633122</v>
      </c>
      <c r="T65" s="199">
        <f t="shared" si="150"/>
        <v>392.2753328402365</v>
      </c>
      <c r="U65" s="196">
        <f t="shared" si="151"/>
        <v>4815.2396449704138</v>
      </c>
      <c r="V65" s="197">
        <f t="shared" si="151"/>
        <v>634.94082840236683</v>
      </c>
      <c r="W65" s="197">
        <f t="shared" si="151"/>
        <v>4097.1371998788463</v>
      </c>
      <c r="X65" s="197">
        <f t="shared" si="151"/>
        <v>718.1024450915678</v>
      </c>
      <c r="Y65" s="199">
        <f t="shared" si="151"/>
        <v>1353.0432734939345</v>
      </c>
      <c r="AB65" s="204">
        <f t="shared" ref="AB65:AB78" si="190">AB64+1</f>
        <v>3</v>
      </c>
      <c r="AC65" s="219" t="s">
        <v>31</v>
      </c>
      <c r="AD65" s="747">
        <f>'Arable Inputs'!$H$18+0.5*'Arable Inputs'!$H$18</f>
        <v>18</v>
      </c>
      <c r="AE65" s="747">
        <f>'Arable Inputs'!$H$25</f>
        <v>107.1</v>
      </c>
      <c r="AH65" s="749">
        <f>AD65*AE65</f>
        <v>1927.8</v>
      </c>
      <c r="AI65" s="197">
        <f>'Arable NPV'!$E145</f>
        <v>220</v>
      </c>
      <c r="AJ65" s="197">
        <f t="shared" si="139"/>
        <v>2147.8000000000002</v>
      </c>
      <c r="AK65" s="197">
        <f>'Arable NPV'!$G145</f>
        <v>528.51499999999999</v>
      </c>
      <c r="AL65" s="197">
        <f>'Arable NPV'!$H145</f>
        <v>552.40000000000009</v>
      </c>
      <c r="AM65" s="197">
        <f t="shared" si="152"/>
        <v>1080.915</v>
      </c>
      <c r="AN65" s="197">
        <f t="shared" si="140"/>
        <v>846.88499999999999</v>
      </c>
      <c r="AO65" s="197">
        <f t="shared" si="153"/>
        <v>1066.8850000000002</v>
      </c>
      <c r="AP65" s="196">
        <f t="shared" si="154"/>
        <v>1782.3594674556211</v>
      </c>
      <c r="AQ65" s="197">
        <f t="shared" si="155"/>
        <v>203.40236686390531</v>
      </c>
      <c r="AR65" s="197">
        <f t="shared" si="156"/>
        <v>999.36667899408269</v>
      </c>
      <c r="AS65" s="197">
        <f t="shared" si="157"/>
        <v>782.99278846153834</v>
      </c>
      <c r="AT65" s="199">
        <f t="shared" si="158"/>
        <v>986.39515532544385</v>
      </c>
      <c r="AU65" s="196">
        <f t="shared" si="159"/>
        <v>7222.8594674556207</v>
      </c>
      <c r="AV65" s="197">
        <f t="shared" si="159"/>
        <v>634.94082840236683</v>
      </c>
      <c r="AW65" s="197">
        <f t="shared" si="159"/>
        <v>4097.1371998788463</v>
      </c>
      <c r="AX65" s="197">
        <f t="shared" si="159"/>
        <v>3125.7222675767744</v>
      </c>
      <c r="AY65" s="199">
        <f t="shared" si="159"/>
        <v>3760.6630959791419</v>
      </c>
      <c r="BB65" s="204">
        <f t="shared" ref="BB65:BB78" si="191">BB64+1</f>
        <v>3</v>
      </c>
      <c r="BC65" s="219" t="s">
        <v>31</v>
      </c>
      <c r="BD65" s="747">
        <f>'Arable Inputs'!$H$18-0.5*'Arable Inputs'!$H$18</f>
        <v>6</v>
      </c>
      <c r="BE65" s="747">
        <f>'Arable Inputs'!$H$25</f>
        <v>107.1</v>
      </c>
      <c r="BH65" s="749">
        <f>BD65*BE65</f>
        <v>642.59999999999991</v>
      </c>
      <c r="BI65" s="197">
        <f>'Arable NPV'!$E145</f>
        <v>220</v>
      </c>
      <c r="BJ65" s="197">
        <f t="shared" si="141"/>
        <v>862.59999999999991</v>
      </c>
      <c r="BK65" s="197">
        <f>'Arable NPV'!$G145</f>
        <v>528.51499999999999</v>
      </c>
      <c r="BL65" s="197">
        <f>'Arable NPV'!$H145</f>
        <v>552.40000000000009</v>
      </c>
      <c r="BM65" s="197">
        <f t="shared" si="160"/>
        <v>1080.915</v>
      </c>
      <c r="BN65" s="197">
        <f t="shared" si="142"/>
        <v>-438.31500000000005</v>
      </c>
      <c r="BO65" s="197">
        <f t="shared" si="161"/>
        <v>-218.31500000000005</v>
      </c>
      <c r="BP65" s="196">
        <f t="shared" si="162"/>
        <v>594.1198224852069</v>
      </c>
      <c r="BQ65" s="197">
        <f t="shared" si="163"/>
        <v>203.40236686390531</v>
      </c>
      <c r="BR65" s="197">
        <f t="shared" si="164"/>
        <v>999.36667899408269</v>
      </c>
      <c r="BS65" s="197">
        <f t="shared" si="165"/>
        <v>-405.24685650887574</v>
      </c>
      <c r="BT65" s="199">
        <f t="shared" si="166"/>
        <v>-201.84448964497045</v>
      </c>
      <c r="BU65" s="196">
        <f t="shared" si="167"/>
        <v>2407.6198224852069</v>
      </c>
      <c r="BV65" s="197">
        <f t="shared" si="167"/>
        <v>634.94082840236683</v>
      </c>
      <c r="BW65" s="197">
        <f t="shared" si="167"/>
        <v>4097.1371998788463</v>
      </c>
      <c r="BX65" s="197">
        <f t="shared" si="167"/>
        <v>-1689.517377393639</v>
      </c>
      <c r="BY65" s="199">
        <f t="shared" si="167"/>
        <v>-1054.5765489912724</v>
      </c>
      <c r="CB65" s="204">
        <f t="shared" ref="CB65:CB78" si="192">CB64+1</f>
        <v>3</v>
      </c>
      <c r="CC65" s="219" t="s">
        <v>31</v>
      </c>
      <c r="CD65" s="747">
        <f>'Arable Inputs'!$H$18+'Arable Inputs'!$H$18</f>
        <v>24</v>
      </c>
      <c r="CE65" s="747">
        <f>'Arable Inputs'!$H$25</f>
        <v>107.1</v>
      </c>
      <c r="CH65" s="749">
        <f>CD65*CE65</f>
        <v>2570.3999999999996</v>
      </c>
      <c r="CI65" s="197">
        <f>'Arable NPV'!$E145</f>
        <v>220</v>
      </c>
      <c r="CJ65" s="197">
        <f t="shared" si="168"/>
        <v>2790.3999999999996</v>
      </c>
      <c r="CK65" s="197">
        <f>'Arable NPV'!$G145</f>
        <v>528.51499999999999</v>
      </c>
      <c r="CL65" s="197">
        <f>'Arable NPV'!$H145</f>
        <v>552.40000000000009</v>
      </c>
      <c r="CM65" s="197">
        <f t="shared" si="169"/>
        <v>1080.915</v>
      </c>
      <c r="CN65" s="197">
        <f t="shared" si="170"/>
        <v>1489.4849999999997</v>
      </c>
      <c r="CO65" s="197">
        <f t="shared" si="171"/>
        <v>1709.4849999999997</v>
      </c>
      <c r="CP65" s="196">
        <f t="shared" si="172"/>
        <v>2376.4792899408276</v>
      </c>
      <c r="CQ65" s="197">
        <f t="shared" si="173"/>
        <v>203.40236686390531</v>
      </c>
      <c r="CR65" s="197">
        <f t="shared" si="174"/>
        <v>999.36667899408269</v>
      </c>
      <c r="CS65" s="197">
        <f t="shared" si="175"/>
        <v>1377.112610946745</v>
      </c>
      <c r="CT65" s="199">
        <f t="shared" si="176"/>
        <v>1580.5149778106504</v>
      </c>
      <c r="CU65" s="196">
        <f t="shared" si="177"/>
        <v>9630.4792899408276</v>
      </c>
      <c r="CV65" s="197">
        <f t="shared" si="177"/>
        <v>634.94082840236683</v>
      </c>
      <c r="CW65" s="197">
        <f t="shared" si="177"/>
        <v>4097.1371998788463</v>
      </c>
      <c r="CX65" s="197">
        <f t="shared" si="177"/>
        <v>5533.3420900619813</v>
      </c>
      <c r="CY65" s="199">
        <f t="shared" si="178"/>
        <v>6168.2829184643488</v>
      </c>
      <c r="DB65" s="204">
        <f t="shared" ref="DB65:DB78" si="193">DB64+1</f>
        <v>3</v>
      </c>
      <c r="DC65" s="219" t="s">
        <v>31</v>
      </c>
      <c r="DD65" s="747">
        <f>'Arable Inputs'!$H$18-'Arable Inputs'!$H$18</f>
        <v>0</v>
      </c>
      <c r="DE65" s="747">
        <f>'Arable Inputs'!$H$25</f>
        <v>107.1</v>
      </c>
      <c r="DH65" s="749">
        <f>DD65*DE65</f>
        <v>0</v>
      </c>
      <c r="DI65" s="197">
        <f>'Arable NPV'!$E145</f>
        <v>220</v>
      </c>
      <c r="DJ65" s="197">
        <f t="shared" si="179"/>
        <v>220</v>
      </c>
      <c r="DK65" s="197">
        <f>'Arable NPV'!$G145</f>
        <v>528.51499999999999</v>
      </c>
      <c r="DL65" s="197">
        <f>'Arable NPV'!$H145</f>
        <v>552.40000000000009</v>
      </c>
      <c r="DM65" s="197">
        <f t="shared" si="180"/>
        <v>1080.915</v>
      </c>
      <c r="DN65" s="197">
        <f t="shared" si="181"/>
        <v>-1080.915</v>
      </c>
      <c r="DO65" s="197">
        <f t="shared" si="182"/>
        <v>-860.91499999999996</v>
      </c>
      <c r="DP65" s="196">
        <f t="shared" si="183"/>
        <v>0</v>
      </c>
      <c r="DQ65" s="197">
        <f t="shared" si="184"/>
        <v>203.40236686390531</v>
      </c>
      <c r="DR65" s="197">
        <f t="shared" si="185"/>
        <v>999.36667899408269</v>
      </c>
      <c r="DS65" s="197">
        <f t="shared" si="186"/>
        <v>-999.36667899408269</v>
      </c>
      <c r="DT65" s="199">
        <f t="shared" si="187"/>
        <v>-795.9643121301774</v>
      </c>
      <c r="DU65" s="196">
        <f t="shared" si="188"/>
        <v>0</v>
      </c>
      <c r="DV65" s="197">
        <f t="shared" si="188"/>
        <v>634.94082840236683</v>
      </c>
      <c r="DW65" s="197">
        <f t="shared" si="188"/>
        <v>4097.1371998788463</v>
      </c>
      <c r="DX65" s="197">
        <f t="shared" si="188"/>
        <v>-4097.1371998788463</v>
      </c>
      <c r="DY65" s="199">
        <f t="shared" si="188"/>
        <v>-3462.1963714764793</v>
      </c>
    </row>
    <row r="66" spans="2:129" x14ac:dyDescent="0.3">
      <c r="B66" s="204">
        <f t="shared" si="189"/>
        <v>4</v>
      </c>
      <c r="C66" s="219" t="s">
        <v>6</v>
      </c>
      <c r="D66" s="747">
        <f>'Arable Inputs'!$F$18</f>
        <v>3.5</v>
      </c>
      <c r="E66" s="747">
        <f>'Arable Inputs'!$F$25</f>
        <v>335</v>
      </c>
      <c r="F66" s="747">
        <f>'Arable Inputs'!$F$19</f>
        <v>2.6</v>
      </c>
      <c r="G66" s="747">
        <f>'Arable Inputs'!$F$26</f>
        <v>37.5</v>
      </c>
      <c r="H66" s="749">
        <f>D66*E66+F66*G66</f>
        <v>1270</v>
      </c>
      <c r="I66" s="197">
        <f>'Arable NPV'!$E146</f>
        <v>220</v>
      </c>
      <c r="J66" s="197">
        <f t="shared" si="144"/>
        <v>1490</v>
      </c>
      <c r="K66" s="197">
        <f>'Arable NPV'!$G146</f>
        <v>541.75901992521074</v>
      </c>
      <c r="L66" s="197">
        <f>'Arable NPV'!$H146</f>
        <v>621.47428571428577</v>
      </c>
      <c r="M66" s="197">
        <f t="shared" si="145"/>
        <v>1163.2333056394964</v>
      </c>
      <c r="N66" s="197">
        <f t="shared" si="137"/>
        <v>106.76669436050361</v>
      </c>
      <c r="O66" s="197">
        <f t="shared" si="138"/>
        <v>326.76669436050361</v>
      </c>
      <c r="P66" s="196">
        <f t="shared" si="146"/>
        <v>1129.0253755120618</v>
      </c>
      <c r="Q66" s="197">
        <f t="shared" si="147"/>
        <v>195.57919890760127</v>
      </c>
      <c r="R66" s="197">
        <f t="shared" si="148"/>
        <v>1034.1101729982436</v>
      </c>
      <c r="S66" s="197">
        <f t="shared" si="149"/>
        <v>94.915202513818201</v>
      </c>
      <c r="T66" s="199">
        <f t="shared" si="150"/>
        <v>290.49440142141947</v>
      </c>
      <c r="U66" s="196">
        <f t="shared" si="151"/>
        <v>5944.2650204824758</v>
      </c>
      <c r="V66" s="197">
        <f t="shared" si="151"/>
        <v>830.5200273099681</v>
      </c>
      <c r="W66" s="197">
        <f t="shared" si="151"/>
        <v>5131.2473728770901</v>
      </c>
      <c r="X66" s="197">
        <f t="shared" si="151"/>
        <v>813.01764760538595</v>
      </c>
      <c r="Y66" s="199">
        <f t="shared" si="151"/>
        <v>1643.537674915354</v>
      </c>
      <c r="AB66" s="204">
        <f t="shared" si="190"/>
        <v>4</v>
      </c>
      <c r="AC66" s="219" t="s">
        <v>6</v>
      </c>
      <c r="AD66" s="747">
        <f>'Arable Inputs'!$F$18+0.5*'Arable Inputs'!$F$18</f>
        <v>5.25</v>
      </c>
      <c r="AE66" s="747">
        <f>'Arable Inputs'!$F$25</f>
        <v>335</v>
      </c>
      <c r="AF66" s="747">
        <f>'Arable Inputs'!$F$19+0.5*'Arable Inputs'!$F$19</f>
        <v>3.9000000000000004</v>
      </c>
      <c r="AG66" s="747">
        <f>'Arable Inputs'!$F$26</f>
        <v>37.5</v>
      </c>
      <c r="AH66" s="749">
        <f>AD66*AE66+AF66*AG66</f>
        <v>1905</v>
      </c>
      <c r="AI66" s="197">
        <f>'Arable NPV'!$E146</f>
        <v>220</v>
      </c>
      <c r="AJ66" s="197">
        <f t="shared" si="139"/>
        <v>2125</v>
      </c>
      <c r="AK66" s="197">
        <f>'Arable NPV'!$G146</f>
        <v>541.75901992521074</v>
      </c>
      <c r="AL66" s="197">
        <f>'Arable NPV'!$H146</f>
        <v>621.47428571428577</v>
      </c>
      <c r="AM66" s="197">
        <f t="shared" si="152"/>
        <v>1163.2333056394964</v>
      </c>
      <c r="AN66" s="197">
        <f t="shared" si="140"/>
        <v>741.76669436050361</v>
      </c>
      <c r="AO66" s="197">
        <f t="shared" si="153"/>
        <v>961.76669436050361</v>
      </c>
      <c r="AP66" s="196">
        <f t="shared" si="154"/>
        <v>1693.5380632680926</v>
      </c>
      <c r="AQ66" s="197">
        <f t="shared" si="155"/>
        <v>195.57919890760127</v>
      </c>
      <c r="AR66" s="197">
        <f t="shared" si="156"/>
        <v>1034.1101729982436</v>
      </c>
      <c r="AS66" s="197">
        <f t="shared" si="157"/>
        <v>659.42789026984906</v>
      </c>
      <c r="AT66" s="199">
        <f t="shared" si="158"/>
        <v>855.00708917745033</v>
      </c>
      <c r="AU66" s="196">
        <f t="shared" si="159"/>
        <v>8916.3975307237124</v>
      </c>
      <c r="AV66" s="197">
        <f t="shared" si="159"/>
        <v>830.5200273099681</v>
      </c>
      <c r="AW66" s="197">
        <f t="shared" si="159"/>
        <v>5131.2473728770901</v>
      </c>
      <c r="AX66" s="197">
        <f t="shared" si="159"/>
        <v>3785.1501578466232</v>
      </c>
      <c r="AY66" s="199">
        <f t="shared" si="159"/>
        <v>4615.6701851565922</v>
      </c>
      <c r="BB66" s="204">
        <f t="shared" si="191"/>
        <v>4</v>
      </c>
      <c r="BC66" s="219" t="s">
        <v>6</v>
      </c>
      <c r="BD66" s="747">
        <f>'Arable Inputs'!$F$18-0.5*'Arable Inputs'!$F$18</f>
        <v>1.75</v>
      </c>
      <c r="BE66" s="747">
        <f>'Arable Inputs'!$F$25</f>
        <v>335</v>
      </c>
      <c r="BF66" s="747">
        <f>'Arable Inputs'!$F$19-0.5*'Arable Inputs'!$F$19</f>
        <v>1.3</v>
      </c>
      <c r="BG66" s="747">
        <f>'Arable Inputs'!$F$26</f>
        <v>37.5</v>
      </c>
      <c r="BH66" s="749">
        <f>BD66*BE66+BF66*BG66</f>
        <v>635</v>
      </c>
      <c r="BI66" s="197">
        <f>'Arable NPV'!$E146</f>
        <v>220</v>
      </c>
      <c r="BJ66" s="197">
        <f t="shared" si="141"/>
        <v>855</v>
      </c>
      <c r="BK66" s="197">
        <f>'Arable NPV'!$G146</f>
        <v>541.75901992521074</v>
      </c>
      <c r="BL66" s="197">
        <f>'Arable NPV'!$H146</f>
        <v>621.47428571428577</v>
      </c>
      <c r="BM66" s="197">
        <f t="shared" si="160"/>
        <v>1163.2333056394964</v>
      </c>
      <c r="BN66" s="197">
        <f t="shared" si="142"/>
        <v>-528.23330563949639</v>
      </c>
      <c r="BO66" s="197">
        <f t="shared" si="161"/>
        <v>-308.23330563949639</v>
      </c>
      <c r="BP66" s="196">
        <f t="shared" si="162"/>
        <v>564.51268775603091</v>
      </c>
      <c r="BQ66" s="197">
        <f t="shared" si="163"/>
        <v>195.57919890760127</v>
      </c>
      <c r="BR66" s="197">
        <f t="shared" si="164"/>
        <v>1034.1101729982436</v>
      </c>
      <c r="BS66" s="197">
        <f t="shared" si="165"/>
        <v>-469.59748524221271</v>
      </c>
      <c r="BT66" s="199">
        <f t="shared" si="166"/>
        <v>-274.01828633461145</v>
      </c>
      <c r="BU66" s="196">
        <f t="shared" si="167"/>
        <v>2972.1325102412379</v>
      </c>
      <c r="BV66" s="197">
        <f t="shared" si="167"/>
        <v>830.5200273099681</v>
      </c>
      <c r="BW66" s="197">
        <f t="shared" si="167"/>
        <v>5131.2473728770901</v>
      </c>
      <c r="BX66" s="197">
        <f t="shared" si="167"/>
        <v>-2159.1148626358518</v>
      </c>
      <c r="BY66" s="199">
        <f t="shared" si="167"/>
        <v>-1328.5948353258839</v>
      </c>
      <c r="CB66" s="204">
        <f t="shared" si="192"/>
        <v>4</v>
      </c>
      <c r="CC66" s="219" t="s">
        <v>6</v>
      </c>
      <c r="CD66" s="747">
        <f>'Arable Inputs'!$F$18+'Arable Inputs'!$F$18</f>
        <v>7</v>
      </c>
      <c r="CE66" s="747">
        <f>'Arable Inputs'!$F$25</f>
        <v>335</v>
      </c>
      <c r="CF66" s="747">
        <f>'Arable Inputs'!$F$19+'Arable Inputs'!$F$19</f>
        <v>5.2</v>
      </c>
      <c r="CG66" s="747">
        <f>'Arable Inputs'!$F$26</f>
        <v>37.5</v>
      </c>
      <c r="CH66" s="749">
        <f>CD66*CE66+CF66*CG66</f>
        <v>2540</v>
      </c>
      <c r="CI66" s="197">
        <f>'Arable NPV'!$E146</f>
        <v>220</v>
      </c>
      <c r="CJ66" s="197">
        <f t="shared" si="168"/>
        <v>2760</v>
      </c>
      <c r="CK66" s="197">
        <f>'Arable NPV'!$G146</f>
        <v>541.75901992521074</v>
      </c>
      <c r="CL66" s="197">
        <f>'Arable NPV'!$H146</f>
        <v>621.47428571428577</v>
      </c>
      <c r="CM66" s="197">
        <f t="shared" si="169"/>
        <v>1163.2333056394964</v>
      </c>
      <c r="CN66" s="197">
        <f t="shared" si="170"/>
        <v>1376.7666943605036</v>
      </c>
      <c r="CO66" s="197">
        <f t="shared" si="171"/>
        <v>1596.7666943605036</v>
      </c>
      <c r="CP66" s="196">
        <f t="shared" si="172"/>
        <v>2258.0507510241237</v>
      </c>
      <c r="CQ66" s="197">
        <f t="shared" si="173"/>
        <v>195.57919890760127</v>
      </c>
      <c r="CR66" s="197">
        <f t="shared" si="174"/>
        <v>1034.1101729982436</v>
      </c>
      <c r="CS66" s="197">
        <f t="shared" si="175"/>
        <v>1223.9405780258801</v>
      </c>
      <c r="CT66" s="199">
        <f t="shared" si="176"/>
        <v>1419.5197769334814</v>
      </c>
      <c r="CU66" s="196">
        <f t="shared" si="177"/>
        <v>11888.530040964952</v>
      </c>
      <c r="CV66" s="197">
        <f t="shared" si="177"/>
        <v>830.5200273099681</v>
      </c>
      <c r="CW66" s="197">
        <f t="shared" si="177"/>
        <v>5131.2473728770901</v>
      </c>
      <c r="CX66" s="197">
        <f t="shared" si="177"/>
        <v>6757.2826680878616</v>
      </c>
      <c r="CY66" s="199">
        <f t="shared" si="178"/>
        <v>7587.8026953978297</v>
      </c>
      <c r="DB66" s="204">
        <f t="shared" si="193"/>
        <v>4</v>
      </c>
      <c r="DC66" s="219" t="s">
        <v>6</v>
      </c>
      <c r="DD66" s="747">
        <f>'Arable Inputs'!$F$18-'Arable Inputs'!$F$18</f>
        <v>0</v>
      </c>
      <c r="DE66" s="747">
        <f>'Arable Inputs'!$F$25</f>
        <v>335</v>
      </c>
      <c r="DF66" s="747">
        <f>'Arable Inputs'!$F$19-'Arable Inputs'!$F$19</f>
        <v>0</v>
      </c>
      <c r="DG66" s="747">
        <f>'Arable Inputs'!$F$26</f>
        <v>37.5</v>
      </c>
      <c r="DH66" s="749">
        <f>DD66*DE66+DF66*DG66</f>
        <v>0</v>
      </c>
      <c r="DI66" s="197">
        <f>'Arable NPV'!$E146</f>
        <v>220</v>
      </c>
      <c r="DJ66" s="197">
        <f t="shared" si="179"/>
        <v>220</v>
      </c>
      <c r="DK66" s="197">
        <f>'Arable NPV'!$G146</f>
        <v>541.75901992521074</v>
      </c>
      <c r="DL66" s="197">
        <f>'Arable NPV'!$H146</f>
        <v>621.47428571428577</v>
      </c>
      <c r="DM66" s="197">
        <f t="shared" si="180"/>
        <v>1163.2333056394964</v>
      </c>
      <c r="DN66" s="197">
        <f t="shared" si="181"/>
        <v>-1163.2333056394964</v>
      </c>
      <c r="DO66" s="197">
        <f t="shared" si="182"/>
        <v>-943.23330563949639</v>
      </c>
      <c r="DP66" s="196">
        <f t="shared" si="183"/>
        <v>0</v>
      </c>
      <c r="DQ66" s="197">
        <f t="shared" si="184"/>
        <v>195.57919890760127</v>
      </c>
      <c r="DR66" s="197">
        <f t="shared" si="185"/>
        <v>1034.1101729982436</v>
      </c>
      <c r="DS66" s="197">
        <f t="shared" si="186"/>
        <v>-1034.1101729982436</v>
      </c>
      <c r="DT66" s="199">
        <f t="shared" si="187"/>
        <v>-838.5309740906423</v>
      </c>
      <c r="DU66" s="196">
        <f t="shared" si="188"/>
        <v>0</v>
      </c>
      <c r="DV66" s="197">
        <f t="shared" si="188"/>
        <v>830.5200273099681</v>
      </c>
      <c r="DW66" s="197">
        <f t="shared" si="188"/>
        <v>5131.2473728770901</v>
      </c>
      <c r="DX66" s="197">
        <f t="shared" si="188"/>
        <v>-5131.2473728770901</v>
      </c>
      <c r="DY66" s="199">
        <f t="shared" si="188"/>
        <v>-4300.727345567122</v>
      </c>
    </row>
    <row r="67" spans="2:129" x14ac:dyDescent="0.3">
      <c r="B67" s="204">
        <f t="shared" si="189"/>
        <v>5</v>
      </c>
      <c r="C67" s="219" t="s">
        <v>5</v>
      </c>
      <c r="D67" s="747">
        <f>'Arable Inputs'!$E$18</f>
        <v>6.3</v>
      </c>
      <c r="E67" s="747">
        <f>'Arable Inputs'!$E$25</f>
        <v>140</v>
      </c>
      <c r="F67" s="747">
        <f>'Arable Inputs'!$E$19</f>
        <v>3.5</v>
      </c>
      <c r="G67" s="747">
        <f>'Arable Inputs'!$E$26</f>
        <v>70</v>
      </c>
      <c r="H67" s="749">
        <f>D67*E67+F67*G67</f>
        <v>1127</v>
      </c>
      <c r="I67" s="197">
        <f>'Arable NPV'!$E147</f>
        <v>220</v>
      </c>
      <c r="J67" s="197">
        <f t="shared" si="144"/>
        <v>1347</v>
      </c>
      <c r="K67" s="197">
        <f>'Arable NPV'!$G147</f>
        <v>418.54877602277168</v>
      </c>
      <c r="L67" s="197">
        <f>'Arable NPV'!$H147</f>
        <v>773.65999999999985</v>
      </c>
      <c r="M67" s="197">
        <f t="shared" si="145"/>
        <v>1192.2087760227714</v>
      </c>
      <c r="N67" s="197">
        <f t="shared" si="137"/>
        <v>-65.208776022771417</v>
      </c>
      <c r="O67" s="197">
        <f t="shared" si="138"/>
        <v>154.79122397722858</v>
      </c>
      <c r="P67" s="196">
        <f t="shared" si="146"/>
        <v>963.36432329050081</v>
      </c>
      <c r="Q67" s="197">
        <f t="shared" si="147"/>
        <v>188.05692202653967</v>
      </c>
      <c r="R67" s="197">
        <f t="shared" si="148"/>
        <v>1019.1050583266846</v>
      </c>
      <c r="S67" s="197">
        <f t="shared" si="149"/>
        <v>-55.740735036183693</v>
      </c>
      <c r="T67" s="199">
        <f t="shared" si="150"/>
        <v>132.31618699035596</v>
      </c>
      <c r="U67" s="196">
        <f t="shared" si="151"/>
        <v>6907.6293437729764</v>
      </c>
      <c r="V67" s="197">
        <f t="shared" si="151"/>
        <v>1018.5769493365078</v>
      </c>
      <c r="W67" s="197">
        <f t="shared" si="151"/>
        <v>6150.3524312037744</v>
      </c>
      <c r="X67" s="197">
        <f t="shared" si="151"/>
        <v>757.2769125692023</v>
      </c>
      <c r="Y67" s="199">
        <f t="shared" si="151"/>
        <v>1775.8538619057099</v>
      </c>
      <c r="AB67" s="204">
        <f t="shared" si="190"/>
        <v>5</v>
      </c>
      <c r="AC67" s="219" t="s">
        <v>5</v>
      </c>
      <c r="AD67" s="747">
        <f>'Arable Inputs'!$E$18+0.5*'Arable Inputs'!$E$18</f>
        <v>9.4499999999999993</v>
      </c>
      <c r="AE67" s="747">
        <f>'Arable Inputs'!$E$25</f>
        <v>140</v>
      </c>
      <c r="AF67" s="747">
        <f>'Arable Inputs'!$E$19+0.5*'Arable Inputs'!$E$19</f>
        <v>5.25</v>
      </c>
      <c r="AG67" s="747">
        <f>'Arable Inputs'!$E$26</f>
        <v>70</v>
      </c>
      <c r="AH67" s="749">
        <f>AD67*AE67+AF67*AG67</f>
        <v>1690.5</v>
      </c>
      <c r="AI67" s="197">
        <f>'Arable NPV'!$E147</f>
        <v>220</v>
      </c>
      <c r="AJ67" s="197">
        <f t="shared" si="139"/>
        <v>1910.5</v>
      </c>
      <c r="AK67" s="197">
        <f>'Arable NPV'!$G147</f>
        <v>418.54877602277168</v>
      </c>
      <c r="AL67" s="197">
        <f>'Arable NPV'!$H147</f>
        <v>773.65999999999985</v>
      </c>
      <c r="AM67" s="197">
        <f t="shared" si="152"/>
        <v>1192.2087760227714</v>
      </c>
      <c r="AN67" s="197">
        <f t="shared" si="140"/>
        <v>498.29122397722858</v>
      </c>
      <c r="AO67" s="197">
        <f t="shared" si="153"/>
        <v>718.29122397722858</v>
      </c>
      <c r="AP67" s="196">
        <f t="shared" si="154"/>
        <v>1445.0464849357513</v>
      </c>
      <c r="AQ67" s="197">
        <f t="shared" si="155"/>
        <v>188.05692202653967</v>
      </c>
      <c r="AR67" s="197">
        <f t="shared" si="156"/>
        <v>1019.1050583266846</v>
      </c>
      <c r="AS67" s="197">
        <f t="shared" si="157"/>
        <v>425.94142660906675</v>
      </c>
      <c r="AT67" s="199">
        <f t="shared" si="158"/>
        <v>613.99834863560636</v>
      </c>
      <c r="AU67" s="196">
        <f t="shared" si="159"/>
        <v>10361.444015659465</v>
      </c>
      <c r="AV67" s="197">
        <f t="shared" si="159"/>
        <v>1018.5769493365078</v>
      </c>
      <c r="AW67" s="197">
        <f t="shared" si="159"/>
        <v>6150.3524312037744</v>
      </c>
      <c r="AX67" s="197">
        <f t="shared" si="159"/>
        <v>4211.0915844556903</v>
      </c>
      <c r="AY67" s="199">
        <f t="shared" si="159"/>
        <v>5229.668533792199</v>
      </c>
      <c r="BB67" s="204">
        <f t="shared" si="191"/>
        <v>5</v>
      </c>
      <c r="BC67" s="219" t="s">
        <v>5</v>
      </c>
      <c r="BD67" s="747">
        <f>'Arable Inputs'!$E$18-0.5*'Arable Inputs'!$E$18</f>
        <v>3.15</v>
      </c>
      <c r="BE67" s="747">
        <f>'Arable Inputs'!$E$25</f>
        <v>140</v>
      </c>
      <c r="BF67" s="747">
        <f>'Arable Inputs'!$E$19-0.5*'Arable Inputs'!$E$19</f>
        <v>1.75</v>
      </c>
      <c r="BG67" s="747">
        <f>'Arable Inputs'!$E$26</f>
        <v>70</v>
      </c>
      <c r="BH67" s="749">
        <f>BD67*BE67+BF67*BG67</f>
        <v>563.5</v>
      </c>
      <c r="BI67" s="197">
        <f>'Arable NPV'!$E147</f>
        <v>220</v>
      </c>
      <c r="BJ67" s="197">
        <f t="shared" si="141"/>
        <v>783.5</v>
      </c>
      <c r="BK67" s="197">
        <f>'Arable NPV'!$G147</f>
        <v>418.54877602277168</v>
      </c>
      <c r="BL67" s="197">
        <f>'Arable NPV'!$H147</f>
        <v>773.65999999999985</v>
      </c>
      <c r="BM67" s="197">
        <f t="shared" si="160"/>
        <v>1192.2087760227714</v>
      </c>
      <c r="BN67" s="197">
        <f t="shared" si="142"/>
        <v>-628.70877602277142</v>
      </c>
      <c r="BO67" s="197">
        <f t="shared" si="161"/>
        <v>-408.70877602277142</v>
      </c>
      <c r="BP67" s="196">
        <f t="shared" si="162"/>
        <v>481.6821616452504</v>
      </c>
      <c r="BQ67" s="197">
        <f t="shared" si="163"/>
        <v>188.05692202653967</v>
      </c>
      <c r="BR67" s="197">
        <f t="shared" si="164"/>
        <v>1019.1050583266846</v>
      </c>
      <c r="BS67" s="197">
        <f t="shared" si="165"/>
        <v>-537.42289668143417</v>
      </c>
      <c r="BT67" s="199">
        <f t="shared" si="166"/>
        <v>-349.36597465489444</v>
      </c>
      <c r="BU67" s="196">
        <f t="shared" si="167"/>
        <v>3453.8146718864882</v>
      </c>
      <c r="BV67" s="197">
        <f t="shared" si="167"/>
        <v>1018.5769493365078</v>
      </c>
      <c r="BW67" s="197">
        <f t="shared" si="167"/>
        <v>6150.3524312037744</v>
      </c>
      <c r="BX67" s="197">
        <f t="shared" si="167"/>
        <v>-2696.5377593172861</v>
      </c>
      <c r="BY67" s="199">
        <f t="shared" si="167"/>
        <v>-1677.9608099807783</v>
      </c>
      <c r="CB67" s="204">
        <f t="shared" si="192"/>
        <v>5</v>
      </c>
      <c r="CC67" s="219" t="s">
        <v>5</v>
      </c>
      <c r="CD67" s="747">
        <f>'Arable Inputs'!$E$18+'Arable Inputs'!$E$18</f>
        <v>12.6</v>
      </c>
      <c r="CE67" s="747">
        <f>'Arable Inputs'!$E$25</f>
        <v>140</v>
      </c>
      <c r="CF67" s="747">
        <f>'Arable Inputs'!$E$19+'Arable Inputs'!$E$19</f>
        <v>7</v>
      </c>
      <c r="CG67" s="747">
        <f>'Arable Inputs'!$E$26</f>
        <v>70</v>
      </c>
      <c r="CH67" s="749">
        <f>CD67*CE67+CF67*CG67</f>
        <v>2254</v>
      </c>
      <c r="CI67" s="197">
        <f>'Arable NPV'!$E147</f>
        <v>220</v>
      </c>
      <c r="CJ67" s="197">
        <f t="shared" si="168"/>
        <v>2474</v>
      </c>
      <c r="CK67" s="197">
        <f>'Arable NPV'!$G147</f>
        <v>418.54877602277168</v>
      </c>
      <c r="CL67" s="197">
        <f>'Arable NPV'!$H147</f>
        <v>773.65999999999985</v>
      </c>
      <c r="CM67" s="197">
        <f t="shared" si="169"/>
        <v>1192.2087760227714</v>
      </c>
      <c r="CN67" s="197">
        <f t="shared" si="170"/>
        <v>1061.7912239772286</v>
      </c>
      <c r="CO67" s="197">
        <f t="shared" si="171"/>
        <v>1281.7912239772286</v>
      </c>
      <c r="CP67" s="196">
        <f t="shared" si="172"/>
        <v>1926.7286465810016</v>
      </c>
      <c r="CQ67" s="197">
        <f t="shared" si="173"/>
        <v>188.05692202653967</v>
      </c>
      <c r="CR67" s="197">
        <f t="shared" si="174"/>
        <v>1019.1050583266846</v>
      </c>
      <c r="CS67" s="197">
        <f t="shared" si="175"/>
        <v>907.62358825431716</v>
      </c>
      <c r="CT67" s="199">
        <f t="shared" si="176"/>
        <v>1095.6805102808569</v>
      </c>
      <c r="CU67" s="196">
        <f t="shared" si="177"/>
        <v>13815.258687545953</v>
      </c>
      <c r="CV67" s="197">
        <f t="shared" si="177"/>
        <v>1018.5769493365078</v>
      </c>
      <c r="CW67" s="197">
        <f t="shared" si="177"/>
        <v>6150.3524312037744</v>
      </c>
      <c r="CX67" s="197">
        <f t="shared" si="177"/>
        <v>7664.9062563421785</v>
      </c>
      <c r="CY67" s="199">
        <f t="shared" si="178"/>
        <v>8683.4832056786872</v>
      </c>
      <c r="DB67" s="204">
        <f t="shared" si="193"/>
        <v>5</v>
      </c>
      <c r="DC67" s="219" t="s">
        <v>5</v>
      </c>
      <c r="DD67" s="747">
        <f>'Arable Inputs'!$E$18-'Arable Inputs'!$E$18</f>
        <v>0</v>
      </c>
      <c r="DE67" s="747">
        <f>'Arable Inputs'!$E$25</f>
        <v>140</v>
      </c>
      <c r="DF67" s="747">
        <f>'Arable Inputs'!$E$19-'Arable Inputs'!$E$19</f>
        <v>0</v>
      </c>
      <c r="DG67" s="747">
        <f>'Arable Inputs'!$E$26</f>
        <v>70</v>
      </c>
      <c r="DH67" s="749">
        <f>DD67*DE67+DF67*DG67</f>
        <v>0</v>
      </c>
      <c r="DI67" s="197">
        <f>'Arable NPV'!$E147</f>
        <v>220</v>
      </c>
      <c r="DJ67" s="197">
        <f t="shared" si="179"/>
        <v>220</v>
      </c>
      <c r="DK67" s="197">
        <f>'Arable NPV'!$G147</f>
        <v>418.54877602277168</v>
      </c>
      <c r="DL67" s="197">
        <f>'Arable NPV'!$H147</f>
        <v>773.65999999999985</v>
      </c>
      <c r="DM67" s="197">
        <f t="shared" si="180"/>
        <v>1192.2087760227714</v>
      </c>
      <c r="DN67" s="197">
        <f t="shared" si="181"/>
        <v>-1192.2087760227714</v>
      </c>
      <c r="DO67" s="197">
        <f t="shared" si="182"/>
        <v>-972.20877602277142</v>
      </c>
      <c r="DP67" s="196">
        <f t="shared" si="183"/>
        <v>0</v>
      </c>
      <c r="DQ67" s="197">
        <f t="shared" si="184"/>
        <v>188.05692202653967</v>
      </c>
      <c r="DR67" s="197">
        <f t="shared" si="185"/>
        <v>1019.1050583266846</v>
      </c>
      <c r="DS67" s="197">
        <f t="shared" si="186"/>
        <v>-1019.1050583266846</v>
      </c>
      <c r="DT67" s="199">
        <f t="shared" si="187"/>
        <v>-831.04813630014485</v>
      </c>
      <c r="DU67" s="196">
        <f t="shared" si="188"/>
        <v>0</v>
      </c>
      <c r="DV67" s="197">
        <f t="shared" si="188"/>
        <v>1018.5769493365078</v>
      </c>
      <c r="DW67" s="197">
        <f t="shared" si="188"/>
        <v>6150.3524312037744</v>
      </c>
      <c r="DX67" s="197">
        <f t="shared" si="188"/>
        <v>-6150.3524312037744</v>
      </c>
      <c r="DY67" s="199">
        <f t="shared" si="188"/>
        <v>-5131.7754818672665</v>
      </c>
    </row>
    <row r="68" spans="2:129" x14ac:dyDescent="0.3">
      <c r="B68" s="204">
        <f t="shared" si="189"/>
        <v>6</v>
      </c>
      <c r="C68" s="219" t="s">
        <v>4</v>
      </c>
      <c r="D68" s="747">
        <f>'Arable Inputs'!$D$18</f>
        <v>8.25</v>
      </c>
      <c r="E68" s="747">
        <f>'Arable Inputs'!$D$25</f>
        <v>162</v>
      </c>
      <c r="F68" s="747">
        <f>'Arable Inputs'!$D$19</f>
        <v>3.9</v>
      </c>
      <c r="G68" s="747">
        <f>'Arable Inputs'!$D$26</f>
        <v>65</v>
      </c>
      <c r="H68" s="749">
        <f>D68*E68+F68*G68</f>
        <v>1590</v>
      </c>
      <c r="I68" s="197">
        <f>'Arable NPV'!$E148</f>
        <v>220</v>
      </c>
      <c r="J68" s="197">
        <f t="shared" si="144"/>
        <v>1810</v>
      </c>
      <c r="K68" s="197">
        <f>'Arable NPV'!$G148</f>
        <v>684.46423508399835</v>
      </c>
      <c r="L68" s="197">
        <f>'Arable NPV'!$H148</f>
        <v>841.31999999999994</v>
      </c>
      <c r="M68" s="197">
        <f t="shared" si="145"/>
        <v>1525.7842350839983</v>
      </c>
      <c r="N68" s="197">
        <f t="shared" si="137"/>
        <v>64.215764916001717</v>
      </c>
      <c r="O68" s="197">
        <f t="shared" si="138"/>
        <v>284.21576491600172</v>
      </c>
      <c r="P68" s="196">
        <f t="shared" si="146"/>
        <v>1306.864099747369</v>
      </c>
      <c r="Q68" s="197">
        <f t="shared" si="147"/>
        <v>180.82396348705734</v>
      </c>
      <c r="R68" s="197">
        <f t="shared" si="148"/>
        <v>1254.083421881621</v>
      </c>
      <c r="S68" s="197">
        <f t="shared" si="149"/>
        <v>52.780677865747968</v>
      </c>
      <c r="T68" s="199">
        <f t="shared" si="150"/>
        <v>233.60464135280532</v>
      </c>
      <c r="U68" s="196">
        <f t="shared" si="151"/>
        <v>8214.493443520345</v>
      </c>
      <c r="V68" s="197">
        <f t="shared" si="151"/>
        <v>1199.4009128235652</v>
      </c>
      <c r="W68" s="197">
        <f t="shared" si="151"/>
        <v>7404.4358530853951</v>
      </c>
      <c r="X68" s="197">
        <f t="shared" si="151"/>
        <v>810.05759043495027</v>
      </c>
      <c r="Y68" s="199">
        <f t="shared" si="151"/>
        <v>2009.4585032585153</v>
      </c>
      <c r="AB68" s="204">
        <f t="shared" si="190"/>
        <v>6</v>
      </c>
      <c r="AC68" s="219" t="s">
        <v>4</v>
      </c>
      <c r="AD68" s="747">
        <f>'Arable Inputs'!$D$18+0.5*'Arable Inputs'!$D$18</f>
        <v>12.375</v>
      </c>
      <c r="AE68" s="747">
        <f>'Arable Inputs'!$D$25</f>
        <v>162</v>
      </c>
      <c r="AF68" s="747">
        <f>'Arable Inputs'!$D$19+0.5*'Arable Inputs'!$D$19</f>
        <v>5.85</v>
      </c>
      <c r="AG68" s="747">
        <f>'Arable Inputs'!$D$26</f>
        <v>65</v>
      </c>
      <c r="AH68" s="749">
        <f>AD68*AE68+AF68*AG68</f>
        <v>2385</v>
      </c>
      <c r="AI68" s="197">
        <f>'Arable NPV'!$E148</f>
        <v>220</v>
      </c>
      <c r="AJ68" s="197">
        <f t="shared" si="139"/>
        <v>2605</v>
      </c>
      <c r="AK68" s="197">
        <f>'Arable NPV'!$G148</f>
        <v>684.46423508399835</v>
      </c>
      <c r="AL68" s="197">
        <f>'Arable NPV'!$H148</f>
        <v>841.31999999999994</v>
      </c>
      <c r="AM68" s="197">
        <f t="shared" si="152"/>
        <v>1525.7842350839983</v>
      </c>
      <c r="AN68" s="197">
        <f t="shared" si="140"/>
        <v>859.21576491600172</v>
      </c>
      <c r="AO68" s="197">
        <f t="shared" si="153"/>
        <v>1079.2157649160017</v>
      </c>
      <c r="AP68" s="196">
        <f t="shared" si="154"/>
        <v>1960.2961496210535</v>
      </c>
      <c r="AQ68" s="197">
        <f t="shared" si="155"/>
        <v>180.82396348705734</v>
      </c>
      <c r="AR68" s="197">
        <f t="shared" si="156"/>
        <v>1254.083421881621</v>
      </c>
      <c r="AS68" s="197">
        <f t="shared" si="157"/>
        <v>706.21272773943247</v>
      </c>
      <c r="AT68" s="199">
        <f t="shared" si="158"/>
        <v>887.03669122648978</v>
      </c>
      <c r="AU68" s="196">
        <f t="shared" si="159"/>
        <v>12321.740165280518</v>
      </c>
      <c r="AV68" s="197">
        <f t="shared" si="159"/>
        <v>1199.4009128235652</v>
      </c>
      <c r="AW68" s="197">
        <f t="shared" si="159"/>
        <v>7404.4358530853951</v>
      </c>
      <c r="AX68" s="197">
        <f t="shared" si="159"/>
        <v>4917.3043121951232</v>
      </c>
      <c r="AY68" s="199">
        <f t="shared" si="159"/>
        <v>6116.7052250186889</v>
      </c>
      <c r="BB68" s="204">
        <f t="shared" si="191"/>
        <v>6</v>
      </c>
      <c r="BC68" s="219" t="s">
        <v>4</v>
      </c>
      <c r="BD68" s="747">
        <f>'Arable Inputs'!$D$18-0.5*'Arable Inputs'!$D$18</f>
        <v>4.125</v>
      </c>
      <c r="BE68" s="747">
        <f>'Arable Inputs'!$D$25</f>
        <v>162</v>
      </c>
      <c r="BF68" s="747">
        <f>'Arable Inputs'!$D$19-0.5*'Arable Inputs'!$D$19</f>
        <v>1.95</v>
      </c>
      <c r="BG68" s="747">
        <f>'Arable Inputs'!$D$26</f>
        <v>65</v>
      </c>
      <c r="BH68" s="749">
        <f>BD68*BE68+BF68*BG68</f>
        <v>795</v>
      </c>
      <c r="BI68" s="197">
        <f>'Arable NPV'!$E148</f>
        <v>220</v>
      </c>
      <c r="BJ68" s="197">
        <f t="shared" si="141"/>
        <v>1015</v>
      </c>
      <c r="BK68" s="197">
        <f>'Arable NPV'!$G148</f>
        <v>684.46423508399835</v>
      </c>
      <c r="BL68" s="197">
        <f>'Arable NPV'!$H148</f>
        <v>841.31999999999994</v>
      </c>
      <c r="BM68" s="197">
        <f t="shared" si="160"/>
        <v>1525.7842350839983</v>
      </c>
      <c r="BN68" s="197">
        <f t="shared" si="142"/>
        <v>-730.78423508399828</v>
      </c>
      <c r="BO68" s="197">
        <f t="shared" si="161"/>
        <v>-510.78423508399828</v>
      </c>
      <c r="BP68" s="196">
        <f t="shared" si="162"/>
        <v>653.43204987368449</v>
      </c>
      <c r="BQ68" s="197">
        <f t="shared" si="163"/>
        <v>180.82396348705734</v>
      </c>
      <c r="BR68" s="197">
        <f t="shared" si="164"/>
        <v>1254.083421881621</v>
      </c>
      <c r="BS68" s="197">
        <f t="shared" si="165"/>
        <v>-600.65137200793652</v>
      </c>
      <c r="BT68" s="199">
        <f t="shared" si="166"/>
        <v>-419.82740852087915</v>
      </c>
      <c r="BU68" s="196">
        <f t="shared" si="167"/>
        <v>4107.2467217601725</v>
      </c>
      <c r="BV68" s="197">
        <f t="shared" si="167"/>
        <v>1199.4009128235652</v>
      </c>
      <c r="BW68" s="197">
        <f t="shared" si="167"/>
        <v>7404.4358530853951</v>
      </c>
      <c r="BX68" s="197">
        <f t="shared" si="167"/>
        <v>-3297.1891313252227</v>
      </c>
      <c r="BY68" s="199">
        <f t="shared" si="167"/>
        <v>-2097.7882185016574</v>
      </c>
      <c r="CB68" s="204">
        <f t="shared" si="192"/>
        <v>6</v>
      </c>
      <c r="CC68" s="219" t="s">
        <v>4</v>
      </c>
      <c r="CD68" s="747">
        <f>'Arable Inputs'!$D$18+'Arable Inputs'!$D$18</f>
        <v>16.5</v>
      </c>
      <c r="CE68" s="747">
        <f>'Arable Inputs'!$D$25</f>
        <v>162</v>
      </c>
      <c r="CF68" s="747">
        <f>'Arable Inputs'!$D$19+'Arable Inputs'!$D$19</f>
        <v>7.8</v>
      </c>
      <c r="CG68" s="747">
        <f>'Arable Inputs'!$D$26</f>
        <v>65</v>
      </c>
      <c r="CH68" s="749">
        <f>CD68*CE68+CF68*CG68</f>
        <v>3180</v>
      </c>
      <c r="CI68" s="197">
        <f>'Arable NPV'!$E148</f>
        <v>220</v>
      </c>
      <c r="CJ68" s="197">
        <f t="shared" si="168"/>
        <v>3400</v>
      </c>
      <c r="CK68" s="197">
        <f>'Arable NPV'!$G148</f>
        <v>684.46423508399835</v>
      </c>
      <c r="CL68" s="197">
        <f>'Arable NPV'!$H148</f>
        <v>841.31999999999994</v>
      </c>
      <c r="CM68" s="197">
        <f t="shared" si="169"/>
        <v>1525.7842350839983</v>
      </c>
      <c r="CN68" s="197">
        <f t="shared" si="170"/>
        <v>1654.2157649160017</v>
      </c>
      <c r="CO68" s="197">
        <f t="shared" si="171"/>
        <v>1874.2157649160017</v>
      </c>
      <c r="CP68" s="196">
        <f t="shared" si="172"/>
        <v>2613.728199494738</v>
      </c>
      <c r="CQ68" s="197">
        <f t="shared" si="173"/>
        <v>180.82396348705734</v>
      </c>
      <c r="CR68" s="197">
        <f t="shared" si="174"/>
        <v>1254.083421881621</v>
      </c>
      <c r="CS68" s="197">
        <f t="shared" si="175"/>
        <v>1359.644777613117</v>
      </c>
      <c r="CT68" s="199">
        <f t="shared" si="176"/>
        <v>1540.4687411001742</v>
      </c>
      <c r="CU68" s="196">
        <f t="shared" si="177"/>
        <v>16428.98688704069</v>
      </c>
      <c r="CV68" s="197">
        <f t="shared" si="177"/>
        <v>1199.4009128235652</v>
      </c>
      <c r="CW68" s="197">
        <f t="shared" si="177"/>
        <v>7404.4358530853951</v>
      </c>
      <c r="CX68" s="197">
        <f t="shared" si="177"/>
        <v>9024.5510339552948</v>
      </c>
      <c r="CY68" s="199">
        <f t="shared" si="178"/>
        <v>10223.951946778861</v>
      </c>
      <c r="DB68" s="204">
        <f t="shared" si="193"/>
        <v>6</v>
      </c>
      <c r="DC68" s="219" t="s">
        <v>4</v>
      </c>
      <c r="DD68" s="747">
        <f>'Arable Inputs'!$D$18-'Arable Inputs'!$D$18</f>
        <v>0</v>
      </c>
      <c r="DE68" s="747">
        <f>'Arable Inputs'!$D$25</f>
        <v>162</v>
      </c>
      <c r="DF68" s="747">
        <f>'Arable Inputs'!$D$19-'Arable Inputs'!$D$19</f>
        <v>0</v>
      </c>
      <c r="DG68" s="747">
        <f>'Arable Inputs'!$D$26</f>
        <v>65</v>
      </c>
      <c r="DH68" s="749">
        <f>DD68*DE68+DF68*DG68</f>
        <v>0</v>
      </c>
      <c r="DI68" s="197">
        <f>'Arable NPV'!$E148</f>
        <v>220</v>
      </c>
      <c r="DJ68" s="197">
        <f t="shared" si="179"/>
        <v>220</v>
      </c>
      <c r="DK68" s="197">
        <f>'Arable NPV'!$G148</f>
        <v>684.46423508399835</v>
      </c>
      <c r="DL68" s="197">
        <f>'Arable NPV'!$H148</f>
        <v>841.31999999999994</v>
      </c>
      <c r="DM68" s="197">
        <f t="shared" si="180"/>
        <v>1525.7842350839983</v>
      </c>
      <c r="DN68" s="197">
        <f t="shared" si="181"/>
        <v>-1525.7842350839983</v>
      </c>
      <c r="DO68" s="197">
        <f t="shared" si="182"/>
        <v>-1305.7842350839983</v>
      </c>
      <c r="DP68" s="196">
        <f t="shared" si="183"/>
        <v>0</v>
      </c>
      <c r="DQ68" s="197">
        <f t="shared" si="184"/>
        <v>180.82396348705734</v>
      </c>
      <c r="DR68" s="197">
        <f t="shared" si="185"/>
        <v>1254.083421881621</v>
      </c>
      <c r="DS68" s="197">
        <f t="shared" si="186"/>
        <v>-1254.083421881621</v>
      </c>
      <c r="DT68" s="199">
        <f t="shared" si="187"/>
        <v>-1073.2594583945636</v>
      </c>
      <c r="DU68" s="196">
        <f t="shared" si="188"/>
        <v>0</v>
      </c>
      <c r="DV68" s="197">
        <f t="shared" si="188"/>
        <v>1199.4009128235652</v>
      </c>
      <c r="DW68" s="197">
        <f t="shared" si="188"/>
        <v>7404.4358530853951</v>
      </c>
      <c r="DX68" s="197">
        <f t="shared" si="188"/>
        <v>-7404.4358530853951</v>
      </c>
      <c r="DY68" s="199">
        <f t="shared" si="188"/>
        <v>-6205.0349402618303</v>
      </c>
    </row>
    <row r="69" spans="2:129" x14ac:dyDescent="0.3">
      <c r="B69" s="204">
        <f t="shared" si="189"/>
        <v>7</v>
      </c>
      <c r="C69" s="219" t="s">
        <v>7</v>
      </c>
      <c r="D69" s="747">
        <f>'Arable Inputs'!$G$18</f>
        <v>78</v>
      </c>
      <c r="E69" s="747">
        <f>'Arable Inputs'!$G$25</f>
        <v>27.16</v>
      </c>
      <c r="H69" s="749">
        <f t="shared" si="143"/>
        <v>2118.48</v>
      </c>
      <c r="I69" s="197">
        <f>'Arable NPV'!$E149</f>
        <v>220</v>
      </c>
      <c r="J69" s="197">
        <f t="shared" si="144"/>
        <v>2338.48</v>
      </c>
      <c r="K69" s="197">
        <f>'Arable NPV'!$G149</f>
        <v>793.83573723279574</v>
      </c>
      <c r="L69" s="197">
        <f>'Arable NPV'!$H149</f>
        <v>841.03</v>
      </c>
      <c r="M69" s="197">
        <f t="shared" si="145"/>
        <v>1634.8657372327957</v>
      </c>
      <c r="N69" s="197">
        <f t="shared" si="137"/>
        <v>483.61426276720431</v>
      </c>
      <c r="O69" s="197">
        <f t="shared" si="138"/>
        <v>703.61426276720431</v>
      </c>
      <c r="P69" s="196">
        <f t="shared" si="146"/>
        <v>1674.2655164687992</v>
      </c>
      <c r="Q69" s="197">
        <f t="shared" si="147"/>
        <v>173.86919566063204</v>
      </c>
      <c r="R69" s="197">
        <f t="shared" si="148"/>
        <v>1292.0581397536021</v>
      </c>
      <c r="S69" s="197">
        <f t="shared" si="149"/>
        <v>382.20737671519714</v>
      </c>
      <c r="T69" s="199">
        <f t="shared" si="150"/>
        <v>556.07657237582919</v>
      </c>
      <c r="U69" s="196">
        <f t="shared" si="151"/>
        <v>9888.7589599891435</v>
      </c>
      <c r="V69" s="197">
        <f t="shared" si="151"/>
        <v>1373.2701084841974</v>
      </c>
      <c r="W69" s="197">
        <f t="shared" si="151"/>
        <v>8696.4939928389977</v>
      </c>
      <c r="X69" s="197">
        <f t="shared" si="151"/>
        <v>1192.2649671501474</v>
      </c>
      <c r="Y69" s="199">
        <f t="shared" si="151"/>
        <v>2565.5350756343446</v>
      </c>
      <c r="AB69" s="204">
        <f t="shared" si="190"/>
        <v>7</v>
      </c>
      <c r="AC69" s="219" t="s">
        <v>7</v>
      </c>
      <c r="AD69" s="747">
        <f>'Arable Inputs'!$G$18+0.5*'Arable Inputs'!$G$18</f>
        <v>117</v>
      </c>
      <c r="AE69" s="747">
        <f>'Arable Inputs'!$G$25</f>
        <v>27.16</v>
      </c>
      <c r="AH69" s="749">
        <f>AD69*AE69</f>
        <v>3177.72</v>
      </c>
      <c r="AI69" s="197">
        <f>'Arable NPV'!$E149</f>
        <v>220</v>
      </c>
      <c r="AJ69" s="197">
        <f t="shared" si="139"/>
        <v>3397.72</v>
      </c>
      <c r="AK69" s="197">
        <f>'Arable NPV'!$G149</f>
        <v>793.83573723279574</v>
      </c>
      <c r="AL69" s="197">
        <f>'Arable NPV'!$H149</f>
        <v>841.03</v>
      </c>
      <c r="AM69" s="197">
        <f t="shared" si="152"/>
        <v>1634.8657372327957</v>
      </c>
      <c r="AN69" s="197">
        <f t="shared" si="140"/>
        <v>1542.8542627672041</v>
      </c>
      <c r="AO69" s="197">
        <f t="shared" si="153"/>
        <v>1762.8542627672041</v>
      </c>
      <c r="AP69" s="196">
        <f t="shared" si="154"/>
        <v>2511.3982747031987</v>
      </c>
      <c r="AQ69" s="197">
        <f t="shared" si="155"/>
        <v>173.86919566063204</v>
      </c>
      <c r="AR69" s="197">
        <f t="shared" si="156"/>
        <v>1292.0581397536021</v>
      </c>
      <c r="AS69" s="197">
        <f t="shared" si="157"/>
        <v>1219.3401349495964</v>
      </c>
      <c r="AT69" s="199">
        <f t="shared" si="158"/>
        <v>1393.2093306102286</v>
      </c>
      <c r="AU69" s="196">
        <f t="shared" si="159"/>
        <v>14833.138439983717</v>
      </c>
      <c r="AV69" s="197">
        <f t="shared" si="159"/>
        <v>1373.2701084841974</v>
      </c>
      <c r="AW69" s="197">
        <f t="shared" si="159"/>
        <v>8696.4939928389977</v>
      </c>
      <c r="AX69" s="197">
        <f t="shared" si="159"/>
        <v>6136.6444471447194</v>
      </c>
      <c r="AY69" s="199">
        <f t="shared" si="159"/>
        <v>7509.9145556289177</v>
      </c>
      <c r="BB69" s="204">
        <f t="shared" si="191"/>
        <v>7</v>
      </c>
      <c r="BC69" s="219" t="s">
        <v>7</v>
      </c>
      <c r="BD69" s="747">
        <f>'Arable Inputs'!$G$18-0.5*'Arable Inputs'!$G$18</f>
        <v>39</v>
      </c>
      <c r="BE69" s="747">
        <f>'Arable Inputs'!$G$25</f>
        <v>27.16</v>
      </c>
      <c r="BH69" s="749">
        <f>BD69*BE69</f>
        <v>1059.24</v>
      </c>
      <c r="BI69" s="197">
        <f>'Arable NPV'!$E149</f>
        <v>220</v>
      </c>
      <c r="BJ69" s="197">
        <f t="shared" si="141"/>
        <v>1279.24</v>
      </c>
      <c r="BK69" s="197">
        <f>'Arable NPV'!$G149</f>
        <v>793.83573723279574</v>
      </c>
      <c r="BL69" s="197">
        <f>'Arable NPV'!$H149</f>
        <v>841.03</v>
      </c>
      <c r="BM69" s="197">
        <f t="shared" si="160"/>
        <v>1634.8657372327957</v>
      </c>
      <c r="BN69" s="197">
        <f t="shared" si="142"/>
        <v>-575.6257372327957</v>
      </c>
      <c r="BO69" s="197">
        <f t="shared" si="161"/>
        <v>-355.6257372327957</v>
      </c>
      <c r="BP69" s="196">
        <f t="shared" si="162"/>
        <v>837.1327582343996</v>
      </c>
      <c r="BQ69" s="197">
        <f t="shared" si="163"/>
        <v>173.86919566063204</v>
      </c>
      <c r="BR69" s="197">
        <f t="shared" si="164"/>
        <v>1292.0581397536021</v>
      </c>
      <c r="BS69" s="197">
        <f t="shared" si="165"/>
        <v>-454.9253815192024</v>
      </c>
      <c r="BT69" s="199">
        <f t="shared" si="166"/>
        <v>-281.05618585857036</v>
      </c>
      <c r="BU69" s="196">
        <f t="shared" si="167"/>
        <v>4944.3794799945717</v>
      </c>
      <c r="BV69" s="197">
        <f t="shared" si="167"/>
        <v>1373.2701084841974</v>
      </c>
      <c r="BW69" s="197">
        <f t="shared" si="167"/>
        <v>8696.4939928389977</v>
      </c>
      <c r="BX69" s="197">
        <f t="shared" si="167"/>
        <v>-3752.114512844425</v>
      </c>
      <c r="BY69" s="199">
        <f t="shared" si="167"/>
        <v>-2378.8444043602276</v>
      </c>
      <c r="CB69" s="204">
        <f t="shared" si="192"/>
        <v>7</v>
      </c>
      <c r="CC69" s="219" t="s">
        <v>7</v>
      </c>
      <c r="CD69" s="747">
        <f>'Arable Inputs'!$G$18+'Arable Inputs'!$G$18</f>
        <v>156</v>
      </c>
      <c r="CE69" s="747">
        <f>'Arable Inputs'!$G$25</f>
        <v>27.16</v>
      </c>
      <c r="CH69" s="749">
        <f>CD69*CE69</f>
        <v>4236.96</v>
      </c>
      <c r="CI69" s="197">
        <f>'Arable NPV'!$E149</f>
        <v>220</v>
      </c>
      <c r="CJ69" s="197">
        <f t="shared" si="168"/>
        <v>4456.96</v>
      </c>
      <c r="CK69" s="197">
        <f>'Arable NPV'!$G149</f>
        <v>793.83573723279574</v>
      </c>
      <c r="CL69" s="197">
        <f>'Arable NPV'!$H149</f>
        <v>841.03</v>
      </c>
      <c r="CM69" s="197">
        <f t="shared" si="169"/>
        <v>1634.8657372327957</v>
      </c>
      <c r="CN69" s="197">
        <f t="shared" si="170"/>
        <v>2602.0942627672043</v>
      </c>
      <c r="CO69" s="197">
        <f t="shared" si="171"/>
        <v>2822.0942627672043</v>
      </c>
      <c r="CP69" s="196">
        <f t="shared" si="172"/>
        <v>3348.5310329375984</v>
      </c>
      <c r="CQ69" s="197">
        <f t="shared" si="173"/>
        <v>173.86919566063204</v>
      </c>
      <c r="CR69" s="197">
        <f t="shared" si="174"/>
        <v>1292.0581397536021</v>
      </c>
      <c r="CS69" s="197">
        <f t="shared" si="175"/>
        <v>2056.4728931839963</v>
      </c>
      <c r="CT69" s="199">
        <f t="shared" si="176"/>
        <v>2230.3420888446285</v>
      </c>
      <c r="CU69" s="196">
        <f t="shared" si="177"/>
        <v>19777.517919978287</v>
      </c>
      <c r="CV69" s="197">
        <f t="shared" si="177"/>
        <v>1373.2701084841974</v>
      </c>
      <c r="CW69" s="197">
        <f t="shared" si="177"/>
        <v>8696.4939928389977</v>
      </c>
      <c r="CX69" s="197">
        <f t="shared" si="177"/>
        <v>11081.023927139291</v>
      </c>
      <c r="CY69" s="199">
        <f t="shared" si="178"/>
        <v>12454.29403562349</v>
      </c>
      <c r="DB69" s="204">
        <f t="shared" si="193"/>
        <v>7</v>
      </c>
      <c r="DC69" s="219" t="s">
        <v>7</v>
      </c>
      <c r="DD69" s="747">
        <f>'Arable Inputs'!$G$18-'Arable Inputs'!$G$18</f>
        <v>0</v>
      </c>
      <c r="DE69" s="747">
        <f>'Arable Inputs'!$G$25</f>
        <v>27.16</v>
      </c>
      <c r="DH69" s="749">
        <f>DD69*DE69</f>
        <v>0</v>
      </c>
      <c r="DI69" s="197">
        <f>'Arable NPV'!$E149</f>
        <v>220</v>
      </c>
      <c r="DJ69" s="197">
        <f t="shared" si="179"/>
        <v>220</v>
      </c>
      <c r="DK69" s="197">
        <f>'Arable NPV'!$G149</f>
        <v>793.83573723279574</v>
      </c>
      <c r="DL69" s="197">
        <f>'Arable NPV'!$H149</f>
        <v>841.03</v>
      </c>
      <c r="DM69" s="197">
        <f t="shared" si="180"/>
        <v>1634.8657372327957</v>
      </c>
      <c r="DN69" s="197">
        <f t="shared" si="181"/>
        <v>-1634.8657372327957</v>
      </c>
      <c r="DO69" s="197">
        <f t="shared" si="182"/>
        <v>-1414.8657372327957</v>
      </c>
      <c r="DP69" s="196">
        <f t="shared" si="183"/>
        <v>0</v>
      </c>
      <c r="DQ69" s="197">
        <f t="shared" si="184"/>
        <v>173.86919566063204</v>
      </c>
      <c r="DR69" s="197">
        <f t="shared" si="185"/>
        <v>1292.0581397536021</v>
      </c>
      <c r="DS69" s="197">
        <f t="shared" si="186"/>
        <v>-1292.0581397536021</v>
      </c>
      <c r="DT69" s="199">
        <f t="shared" si="187"/>
        <v>-1118.1889440929699</v>
      </c>
      <c r="DU69" s="196">
        <f t="shared" si="188"/>
        <v>0</v>
      </c>
      <c r="DV69" s="197">
        <f t="shared" si="188"/>
        <v>1373.2701084841974</v>
      </c>
      <c r="DW69" s="197">
        <f t="shared" si="188"/>
        <v>8696.4939928389977</v>
      </c>
      <c r="DX69" s="197">
        <f t="shared" si="188"/>
        <v>-8696.4939928389977</v>
      </c>
      <c r="DY69" s="199">
        <f t="shared" si="188"/>
        <v>-7323.2238843548002</v>
      </c>
    </row>
    <row r="70" spans="2:129" x14ac:dyDescent="0.3">
      <c r="B70" s="204">
        <f t="shared" si="189"/>
        <v>8</v>
      </c>
      <c r="C70" s="219" t="s">
        <v>260</v>
      </c>
      <c r="D70" s="747">
        <f>'Arable Inputs'!$H$18</f>
        <v>12</v>
      </c>
      <c r="E70" s="747">
        <f>'Arable Inputs'!$H$25</f>
        <v>107.1</v>
      </c>
      <c r="H70" s="749">
        <f t="shared" si="143"/>
        <v>1285.1999999999998</v>
      </c>
      <c r="I70" s="197">
        <f>'Arable NPV'!$E150</f>
        <v>220</v>
      </c>
      <c r="J70" s="197">
        <f t="shared" si="144"/>
        <v>1505.1999999999998</v>
      </c>
      <c r="K70" s="197">
        <f>'Arable NPV'!$G150</f>
        <v>528.51499999999999</v>
      </c>
      <c r="L70" s="197">
        <f>'Arable NPV'!$H150</f>
        <v>552.40000000000009</v>
      </c>
      <c r="M70" s="197">
        <f t="shared" si="145"/>
        <v>1080.915</v>
      </c>
      <c r="N70" s="197">
        <f t="shared" si="137"/>
        <v>204.28499999999985</v>
      </c>
      <c r="O70" s="197">
        <f t="shared" si="138"/>
        <v>424.28499999999985</v>
      </c>
      <c r="P70" s="196">
        <f t="shared" si="146"/>
        <v>976.64637352729153</v>
      </c>
      <c r="Q70" s="197">
        <f t="shared" si="147"/>
        <v>167.18191890445391</v>
      </c>
      <c r="R70" s="197">
        <f t="shared" si="148"/>
        <v>821.40656305730818</v>
      </c>
      <c r="S70" s="197">
        <f t="shared" si="149"/>
        <v>155.23981046998338</v>
      </c>
      <c r="T70" s="199">
        <f t="shared" si="150"/>
        <v>322.42172937443729</v>
      </c>
      <c r="U70" s="196">
        <f t="shared" si="151"/>
        <v>10865.405333516435</v>
      </c>
      <c r="V70" s="197">
        <f t="shared" si="151"/>
        <v>1540.4520273886512</v>
      </c>
      <c r="W70" s="197">
        <f t="shared" si="151"/>
        <v>9517.9005558963054</v>
      </c>
      <c r="X70" s="197">
        <f t="shared" si="151"/>
        <v>1347.5047776201309</v>
      </c>
      <c r="Y70" s="199">
        <f t="shared" si="151"/>
        <v>2887.9568050087819</v>
      </c>
      <c r="AB70" s="204">
        <f t="shared" si="190"/>
        <v>8</v>
      </c>
      <c r="AC70" s="219" t="s">
        <v>31</v>
      </c>
      <c r="AD70" s="747">
        <f>'Arable Inputs'!$H$18+0.5*'Arable Inputs'!$H$18</f>
        <v>18</v>
      </c>
      <c r="AE70" s="747">
        <f>'Arable Inputs'!$H$25</f>
        <v>107.1</v>
      </c>
      <c r="AH70" s="749">
        <f>AD70*AE70</f>
        <v>1927.8</v>
      </c>
      <c r="AI70" s="197">
        <f>'Arable NPV'!$E150</f>
        <v>220</v>
      </c>
      <c r="AJ70" s="197">
        <f t="shared" si="139"/>
        <v>2147.8000000000002</v>
      </c>
      <c r="AK70" s="197">
        <f>'Arable NPV'!$G150</f>
        <v>528.51499999999999</v>
      </c>
      <c r="AL70" s="197">
        <f>'Arable NPV'!$H150</f>
        <v>552.40000000000009</v>
      </c>
      <c r="AM70" s="197">
        <f t="shared" si="152"/>
        <v>1080.915</v>
      </c>
      <c r="AN70" s="197">
        <f t="shared" si="140"/>
        <v>846.88499999999999</v>
      </c>
      <c r="AO70" s="197">
        <f t="shared" si="153"/>
        <v>1066.8850000000002</v>
      </c>
      <c r="AP70" s="196">
        <f t="shared" si="154"/>
        <v>1464.9695602909376</v>
      </c>
      <c r="AQ70" s="197">
        <f t="shared" si="155"/>
        <v>167.18191890445391</v>
      </c>
      <c r="AR70" s="197">
        <f t="shared" si="156"/>
        <v>821.40656305730818</v>
      </c>
      <c r="AS70" s="197">
        <f t="shared" si="157"/>
        <v>643.56299723362929</v>
      </c>
      <c r="AT70" s="199">
        <f t="shared" si="158"/>
        <v>810.74491613808345</v>
      </c>
      <c r="AU70" s="196">
        <f t="shared" si="159"/>
        <v>16298.108000274655</v>
      </c>
      <c r="AV70" s="197">
        <f t="shared" si="159"/>
        <v>1540.4520273886512</v>
      </c>
      <c r="AW70" s="197">
        <f t="shared" si="159"/>
        <v>9517.9005558963054</v>
      </c>
      <c r="AX70" s="197">
        <f t="shared" si="159"/>
        <v>6780.2074443783486</v>
      </c>
      <c r="AY70" s="199">
        <f t="shared" si="159"/>
        <v>8320.6594717670014</v>
      </c>
      <c r="BB70" s="204">
        <f t="shared" si="191"/>
        <v>8</v>
      </c>
      <c r="BC70" s="219" t="s">
        <v>31</v>
      </c>
      <c r="BD70" s="747">
        <f>'Arable Inputs'!$H$18-0.5*'Arable Inputs'!$H$18</f>
        <v>6</v>
      </c>
      <c r="BE70" s="747">
        <f>'Arable Inputs'!$H$25</f>
        <v>107.1</v>
      </c>
      <c r="BH70" s="749">
        <f>BD70*BE70</f>
        <v>642.59999999999991</v>
      </c>
      <c r="BI70" s="197">
        <f>'Arable NPV'!$E150</f>
        <v>220</v>
      </c>
      <c r="BJ70" s="197">
        <f t="shared" si="141"/>
        <v>862.59999999999991</v>
      </c>
      <c r="BK70" s="197">
        <f>'Arable NPV'!$G150</f>
        <v>528.51499999999999</v>
      </c>
      <c r="BL70" s="197">
        <f>'Arable NPV'!$H150</f>
        <v>552.40000000000009</v>
      </c>
      <c r="BM70" s="197">
        <f t="shared" si="160"/>
        <v>1080.915</v>
      </c>
      <c r="BN70" s="197">
        <f t="shared" si="142"/>
        <v>-438.31500000000005</v>
      </c>
      <c r="BO70" s="197">
        <f t="shared" si="161"/>
        <v>-218.31500000000005</v>
      </c>
      <c r="BP70" s="196">
        <f t="shared" si="162"/>
        <v>488.32318676364577</v>
      </c>
      <c r="BQ70" s="197">
        <f t="shared" si="163"/>
        <v>167.18191890445391</v>
      </c>
      <c r="BR70" s="197">
        <f t="shared" si="164"/>
        <v>821.40656305730818</v>
      </c>
      <c r="BS70" s="197">
        <f t="shared" si="165"/>
        <v>-333.08337629366241</v>
      </c>
      <c r="BT70" s="199">
        <f t="shared" si="166"/>
        <v>-165.90145738920847</v>
      </c>
      <c r="BU70" s="196">
        <f t="shared" si="167"/>
        <v>5432.7026667582177</v>
      </c>
      <c r="BV70" s="197">
        <f t="shared" si="167"/>
        <v>1540.4520273886512</v>
      </c>
      <c r="BW70" s="197">
        <f t="shared" si="167"/>
        <v>9517.9005558963054</v>
      </c>
      <c r="BX70" s="197">
        <f t="shared" si="167"/>
        <v>-4085.1978891380872</v>
      </c>
      <c r="BY70" s="199">
        <f t="shared" si="167"/>
        <v>-2544.7458617494362</v>
      </c>
      <c r="CB70" s="204">
        <f t="shared" si="192"/>
        <v>8</v>
      </c>
      <c r="CC70" s="219" t="s">
        <v>31</v>
      </c>
      <c r="CD70" s="747">
        <f>'Arable Inputs'!$H$18+'Arable Inputs'!$H$18</f>
        <v>24</v>
      </c>
      <c r="CE70" s="747">
        <f>'Arable Inputs'!$H$25</f>
        <v>107.1</v>
      </c>
      <c r="CH70" s="749">
        <f>CD70*CE70</f>
        <v>2570.3999999999996</v>
      </c>
      <c r="CI70" s="197">
        <f>'Arable NPV'!$E150</f>
        <v>220</v>
      </c>
      <c r="CJ70" s="197">
        <f t="shared" si="168"/>
        <v>2790.3999999999996</v>
      </c>
      <c r="CK70" s="197">
        <f>'Arable NPV'!$G150</f>
        <v>528.51499999999999</v>
      </c>
      <c r="CL70" s="197">
        <f>'Arable NPV'!$H150</f>
        <v>552.40000000000009</v>
      </c>
      <c r="CM70" s="197">
        <f t="shared" si="169"/>
        <v>1080.915</v>
      </c>
      <c r="CN70" s="197">
        <f t="shared" si="170"/>
        <v>1489.4849999999997</v>
      </c>
      <c r="CO70" s="197">
        <f t="shared" si="171"/>
        <v>1709.4849999999997</v>
      </c>
      <c r="CP70" s="196">
        <f t="shared" si="172"/>
        <v>1953.2927470545831</v>
      </c>
      <c r="CQ70" s="197">
        <f t="shared" si="173"/>
        <v>167.18191890445391</v>
      </c>
      <c r="CR70" s="197">
        <f t="shared" si="174"/>
        <v>821.40656305730818</v>
      </c>
      <c r="CS70" s="197">
        <f t="shared" si="175"/>
        <v>1131.8861839972749</v>
      </c>
      <c r="CT70" s="199">
        <f t="shared" si="176"/>
        <v>1299.0681029017289</v>
      </c>
      <c r="CU70" s="196">
        <f t="shared" si="177"/>
        <v>21730.810667032871</v>
      </c>
      <c r="CV70" s="197">
        <f t="shared" si="177"/>
        <v>1540.4520273886512</v>
      </c>
      <c r="CW70" s="197">
        <f t="shared" si="177"/>
        <v>9517.9005558963054</v>
      </c>
      <c r="CX70" s="197">
        <f t="shared" si="177"/>
        <v>12212.910111136565</v>
      </c>
      <c r="CY70" s="199">
        <f t="shared" si="178"/>
        <v>13753.362138525219</v>
      </c>
      <c r="DB70" s="204">
        <f t="shared" si="193"/>
        <v>8</v>
      </c>
      <c r="DC70" s="219" t="s">
        <v>31</v>
      </c>
      <c r="DD70" s="747">
        <f>'Arable Inputs'!$H$18-'Arable Inputs'!$H$18</f>
        <v>0</v>
      </c>
      <c r="DE70" s="747">
        <f>'Arable Inputs'!$H$25</f>
        <v>107.1</v>
      </c>
      <c r="DH70" s="749">
        <f>DD70*DE70</f>
        <v>0</v>
      </c>
      <c r="DI70" s="197">
        <f>'Arable NPV'!$E150</f>
        <v>220</v>
      </c>
      <c r="DJ70" s="197">
        <f t="shared" si="179"/>
        <v>220</v>
      </c>
      <c r="DK70" s="197">
        <f>'Arable NPV'!$G150</f>
        <v>528.51499999999999</v>
      </c>
      <c r="DL70" s="197">
        <f>'Arable NPV'!$H150</f>
        <v>552.40000000000009</v>
      </c>
      <c r="DM70" s="197">
        <f t="shared" si="180"/>
        <v>1080.915</v>
      </c>
      <c r="DN70" s="197">
        <f t="shared" si="181"/>
        <v>-1080.915</v>
      </c>
      <c r="DO70" s="197">
        <f t="shared" si="182"/>
        <v>-860.91499999999996</v>
      </c>
      <c r="DP70" s="196">
        <f t="shared" si="183"/>
        <v>0</v>
      </c>
      <c r="DQ70" s="197">
        <f t="shared" si="184"/>
        <v>167.18191890445391</v>
      </c>
      <c r="DR70" s="197">
        <f t="shared" si="185"/>
        <v>821.40656305730818</v>
      </c>
      <c r="DS70" s="197">
        <f t="shared" si="186"/>
        <v>-821.40656305730818</v>
      </c>
      <c r="DT70" s="199">
        <f t="shared" si="187"/>
        <v>-654.22464415285424</v>
      </c>
      <c r="DU70" s="196">
        <f t="shared" si="188"/>
        <v>0</v>
      </c>
      <c r="DV70" s="197">
        <f t="shared" si="188"/>
        <v>1540.4520273886512</v>
      </c>
      <c r="DW70" s="197">
        <f t="shared" si="188"/>
        <v>9517.9005558963054</v>
      </c>
      <c r="DX70" s="197">
        <f t="shared" si="188"/>
        <v>-9517.9005558963054</v>
      </c>
      <c r="DY70" s="199">
        <f t="shared" si="188"/>
        <v>-7977.4485285076544</v>
      </c>
    </row>
    <row r="71" spans="2:129" x14ac:dyDescent="0.3">
      <c r="B71" s="204">
        <f t="shared" si="189"/>
        <v>9</v>
      </c>
      <c r="C71" s="219" t="s">
        <v>6</v>
      </c>
      <c r="D71" s="747">
        <f>'Arable Inputs'!$F$18</f>
        <v>3.5</v>
      </c>
      <c r="E71" s="747">
        <f>'Arable Inputs'!$F$25</f>
        <v>335</v>
      </c>
      <c r="F71" s="747">
        <f>'Arable Inputs'!$F$19</f>
        <v>2.6</v>
      </c>
      <c r="G71" s="747">
        <f>'Arable Inputs'!$F$26</f>
        <v>37.5</v>
      </c>
      <c r="H71" s="749">
        <f>D71*E71+F71*G71</f>
        <v>1270</v>
      </c>
      <c r="I71" s="197">
        <f>'Arable NPV'!$E151</f>
        <v>220</v>
      </c>
      <c r="J71" s="197">
        <f t="shared" si="144"/>
        <v>1490</v>
      </c>
      <c r="K71" s="197">
        <f>'Arable NPV'!$G151</f>
        <v>541.75901992521074</v>
      </c>
      <c r="L71" s="197">
        <f>'Arable NPV'!$H151</f>
        <v>621.47428571428577</v>
      </c>
      <c r="M71" s="197">
        <f t="shared" si="145"/>
        <v>1163.2333056394964</v>
      </c>
      <c r="N71" s="197">
        <f t="shared" si="137"/>
        <v>106.76669436050361</v>
      </c>
      <c r="O71" s="197">
        <f t="shared" si="138"/>
        <v>326.76669436050361</v>
      </c>
      <c r="P71" s="196">
        <f t="shared" si="146"/>
        <v>927.97656035251941</v>
      </c>
      <c r="Q71" s="197">
        <f t="shared" si="147"/>
        <v>160.75184510043644</v>
      </c>
      <c r="R71" s="197">
        <f t="shared" si="148"/>
        <v>849.96318256285883</v>
      </c>
      <c r="S71" s="197">
        <f t="shared" si="149"/>
        <v>78.013377789660524</v>
      </c>
      <c r="T71" s="199">
        <f t="shared" si="150"/>
        <v>238.76522289009696</v>
      </c>
      <c r="U71" s="196">
        <f t="shared" si="151"/>
        <v>11793.381893868955</v>
      </c>
      <c r="V71" s="197">
        <f t="shared" si="151"/>
        <v>1701.2038724890876</v>
      </c>
      <c r="W71" s="197">
        <f t="shared" si="151"/>
        <v>10367.863738459164</v>
      </c>
      <c r="X71" s="197">
        <f t="shared" si="151"/>
        <v>1425.5181554097915</v>
      </c>
      <c r="Y71" s="199">
        <f t="shared" si="151"/>
        <v>3126.7220278988789</v>
      </c>
      <c r="AB71" s="204">
        <f t="shared" si="190"/>
        <v>9</v>
      </c>
      <c r="AC71" s="219" t="s">
        <v>6</v>
      </c>
      <c r="AD71" s="747">
        <f>'Arable Inputs'!$F$18+0.5*'Arable Inputs'!$F$18</f>
        <v>5.25</v>
      </c>
      <c r="AE71" s="747">
        <f>'Arable Inputs'!$F$25</f>
        <v>335</v>
      </c>
      <c r="AF71" s="747">
        <f>'Arable Inputs'!$F$19+0.5*'Arable Inputs'!$F$19</f>
        <v>3.9000000000000004</v>
      </c>
      <c r="AG71" s="747">
        <f>'Arable Inputs'!$F$26</f>
        <v>37.5</v>
      </c>
      <c r="AH71" s="749">
        <f>AD71*AE71+AF71*AG71</f>
        <v>1905</v>
      </c>
      <c r="AI71" s="197">
        <f>'Arable NPV'!$E151</f>
        <v>220</v>
      </c>
      <c r="AJ71" s="197">
        <f t="shared" si="139"/>
        <v>2125</v>
      </c>
      <c r="AK71" s="197">
        <f>'Arable NPV'!$G151</f>
        <v>541.75901992521074</v>
      </c>
      <c r="AL71" s="197">
        <f>'Arable NPV'!$H151</f>
        <v>621.47428571428577</v>
      </c>
      <c r="AM71" s="197">
        <f t="shared" si="152"/>
        <v>1163.2333056394964</v>
      </c>
      <c r="AN71" s="197">
        <f t="shared" si="140"/>
        <v>741.76669436050361</v>
      </c>
      <c r="AO71" s="197">
        <f t="shared" si="153"/>
        <v>961.76669436050361</v>
      </c>
      <c r="AP71" s="196">
        <f t="shared" si="154"/>
        <v>1391.9648405287792</v>
      </c>
      <c r="AQ71" s="197">
        <f t="shared" si="155"/>
        <v>160.75184510043644</v>
      </c>
      <c r="AR71" s="197">
        <f t="shared" si="156"/>
        <v>849.96318256285883</v>
      </c>
      <c r="AS71" s="197">
        <f t="shared" si="157"/>
        <v>542.00165796592023</v>
      </c>
      <c r="AT71" s="199">
        <f t="shared" si="158"/>
        <v>702.75350306635664</v>
      </c>
      <c r="AU71" s="196">
        <f t="shared" si="159"/>
        <v>17690.072840803434</v>
      </c>
      <c r="AV71" s="197">
        <f t="shared" si="159"/>
        <v>1701.2038724890876</v>
      </c>
      <c r="AW71" s="197">
        <f t="shared" si="159"/>
        <v>10367.863738459164</v>
      </c>
      <c r="AX71" s="197">
        <f t="shared" si="159"/>
        <v>7322.209102344269</v>
      </c>
      <c r="AY71" s="199">
        <f t="shared" si="159"/>
        <v>9023.412974833358</v>
      </c>
      <c r="BB71" s="204">
        <f t="shared" si="191"/>
        <v>9</v>
      </c>
      <c r="BC71" s="219" t="s">
        <v>6</v>
      </c>
      <c r="BD71" s="747">
        <f>'Arable Inputs'!$F$18-0.5*'Arable Inputs'!$F$18</f>
        <v>1.75</v>
      </c>
      <c r="BE71" s="747">
        <f>'Arable Inputs'!$F$25</f>
        <v>335</v>
      </c>
      <c r="BF71" s="747">
        <f>'Arable Inputs'!$F$19-0.5*'Arable Inputs'!$F$19</f>
        <v>1.3</v>
      </c>
      <c r="BG71" s="747">
        <f>'Arable Inputs'!$F$26</f>
        <v>37.5</v>
      </c>
      <c r="BH71" s="749">
        <f>BD71*BE71+BF71*BG71</f>
        <v>635</v>
      </c>
      <c r="BI71" s="197">
        <f>'Arable NPV'!$E151</f>
        <v>220</v>
      </c>
      <c r="BJ71" s="197">
        <f t="shared" si="141"/>
        <v>855</v>
      </c>
      <c r="BK71" s="197">
        <f>'Arable NPV'!$G151</f>
        <v>541.75901992521074</v>
      </c>
      <c r="BL71" s="197">
        <f>'Arable NPV'!$H151</f>
        <v>621.47428571428577</v>
      </c>
      <c r="BM71" s="197">
        <f t="shared" si="160"/>
        <v>1163.2333056394964</v>
      </c>
      <c r="BN71" s="197">
        <f t="shared" si="142"/>
        <v>-528.23330563949639</v>
      </c>
      <c r="BO71" s="197">
        <f t="shared" si="161"/>
        <v>-308.23330563949639</v>
      </c>
      <c r="BP71" s="196">
        <f t="shared" si="162"/>
        <v>463.98828017625971</v>
      </c>
      <c r="BQ71" s="197">
        <f t="shared" si="163"/>
        <v>160.75184510043644</v>
      </c>
      <c r="BR71" s="197">
        <f t="shared" si="164"/>
        <v>849.96318256285883</v>
      </c>
      <c r="BS71" s="197">
        <f t="shared" si="165"/>
        <v>-385.97490238659918</v>
      </c>
      <c r="BT71" s="199">
        <f t="shared" si="166"/>
        <v>-225.22305728616274</v>
      </c>
      <c r="BU71" s="196">
        <f t="shared" si="167"/>
        <v>5896.6909469344773</v>
      </c>
      <c r="BV71" s="197">
        <f t="shared" si="167"/>
        <v>1701.2038724890876</v>
      </c>
      <c r="BW71" s="197">
        <f t="shared" si="167"/>
        <v>10367.863738459164</v>
      </c>
      <c r="BX71" s="197">
        <f t="shared" si="167"/>
        <v>-4471.1727915246865</v>
      </c>
      <c r="BY71" s="199">
        <f t="shared" si="167"/>
        <v>-2769.9689190355989</v>
      </c>
      <c r="CB71" s="204">
        <f t="shared" si="192"/>
        <v>9</v>
      </c>
      <c r="CC71" s="219" t="s">
        <v>6</v>
      </c>
      <c r="CD71" s="747">
        <f>'Arable Inputs'!$F$18+'Arable Inputs'!$F$18</f>
        <v>7</v>
      </c>
      <c r="CE71" s="747">
        <f>'Arable Inputs'!$F$25</f>
        <v>335</v>
      </c>
      <c r="CF71" s="747">
        <f>'Arable Inputs'!$F$19+'Arable Inputs'!$F$19</f>
        <v>5.2</v>
      </c>
      <c r="CG71" s="747">
        <f>'Arable Inputs'!$F$26</f>
        <v>37.5</v>
      </c>
      <c r="CH71" s="749">
        <f>CD71*CE71+CF71*CG71</f>
        <v>2540</v>
      </c>
      <c r="CI71" s="197">
        <f>'Arable NPV'!$E151</f>
        <v>220</v>
      </c>
      <c r="CJ71" s="197">
        <f t="shared" si="168"/>
        <v>2760</v>
      </c>
      <c r="CK71" s="197">
        <f>'Arable NPV'!$G151</f>
        <v>541.75901992521074</v>
      </c>
      <c r="CL71" s="197">
        <f>'Arable NPV'!$H151</f>
        <v>621.47428571428577</v>
      </c>
      <c r="CM71" s="197">
        <f t="shared" si="169"/>
        <v>1163.2333056394964</v>
      </c>
      <c r="CN71" s="197">
        <f t="shared" si="170"/>
        <v>1376.7666943605036</v>
      </c>
      <c r="CO71" s="197">
        <f t="shared" si="171"/>
        <v>1596.7666943605036</v>
      </c>
      <c r="CP71" s="196">
        <f t="shared" si="172"/>
        <v>1855.9531207050388</v>
      </c>
      <c r="CQ71" s="197">
        <f t="shared" si="173"/>
        <v>160.75184510043644</v>
      </c>
      <c r="CR71" s="197">
        <f t="shared" si="174"/>
        <v>849.96318256285883</v>
      </c>
      <c r="CS71" s="197">
        <f t="shared" si="175"/>
        <v>1005.9899381421799</v>
      </c>
      <c r="CT71" s="199">
        <f t="shared" si="176"/>
        <v>1166.7417832426163</v>
      </c>
      <c r="CU71" s="196">
        <f t="shared" si="177"/>
        <v>23586.763787737909</v>
      </c>
      <c r="CV71" s="197">
        <f t="shared" si="177"/>
        <v>1701.2038724890876</v>
      </c>
      <c r="CW71" s="197">
        <f t="shared" si="177"/>
        <v>10367.863738459164</v>
      </c>
      <c r="CX71" s="197">
        <f t="shared" si="177"/>
        <v>13218.900049278745</v>
      </c>
      <c r="CY71" s="199">
        <f t="shared" si="178"/>
        <v>14920.103921767835</v>
      </c>
      <c r="DB71" s="204">
        <f t="shared" si="193"/>
        <v>9</v>
      </c>
      <c r="DC71" s="219" t="s">
        <v>6</v>
      </c>
      <c r="DD71" s="747">
        <f>'Arable Inputs'!$F$18-'Arable Inputs'!$F$18</f>
        <v>0</v>
      </c>
      <c r="DE71" s="747">
        <f>'Arable Inputs'!$F$25</f>
        <v>335</v>
      </c>
      <c r="DF71" s="747">
        <f>'Arable Inputs'!$F$19-'Arable Inputs'!$F$19</f>
        <v>0</v>
      </c>
      <c r="DG71" s="747">
        <f>'Arable Inputs'!$F$26</f>
        <v>37.5</v>
      </c>
      <c r="DH71" s="749">
        <f>DD71*DE71+DF71*DG71</f>
        <v>0</v>
      </c>
      <c r="DI71" s="197">
        <f>'Arable NPV'!$E151</f>
        <v>220</v>
      </c>
      <c r="DJ71" s="197">
        <f t="shared" si="179"/>
        <v>220</v>
      </c>
      <c r="DK71" s="197">
        <f>'Arable NPV'!$G151</f>
        <v>541.75901992521074</v>
      </c>
      <c r="DL71" s="197">
        <f>'Arable NPV'!$H151</f>
        <v>621.47428571428577</v>
      </c>
      <c r="DM71" s="197">
        <f t="shared" si="180"/>
        <v>1163.2333056394964</v>
      </c>
      <c r="DN71" s="197">
        <f t="shared" si="181"/>
        <v>-1163.2333056394964</v>
      </c>
      <c r="DO71" s="197">
        <f t="shared" si="182"/>
        <v>-943.23330563949639</v>
      </c>
      <c r="DP71" s="196">
        <f t="shared" si="183"/>
        <v>0</v>
      </c>
      <c r="DQ71" s="197">
        <f t="shared" si="184"/>
        <v>160.75184510043644</v>
      </c>
      <c r="DR71" s="197">
        <f t="shared" si="185"/>
        <v>849.96318256285883</v>
      </c>
      <c r="DS71" s="197">
        <f t="shared" si="186"/>
        <v>-849.96318256285883</v>
      </c>
      <c r="DT71" s="199">
        <f t="shared" si="187"/>
        <v>-689.21133746242242</v>
      </c>
      <c r="DU71" s="196">
        <f t="shared" si="188"/>
        <v>0</v>
      </c>
      <c r="DV71" s="197">
        <f t="shared" si="188"/>
        <v>1701.2038724890876</v>
      </c>
      <c r="DW71" s="197">
        <f t="shared" si="188"/>
        <v>10367.863738459164</v>
      </c>
      <c r="DX71" s="197">
        <f t="shared" si="188"/>
        <v>-10367.863738459164</v>
      </c>
      <c r="DY71" s="199">
        <f t="shared" si="188"/>
        <v>-8666.6598659700776</v>
      </c>
    </row>
    <row r="72" spans="2:129" x14ac:dyDescent="0.3">
      <c r="B72" s="204">
        <f t="shared" si="189"/>
        <v>10</v>
      </c>
      <c r="C72" s="219" t="s">
        <v>5</v>
      </c>
      <c r="D72" s="747">
        <f>'Arable Inputs'!$E$18</f>
        <v>6.3</v>
      </c>
      <c r="E72" s="747">
        <f>'Arable Inputs'!$E$25</f>
        <v>140</v>
      </c>
      <c r="F72" s="747">
        <f>'Arable Inputs'!$E$19</f>
        <v>3.5</v>
      </c>
      <c r="G72" s="747">
        <f>'Arable Inputs'!$E$26</f>
        <v>70</v>
      </c>
      <c r="H72" s="749">
        <f>D72*E72+F72*G72</f>
        <v>1127</v>
      </c>
      <c r="I72" s="197">
        <f>'Arable NPV'!$E152</f>
        <v>220</v>
      </c>
      <c r="J72" s="197">
        <f t="shared" si="144"/>
        <v>1347</v>
      </c>
      <c r="K72" s="197">
        <f>'Arable NPV'!$G152</f>
        <v>418.54877602277168</v>
      </c>
      <c r="L72" s="197">
        <f>'Arable NPV'!$H152</f>
        <v>773.65999999999985</v>
      </c>
      <c r="M72" s="197">
        <f t="shared" si="145"/>
        <v>1192.2087760227714</v>
      </c>
      <c r="N72" s="197">
        <f t="shared" si="137"/>
        <v>-65.208776022771417</v>
      </c>
      <c r="O72" s="197">
        <f t="shared" si="138"/>
        <v>154.79122397722858</v>
      </c>
      <c r="P72" s="196">
        <f t="shared" si="146"/>
        <v>791.81525099734199</v>
      </c>
      <c r="Q72" s="197">
        <f t="shared" si="147"/>
        <v>154.5690818273427</v>
      </c>
      <c r="R72" s="197">
        <f t="shared" si="148"/>
        <v>837.63007207427199</v>
      </c>
      <c r="S72" s="197">
        <f t="shared" si="149"/>
        <v>-45.81482107693008</v>
      </c>
      <c r="T72" s="199">
        <f t="shared" si="150"/>
        <v>108.75426075041263</v>
      </c>
      <c r="U72" s="196">
        <f t="shared" si="151"/>
        <v>12585.197144866297</v>
      </c>
      <c r="V72" s="197">
        <f t="shared" si="151"/>
        <v>1855.7729543164303</v>
      </c>
      <c r="W72" s="197">
        <f t="shared" si="151"/>
        <v>11205.493810533437</v>
      </c>
      <c r="X72" s="197">
        <f t="shared" si="151"/>
        <v>1379.7033343328615</v>
      </c>
      <c r="Y72" s="199">
        <f t="shared" si="151"/>
        <v>3235.4762886492913</v>
      </c>
      <c r="AB72" s="204">
        <f t="shared" si="190"/>
        <v>10</v>
      </c>
      <c r="AC72" s="219" t="s">
        <v>5</v>
      </c>
      <c r="AD72" s="747">
        <f>'Arable Inputs'!$E$18+0.5*'Arable Inputs'!$E$18</f>
        <v>9.4499999999999993</v>
      </c>
      <c r="AE72" s="747">
        <f>'Arable Inputs'!$E$25</f>
        <v>140</v>
      </c>
      <c r="AF72" s="747">
        <f>'Arable Inputs'!$E$19+0.5*'Arable Inputs'!$E$19</f>
        <v>5.25</v>
      </c>
      <c r="AG72" s="747">
        <f>'Arable Inputs'!$E$26</f>
        <v>70</v>
      </c>
      <c r="AH72" s="749">
        <f>AD72*AE72+AF72*AG72</f>
        <v>1690.5</v>
      </c>
      <c r="AI72" s="197">
        <f>'Arable NPV'!$E152</f>
        <v>220</v>
      </c>
      <c r="AJ72" s="197">
        <f t="shared" si="139"/>
        <v>1910.5</v>
      </c>
      <c r="AK72" s="197">
        <f>'Arable NPV'!$G152</f>
        <v>418.54877602277168</v>
      </c>
      <c r="AL72" s="197">
        <f>'Arable NPV'!$H152</f>
        <v>773.65999999999985</v>
      </c>
      <c r="AM72" s="197">
        <f t="shared" si="152"/>
        <v>1192.2087760227714</v>
      </c>
      <c r="AN72" s="197">
        <f t="shared" si="140"/>
        <v>498.29122397722858</v>
      </c>
      <c r="AO72" s="197">
        <f t="shared" si="153"/>
        <v>718.29122397722858</v>
      </c>
      <c r="AP72" s="196">
        <f t="shared" si="154"/>
        <v>1187.722876496013</v>
      </c>
      <c r="AQ72" s="197">
        <f t="shared" si="155"/>
        <v>154.5690818273427</v>
      </c>
      <c r="AR72" s="197">
        <f t="shared" si="156"/>
        <v>837.63007207427199</v>
      </c>
      <c r="AS72" s="197">
        <f t="shared" si="157"/>
        <v>350.09280442174088</v>
      </c>
      <c r="AT72" s="199">
        <f t="shared" si="158"/>
        <v>504.66188624908358</v>
      </c>
      <c r="AU72" s="196">
        <f t="shared" si="159"/>
        <v>18877.795717299447</v>
      </c>
      <c r="AV72" s="197">
        <f t="shared" si="159"/>
        <v>1855.7729543164303</v>
      </c>
      <c r="AW72" s="197">
        <f t="shared" si="159"/>
        <v>11205.493810533437</v>
      </c>
      <c r="AX72" s="197">
        <f t="shared" si="159"/>
        <v>7672.3019067660098</v>
      </c>
      <c r="AY72" s="199">
        <f t="shared" si="159"/>
        <v>9528.0748610824412</v>
      </c>
      <c r="BB72" s="204">
        <f t="shared" si="191"/>
        <v>10</v>
      </c>
      <c r="BC72" s="219" t="s">
        <v>5</v>
      </c>
      <c r="BD72" s="747">
        <f>'Arable Inputs'!$E$18-0.5*'Arable Inputs'!$E$18</f>
        <v>3.15</v>
      </c>
      <c r="BE72" s="747">
        <f>'Arable Inputs'!$E$25</f>
        <v>140</v>
      </c>
      <c r="BF72" s="747">
        <f>'Arable Inputs'!$E$19-0.5*'Arable Inputs'!$E$19</f>
        <v>1.75</v>
      </c>
      <c r="BG72" s="747">
        <f>'Arable Inputs'!$E$26</f>
        <v>70</v>
      </c>
      <c r="BH72" s="749">
        <f>BD72*BE72+BF72*BG72</f>
        <v>563.5</v>
      </c>
      <c r="BI72" s="197">
        <f>'Arable NPV'!$E152</f>
        <v>220</v>
      </c>
      <c r="BJ72" s="197">
        <f t="shared" si="141"/>
        <v>783.5</v>
      </c>
      <c r="BK72" s="197">
        <f>'Arable NPV'!$G152</f>
        <v>418.54877602277168</v>
      </c>
      <c r="BL72" s="197">
        <f>'Arable NPV'!$H152</f>
        <v>773.65999999999985</v>
      </c>
      <c r="BM72" s="197">
        <f t="shared" si="160"/>
        <v>1192.2087760227714</v>
      </c>
      <c r="BN72" s="197">
        <f t="shared" si="142"/>
        <v>-628.70877602277142</v>
      </c>
      <c r="BO72" s="197">
        <f t="shared" si="161"/>
        <v>-408.70877602277142</v>
      </c>
      <c r="BP72" s="196">
        <f t="shared" si="162"/>
        <v>395.907625498671</v>
      </c>
      <c r="BQ72" s="197">
        <f t="shared" si="163"/>
        <v>154.5690818273427</v>
      </c>
      <c r="BR72" s="197">
        <f t="shared" si="164"/>
        <v>837.63007207427199</v>
      </c>
      <c r="BS72" s="197">
        <f t="shared" si="165"/>
        <v>-441.72244657560105</v>
      </c>
      <c r="BT72" s="199">
        <f t="shared" si="166"/>
        <v>-287.15336474825835</v>
      </c>
      <c r="BU72" s="196">
        <f t="shared" si="167"/>
        <v>6292.5985724331485</v>
      </c>
      <c r="BV72" s="197">
        <f t="shared" si="167"/>
        <v>1855.7729543164303</v>
      </c>
      <c r="BW72" s="197">
        <f t="shared" si="167"/>
        <v>11205.493810533437</v>
      </c>
      <c r="BX72" s="197">
        <f t="shared" si="167"/>
        <v>-4912.8952381002873</v>
      </c>
      <c r="BY72" s="199">
        <f t="shared" si="167"/>
        <v>-3057.1222837838573</v>
      </c>
      <c r="CB72" s="204">
        <f t="shared" si="192"/>
        <v>10</v>
      </c>
      <c r="CC72" s="219" t="s">
        <v>5</v>
      </c>
      <c r="CD72" s="747">
        <f>'Arable Inputs'!$E$18+'Arable Inputs'!$E$18</f>
        <v>12.6</v>
      </c>
      <c r="CE72" s="747">
        <f>'Arable Inputs'!$E$25</f>
        <v>140</v>
      </c>
      <c r="CF72" s="747">
        <f>'Arable Inputs'!$E$19+'Arable Inputs'!$E$19</f>
        <v>7</v>
      </c>
      <c r="CG72" s="747">
        <f>'Arable Inputs'!$E$26</f>
        <v>70</v>
      </c>
      <c r="CH72" s="749">
        <f>CD72*CE72+CF72*CG72</f>
        <v>2254</v>
      </c>
      <c r="CI72" s="197">
        <f>'Arable NPV'!$E152</f>
        <v>220</v>
      </c>
      <c r="CJ72" s="197">
        <f t="shared" si="168"/>
        <v>2474</v>
      </c>
      <c r="CK72" s="197">
        <f>'Arable NPV'!$G152</f>
        <v>418.54877602277168</v>
      </c>
      <c r="CL72" s="197">
        <f>'Arable NPV'!$H152</f>
        <v>773.65999999999985</v>
      </c>
      <c r="CM72" s="197">
        <f t="shared" si="169"/>
        <v>1192.2087760227714</v>
      </c>
      <c r="CN72" s="197">
        <f t="shared" si="170"/>
        <v>1061.7912239772286</v>
      </c>
      <c r="CO72" s="197">
        <f t="shared" si="171"/>
        <v>1281.7912239772286</v>
      </c>
      <c r="CP72" s="196">
        <f t="shared" si="172"/>
        <v>1583.630501994684</v>
      </c>
      <c r="CQ72" s="197">
        <f t="shared" si="173"/>
        <v>154.5690818273427</v>
      </c>
      <c r="CR72" s="197">
        <f t="shared" si="174"/>
        <v>837.63007207427199</v>
      </c>
      <c r="CS72" s="197">
        <f t="shared" si="175"/>
        <v>746.00042992041188</v>
      </c>
      <c r="CT72" s="199">
        <f t="shared" si="176"/>
        <v>900.56951174775463</v>
      </c>
      <c r="CU72" s="196">
        <f t="shared" si="177"/>
        <v>25170.394289732594</v>
      </c>
      <c r="CV72" s="197">
        <f t="shared" si="177"/>
        <v>1855.7729543164303</v>
      </c>
      <c r="CW72" s="197">
        <f t="shared" si="177"/>
        <v>11205.493810533437</v>
      </c>
      <c r="CX72" s="197">
        <f t="shared" si="177"/>
        <v>13964.900479199157</v>
      </c>
      <c r="CY72" s="199">
        <f t="shared" si="178"/>
        <v>15820.673433515591</v>
      </c>
      <c r="DB72" s="204">
        <f t="shared" si="193"/>
        <v>10</v>
      </c>
      <c r="DC72" s="219" t="s">
        <v>5</v>
      </c>
      <c r="DD72" s="747">
        <f>'Arable Inputs'!$E$18-'Arable Inputs'!$E$18</f>
        <v>0</v>
      </c>
      <c r="DE72" s="747">
        <f>'Arable Inputs'!$E$25</f>
        <v>140</v>
      </c>
      <c r="DF72" s="747">
        <f>'Arable Inputs'!$E$19-'Arable Inputs'!$E$19</f>
        <v>0</v>
      </c>
      <c r="DG72" s="747">
        <f>'Arable Inputs'!$E$26</f>
        <v>70</v>
      </c>
      <c r="DH72" s="749">
        <f>DD72*DE72+DF72*DG72</f>
        <v>0</v>
      </c>
      <c r="DI72" s="197">
        <f>'Arable NPV'!$E152</f>
        <v>220</v>
      </c>
      <c r="DJ72" s="197">
        <f t="shared" si="179"/>
        <v>220</v>
      </c>
      <c r="DK72" s="197">
        <f>'Arable NPV'!$G152</f>
        <v>418.54877602277168</v>
      </c>
      <c r="DL72" s="197">
        <f>'Arable NPV'!$H152</f>
        <v>773.65999999999985</v>
      </c>
      <c r="DM72" s="197">
        <f t="shared" si="180"/>
        <v>1192.2087760227714</v>
      </c>
      <c r="DN72" s="197">
        <f t="shared" si="181"/>
        <v>-1192.2087760227714</v>
      </c>
      <c r="DO72" s="197">
        <f t="shared" si="182"/>
        <v>-972.20877602277142</v>
      </c>
      <c r="DP72" s="196">
        <f t="shared" si="183"/>
        <v>0</v>
      </c>
      <c r="DQ72" s="197">
        <f t="shared" si="184"/>
        <v>154.5690818273427</v>
      </c>
      <c r="DR72" s="197">
        <f t="shared" si="185"/>
        <v>837.63007207427199</v>
      </c>
      <c r="DS72" s="197">
        <f t="shared" si="186"/>
        <v>-837.63007207427199</v>
      </c>
      <c r="DT72" s="199">
        <f t="shared" si="187"/>
        <v>-683.06099024692935</v>
      </c>
      <c r="DU72" s="196">
        <f t="shared" si="188"/>
        <v>0</v>
      </c>
      <c r="DV72" s="197">
        <f t="shared" si="188"/>
        <v>1855.7729543164303</v>
      </c>
      <c r="DW72" s="197">
        <f t="shared" si="188"/>
        <v>11205.493810533437</v>
      </c>
      <c r="DX72" s="197">
        <f t="shared" si="188"/>
        <v>-11205.493810533437</v>
      </c>
      <c r="DY72" s="199">
        <f t="shared" si="188"/>
        <v>-9349.7208562170072</v>
      </c>
    </row>
    <row r="73" spans="2:129" x14ac:dyDescent="0.3">
      <c r="B73" s="204">
        <f t="shared" si="189"/>
        <v>11</v>
      </c>
      <c r="C73" s="219" t="s">
        <v>4</v>
      </c>
      <c r="D73" s="747">
        <f>'Arable Inputs'!$D$18</f>
        <v>8.25</v>
      </c>
      <c r="E73" s="747">
        <f>'Arable Inputs'!$D$25</f>
        <v>162</v>
      </c>
      <c r="F73" s="747">
        <f>'Arable Inputs'!$D$19</f>
        <v>3.9</v>
      </c>
      <c r="G73" s="747">
        <f>'Arable Inputs'!$D$26</f>
        <v>65</v>
      </c>
      <c r="H73" s="749">
        <f>D73*E73+F73*G73</f>
        <v>1590</v>
      </c>
      <c r="I73" s="197">
        <f>'Arable NPV'!$E153</f>
        <v>220</v>
      </c>
      <c r="J73" s="197">
        <f t="shared" si="144"/>
        <v>1810</v>
      </c>
      <c r="K73" s="197">
        <f>'Arable NPV'!$G153</f>
        <v>684.46423508399835</v>
      </c>
      <c r="L73" s="197">
        <f>'Arable NPV'!$H153</f>
        <v>841.31999999999994</v>
      </c>
      <c r="M73" s="197">
        <f t="shared" si="145"/>
        <v>1525.7842350839983</v>
      </c>
      <c r="N73" s="197">
        <f t="shared" si="137"/>
        <v>64.215764916001717</v>
      </c>
      <c r="O73" s="197">
        <f t="shared" si="138"/>
        <v>284.21576491600172</v>
      </c>
      <c r="P73" s="196">
        <f t="shared" si="146"/>
        <v>1074.1470284330196</v>
      </c>
      <c r="Q73" s="197">
        <f t="shared" si="147"/>
        <v>148.62411714167567</v>
      </c>
      <c r="R73" s="197">
        <f t="shared" si="148"/>
        <v>1030.7651585820281</v>
      </c>
      <c r="S73" s="197">
        <f t="shared" si="149"/>
        <v>43.381869850991578</v>
      </c>
      <c r="T73" s="199">
        <f t="shared" si="150"/>
        <v>192.00598699266726</v>
      </c>
      <c r="U73" s="196">
        <f t="shared" si="151"/>
        <v>13659.344173299316</v>
      </c>
      <c r="V73" s="197">
        <f t="shared" si="151"/>
        <v>2004.397071458106</v>
      </c>
      <c r="W73" s="197">
        <f t="shared" si="151"/>
        <v>12236.258969115464</v>
      </c>
      <c r="X73" s="197">
        <f t="shared" si="151"/>
        <v>1423.085204183853</v>
      </c>
      <c r="Y73" s="199">
        <f t="shared" si="151"/>
        <v>3427.4822756419585</v>
      </c>
      <c r="AB73" s="204">
        <f t="shared" si="190"/>
        <v>11</v>
      </c>
      <c r="AC73" s="219" t="s">
        <v>4</v>
      </c>
      <c r="AD73" s="747">
        <f>'Arable Inputs'!$D$18+0.5*'Arable Inputs'!$D$18</f>
        <v>12.375</v>
      </c>
      <c r="AE73" s="747">
        <f>'Arable Inputs'!$D$25</f>
        <v>162</v>
      </c>
      <c r="AF73" s="747">
        <f>'Arable Inputs'!$D$19+0.5*'Arable Inputs'!$D$19</f>
        <v>5.85</v>
      </c>
      <c r="AG73" s="747">
        <f>'Arable Inputs'!$D$26</f>
        <v>65</v>
      </c>
      <c r="AH73" s="749">
        <f>AD73*AE73+AF73*AG73</f>
        <v>2385</v>
      </c>
      <c r="AI73" s="197">
        <f>'Arable NPV'!$E153</f>
        <v>220</v>
      </c>
      <c r="AJ73" s="197">
        <f t="shared" si="139"/>
        <v>2605</v>
      </c>
      <c r="AK73" s="197">
        <f>'Arable NPV'!$G153</f>
        <v>684.46423508399835</v>
      </c>
      <c r="AL73" s="197">
        <f>'Arable NPV'!$H153</f>
        <v>841.31999999999994</v>
      </c>
      <c r="AM73" s="197">
        <f t="shared" si="152"/>
        <v>1525.7842350839983</v>
      </c>
      <c r="AN73" s="197">
        <f t="shared" si="140"/>
        <v>859.21576491600172</v>
      </c>
      <c r="AO73" s="197">
        <f t="shared" si="153"/>
        <v>1079.2157649160017</v>
      </c>
      <c r="AP73" s="196">
        <f t="shared" si="154"/>
        <v>1611.2205426495295</v>
      </c>
      <c r="AQ73" s="197">
        <f t="shared" si="155"/>
        <v>148.62411714167567</v>
      </c>
      <c r="AR73" s="197">
        <f t="shared" si="156"/>
        <v>1030.7651585820281</v>
      </c>
      <c r="AS73" s="197">
        <f t="shared" si="157"/>
        <v>580.45538406750143</v>
      </c>
      <c r="AT73" s="199">
        <f t="shared" si="158"/>
        <v>729.07950120917712</v>
      </c>
      <c r="AU73" s="196">
        <f t="shared" si="159"/>
        <v>20489.016259948978</v>
      </c>
      <c r="AV73" s="197">
        <f t="shared" si="159"/>
        <v>2004.397071458106</v>
      </c>
      <c r="AW73" s="197">
        <f t="shared" si="159"/>
        <v>12236.258969115464</v>
      </c>
      <c r="AX73" s="197">
        <f t="shared" si="159"/>
        <v>8252.7572908335114</v>
      </c>
      <c r="AY73" s="199">
        <f t="shared" si="159"/>
        <v>10257.154362291618</v>
      </c>
      <c r="BB73" s="204">
        <f t="shared" si="191"/>
        <v>11</v>
      </c>
      <c r="BC73" s="219" t="s">
        <v>4</v>
      </c>
      <c r="BD73" s="747">
        <f>'Arable Inputs'!$D$18-0.5*'Arable Inputs'!$D$18</f>
        <v>4.125</v>
      </c>
      <c r="BE73" s="747">
        <f>'Arable Inputs'!$D$25</f>
        <v>162</v>
      </c>
      <c r="BF73" s="747">
        <f>'Arable Inputs'!$D$19-0.5*'Arable Inputs'!$D$19</f>
        <v>1.95</v>
      </c>
      <c r="BG73" s="747">
        <f>'Arable Inputs'!$D$26</f>
        <v>65</v>
      </c>
      <c r="BH73" s="749">
        <f>BD73*BE73+BF73*BG73</f>
        <v>795</v>
      </c>
      <c r="BI73" s="197">
        <f>'Arable NPV'!$E153</f>
        <v>220</v>
      </c>
      <c r="BJ73" s="197">
        <f t="shared" si="141"/>
        <v>1015</v>
      </c>
      <c r="BK73" s="197">
        <f>'Arable NPV'!$G153</f>
        <v>684.46423508399835</v>
      </c>
      <c r="BL73" s="197">
        <f>'Arable NPV'!$H153</f>
        <v>841.31999999999994</v>
      </c>
      <c r="BM73" s="197">
        <f t="shared" si="160"/>
        <v>1525.7842350839983</v>
      </c>
      <c r="BN73" s="197">
        <f t="shared" si="142"/>
        <v>-730.78423508399828</v>
      </c>
      <c r="BO73" s="197">
        <f t="shared" si="161"/>
        <v>-510.78423508399828</v>
      </c>
      <c r="BP73" s="196">
        <f t="shared" si="162"/>
        <v>537.07351421650981</v>
      </c>
      <c r="BQ73" s="197">
        <f t="shared" si="163"/>
        <v>148.62411714167567</v>
      </c>
      <c r="BR73" s="197">
        <f t="shared" si="164"/>
        <v>1030.7651585820281</v>
      </c>
      <c r="BS73" s="197">
        <f t="shared" si="165"/>
        <v>-493.6916443655183</v>
      </c>
      <c r="BT73" s="199">
        <f t="shared" si="166"/>
        <v>-345.0675272238426</v>
      </c>
      <c r="BU73" s="196">
        <f t="shared" si="167"/>
        <v>6829.672086649658</v>
      </c>
      <c r="BV73" s="197">
        <f t="shared" si="167"/>
        <v>2004.397071458106</v>
      </c>
      <c r="BW73" s="197">
        <f t="shared" si="167"/>
        <v>12236.258969115464</v>
      </c>
      <c r="BX73" s="197">
        <f t="shared" si="167"/>
        <v>-5406.5868824658055</v>
      </c>
      <c r="BY73" s="199">
        <f t="shared" si="167"/>
        <v>-3402.1898110077</v>
      </c>
      <c r="CB73" s="204">
        <f t="shared" si="192"/>
        <v>11</v>
      </c>
      <c r="CC73" s="219" t="s">
        <v>4</v>
      </c>
      <c r="CD73" s="747">
        <f>'Arable Inputs'!$D$18+'Arable Inputs'!$D$18</f>
        <v>16.5</v>
      </c>
      <c r="CE73" s="747">
        <f>'Arable Inputs'!$D$25</f>
        <v>162</v>
      </c>
      <c r="CF73" s="747">
        <f>'Arable Inputs'!$D$19+'Arable Inputs'!$D$19</f>
        <v>7.8</v>
      </c>
      <c r="CG73" s="747">
        <f>'Arable Inputs'!$D$26</f>
        <v>65</v>
      </c>
      <c r="CH73" s="749">
        <f>CD73*CE73+CF73*CG73</f>
        <v>3180</v>
      </c>
      <c r="CI73" s="197">
        <f>'Arable NPV'!$E153</f>
        <v>220</v>
      </c>
      <c r="CJ73" s="197">
        <f t="shared" si="168"/>
        <v>3400</v>
      </c>
      <c r="CK73" s="197">
        <f>'Arable NPV'!$G153</f>
        <v>684.46423508399835</v>
      </c>
      <c r="CL73" s="197">
        <f>'Arable NPV'!$H153</f>
        <v>841.31999999999994</v>
      </c>
      <c r="CM73" s="197">
        <f t="shared" si="169"/>
        <v>1525.7842350839983</v>
      </c>
      <c r="CN73" s="197">
        <f t="shared" si="170"/>
        <v>1654.2157649160017</v>
      </c>
      <c r="CO73" s="197">
        <f t="shared" si="171"/>
        <v>1874.2157649160017</v>
      </c>
      <c r="CP73" s="196">
        <f t="shared" si="172"/>
        <v>2148.2940568660392</v>
      </c>
      <c r="CQ73" s="197">
        <f t="shared" si="173"/>
        <v>148.62411714167567</v>
      </c>
      <c r="CR73" s="197">
        <f t="shared" si="174"/>
        <v>1030.7651585820281</v>
      </c>
      <c r="CS73" s="197">
        <f t="shared" si="175"/>
        <v>1117.5288982840113</v>
      </c>
      <c r="CT73" s="199">
        <f t="shared" si="176"/>
        <v>1266.153015425687</v>
      </c>
      <c r="CU73" s="196">
        <f t="shared" si="177"/>
        <v>27318.688346598632</v>
      </c>
      <c r="CV73" s="197">
        <f t="shared" si="177"/>
        <v>2004.397071458106</v>
      </c>
      <c r="CW73" s="197">
        <f t="shared" si="177"/>
        <v>12236.258969115464</v>
      </c>
      <c r="CX73" s="197">
        <f t="shared" si="177"/>
        <v>15082.429377483169</v>
      </c>
      <c r="CY73" s="199">
        <f t="shared" si="178"/>
        <v>17086.826448941276</v>
      </c>
      <c r="DB73" s="204">
        <f t="shared" si="193"/>
        <v>11</v>
      </c>
      <c r="DC73" s="219" t="s">
        <v>4</v>
      </c>
      <c r="DD73" s="747">
        <f>'Arable Inputs'!$D$18-'Arable Inputs'!$D$18</f>
        <v>0</v>
      </c>
      <c r="DE73" s="747">
        <f>'Arable Inputs'!$D$25</f>
        <v>162</v>
      </c>
      <c r="DF73" s="747">
        <f>'Arable Inputs'!$D$19-'Arable Inputs'!$D$19</f>
        <v>0</v>
      </c>
      <c r="DG73" s="747">
        <f>'Arable Inputs'!$D$26</f>
        <v>65</v>
      </c>
      <c r="DH73" s="749">
        <f>DD73*DE73+DF73*DG73</f>
        <v>0</v>
      </c>
      <c r="DI73" s="197">
        <f>'Arable NPV'!$E153</f>
        <v>220</v>
      </c>
      <c r="DJ73" s="197">
        <f t="shared" si="179"/>
        <v>220</v>
      </c>
      <c r="DK73" s="197">
        <f>'Arable NPV'!$G153</f>
        <v>684.46423508399835</v>
      </c>
      <c r="DL73" s="197">
        <f>'Arable NPV'!$H153</f>
        <v>841.31999999999994</v>
      </c>
      <c r="DM73" s="197">
        <f t="shared" si="180"/>
        <v>1525.7842350839983</v>
      </c>
      <c r="DN73" s="197">
        <f t="shared" si="181"/>
        <v>-1525.7842350839983</v>
      </c>
      <c r="DO73" s="197">
        <f t="shared" si="182"/>
        <v>-1305.7842350839983</v>
      </c>
      <c r="DP73" s="196">
        <f t="shared" si="183"/>
        <v>0</v>
      </c>
      <c r="DQ73" s="197">
        <f t="shared" si="184"/>
        <v>148.62411714167567</v>
      </c>
      <c r="DR73" s="197">
        <f t="shared" si="185"/>
        <v>1030.7651585820281</v>
      </c>
      <c r="DS73" s="197">
        <f t="shared" si="186"/>
        <v>-1030.7651585820281</v>
      </c>
      <c r="DT73" s="199">
        <f t="shared" si="187"/>
        <v>-882.14104144035241</v>
      </c>
      <c r="DU73" s="196">
        <f t="shared" si="188"/>
        <v>0</v>
      </c>
      <c r="DV73" s="197">
        <f t="shared" si="188"/>
        <v>2004.397071458106</v>
      </c>
      <c r="DW73" s="197">
        <f t="shared" si="188"/>
        <v>12236.258969115464</v>
      </c>
      <c r="DX73" s="197">
        <f t="shared" si="188"/>
        <v>-12236.258969115464</v>
      </c>
      <c r="DY73" s="199">
        <f t="shared" si="188"/>
        <v>-10231.86189765736</v>
      </c>
    </row>
    <row r="74" spans="2:129" x14ac:dyDescent="0.3">
      <c r="B74" s="204">
        <f t="shared" si="189"/>
        <v>12</v>
      </c>
      <c r="C74" s="219" t="s">
        <v>7</v>
      </c>
      <c r="D74" s="747">
        <f>'Arable Inputs'!$G$18</f>
        <v>78</v>
      </c>
      <c r="E74" s="747">
        <f>'Arable Inputs'!$G$25</f>
        <v>27.16</v>
      </c>
      <c r="H74" s="749">
        <f t="shared" si="143"/>
        <v>2118.48</v>
      </c>
      <c r="I74" s="197">
        <f>'Arable NPV'!$E154</f>
        <v>220</v>
      </c>
      <c r="J74" s="197">
        <f t="shared" si="144"/>
        <v>2338.48</v>
      </c>
      <c r="K74" s="197">
        <f>'Arable NPV'!$G154</f>
        <v>793.83573723279574</v>
      </c>
      <c r="L74" s="197">
        <f>'Arable NPV'!$H154</f>
        <v>841.03</v>
      </c>
      <c r="M74" s="197">
        <f t="shared" si="145"/>
        <v>1634.8657372327957</v>
      </c>
      <c r="N74" s="197">
        <f t="shared" si="137"/>
        <v>483.61426276720431</v>
      </c>
      <c r="O74" s="197">
        <f t="shared" si="138"/>
        <v>703.61426276720431</v>
      </c>
      <c r="P74" s="196">
        <f t="shared" si="146"/>
        <v>1376.1242118981518</v>
      </c>
      <c r="Q74" s="197">
        <f t="shared" si="147"/>
        <v>142.90780494391893</v>
      </c>
      <c r="R74" s="197">
        <f t="shared" si="148"/>
        <v>1061.9776085725482</v>
      </c>
      <c r="S74" s="197">
        <f t="shared" si="149"/>
        <v>314.14660332560362</v>
      </c>
      <c r="T74" s="199">
        <f t="shared" si="150"/>
        <v>457.05440826952253</v>
      </c>
      <c r="U74" s="196">
        <f t="shared" si="151"/>
        <v>15035.468385197468</v>
      </c>
      <c r="V74" s="197">
        <f t="shared" si="151"/>
        <v>2147.304876402025</v>
      </c>
      <c r="W74" s="197">
        <f t="shared" si="151"/>
        <v>13298.236577688012</v>
      </c>
      <c r="X74" s="197">
        <f t="shared" si="151"/>
        <v>1737.2318075094565</v>
      </c>
      <c r="Y74" s="199">
        <f t="shared" si="151"/>
        <v>3884.5366839114808</v>
      </c>
      <c r="AB74" s="204">
        <f t="shared" si="190"/>
        <v>12</v>
      </c>
      <c r="AC74" s="219" t="s">
        <v>7</v>
      </c>
      <c r="AD74" s="747">
        <f>'Arable Inputs'!$G$18+0.5*'Arable Inputs'!$G$18</f>
        <v>117</v>
      </c>
      <c r="AE74" s="747">
        <f>'Arable Inputs'!$G$25</f>
        <v>27.16</v>
      </c>
      <c r="AH74" s="749">
        <f>AD74*AE74</f>
        <v>3177.72</v>
      </c>
      <c r="AI74" s="197">
        <f>'Arable NPV'!$E154</f>
        <v>220</v>
      </c>
      <c r="AJ74" s="197">
        <f t="shared" si="139"/>
        <v>3397.72</v>
      </c>
      <c r="AK74" s="197">
        <f>'Arable NPV'!$G154</f>
        <v>793.83573723279574</v>
      </c>
      <c r="AL74" s="197">
        <f>'Arable NPV'!$H154</f>
        <v>841.03</v>
      </c>
      <c r="AM74" s="197">
        <f t="shared" si="152"/>
        <v>1634.8657372327957</v>
      </c>
      <c r="AN74" s="197">
        <f t="shared" si="140"/>
        <v>1542.8542627672041</v>
      </c>
      <c r="AO74" s="197">
        <f t="shared" si="153"/>
        <v>1762.8542627672041</v>
      </c>
      <c r="AP74" s="196">
        <f t="shared" si="154"/>
        <v>2064.1863178472277</v>
      </c>
      <c r="AQ74" s="197">
        <f t="shared" si="155"/>
        <v>142.90780494391893</v>
      </c>
      <c r="AR74" s="197">
        <f t="shared" si="156"/>
        <v>1061.9776085725482</v>
      </c>
      <c r="AS74" s="197">
        <f t="shared" si="157"/>
        <v>1002.2087092746793</v>
      </c>
      <c r="AT74" s="199">
        <f t="shared" si="158"/>
        <v>1145.1165142185982</v>
      </c>
      <c r="AU74" s="196">
        <f t="shared" si="159"/>
        <v>22553.202577796204</v>
      </c>
      <c r="AV74" s="197">
        <f t="shared" si="159"/>
        <v>2147.304876402025</v>
      </c>
      <c r="AW74" s="197">
        <f t="shared" si="159"/>
        <v>13298.236577688012</v>
      </c>
      <c r="AX74" s="197">
        <f t="shared" si="159"/>
        <v>9254.9660001081902</v>
      </c>
      <c r="AY74" s="199">
        <f t="shared" si="159"/>
        <v>11402.270876510216</v>
      </c>
      <c r="BB74" s="204">
        <f t="shared" si="191"/>
        <v>12</v>
      </c>
      <c r="BC74" s="219" t="s">
        <v>7</v>
      </c>
      <c r="BD74" s="747">
        <f>'Arable Inputs'!$G$18-0.5*'Arable Inputs'!$G$18</f>
        <v>39</v>
      </c>
      <c r="BE74" s="747">
        <f>'Arable Inputs'!$G$25</f>
        <v>27.16</v>
      </c>
      <c r="BH74" s="749">
        <f>BD74*BE74</f>
        <v>1059.24</v>
      </c>
      <c r="BI74" s="197">
        <f>'Arable NPV'!$E154</f>
        <v>220</v>
      </c>
      <c r="BJ74" s="197">
        <f t="shared" si="141"/>
        <v>1279.24</v>
      </c>
      <c r="BK74" s="197">
        <f>'Arable NPV'!$G154</f>
        <v>793.83573723279574</v>
      </c>
      <c r="BL74" s="197">
        <f>'Arable NPV'!$H154</f>
        <v>841.03</v>
      </c>
      <c r="BM74" s="197">
        <f t="shared" si="160"/>
        <v>1634.8657372327957</v>
      </c>
      <c r="BN74" s="197">
        <f t="shared" si="142"/>
        <v>-575.6257372327957</v>
      </c>
      <c r="BO74" s="197">
        <f t="shared" si="161"/>
        <v>-355.6257372327957</v>
      </c>
      <c r="BP74" s="196">
        <f t="shared" si="162"/>
        <v>688.06210594907589</v>
      </c>
      <c r="BQ74" s="197">
        <f t="shared" si="163"/>
        <v>142.90780494391893</v>
      </c>
      <c r="BR74" s="197">
        <f t="shared" si="164"/>
        <v>1061.9776085725482</v>
      </c>
      <c r="BS74" s="197">
        <f t="shared" si="165"/>
        <v>-373.91550262347226</v>
      </c>
      <c r="BT74" s="199">
        <f t="shared" si="166"/>
        <v>-231.00769767955336</v>
      </c>
      <c r="BU74" s="196">
        <f t="shared" si="167"/>
        <v>7517.7341925987339</v>
      </c>
      <c r="BV74" s="197">
        <f t="shared" si="167"/>
        <v>2147.304876402025</v>
      </c>
      <c r="BW74" s="197">
        <f t="shared" si="167"/>
        <v>13298.236577688012</v>
      </c>
      <c r="BX74" s="197">
        <f t="shared" si="167"/>
        <v>-5780.5023850892776</v>
      </c>
      <c r="BY74" s="199">
        <f t="shared" si="167"/>
        <v>-3633.1975086872535</v>
      </c>
      <c r="CB74" s="204">
        <f t="shared" si="192"/>
        <v>12</v>
      </c>
      <c r="CC74" s="219" t="s">
        <v>7</v>
      </c>
      <c r="CD74" s="747">
        <f>'Arable Inputs'!$G$18+'Arable Inputs'!$G$18</f>
        <v>156</v>
      </c>
      <c r="CE74" s="747">
        <f>'Arable Inputs'!$G$25</f>
        <v>27.16</v>
      </c>
      <c r="CH74" s="749">
        <f>CD74*CE74</f>
        <v>4236.96</v>
      </c>
      <c r="CI74" s="197">
        <f>'Arable NPV'!$E154</f>
        <v>220</v>
      </c>
      <c r="CJ74" s="197">
        <f t="shared" si="168"/>
        <v>4456.96</v>
      </c>
      <c r="CK74" s="197">
        <f>'Arable NPV'!$G154</f>
        <v>793.83573723279574</v>
      </c>
      <c r="CL74" s="197">
        <f>'Arable NPV'!$H154</f>
        <v>841.03</v>
      </c>
      <c r="CM74" s="197">
        <f t="shared" si="169"/>
        <v>1634.8657372327957</v>
      </c>
      <c r="CN74" s="197">
        <f t="shared" si="170"/>
        <v>2602.0942627672043</v>
      </c>
      <c r="CO74" s="197">
        <f t="shared" si="171"/>
        <v>2822.0942627672043</v>
      </c>
      <c r="CP74" s="196">
        <f t="shared" si="172"/>
        <v>2752.2484237963035</v>
      </c>
      <c r="CQ74" s="197">
        <f t="shared" si="173"/>
        <v>142.90780494391893</v>
      </c>
      <c r="CR74" s="197">
        <f t="shared" si="174"/>
        <v>1061.9776085725482</v>
      </c>
      <c r="CS74" s="197">
        <f t="shared" si="175"/>
        <v>1690.2708152237553</v>
      </c>
      <c r="CT74" s="199">
        <f t="shared" si="176"/>
        <v>1833.1786201676744</v>
      </c>
      <c r="CU74" s="196">
        <f t="shared" si="177"/>
        <v>30070.936770394936</v>
      </c>
      <c r="CV74" s="197">
        <f t="shared" si="177"/>
        <v>2147.304876402025</v>
      </c>
      <c r="CW74" s="197">
        <f t="shared" si="177"/>
        <v>13298.236577688012</v>
      </c>
      <c r="CX74" s="197">
        <f t="shared" si="177"/>
        <v>16772.700192706925</v>
      </c>
      <c r="CY74" s="199">
        <f t="shared" si="178"/>
        <v>18920.005069108949</v>
      </c>
      <c r="DB74" s="204">
        <f t="shared" si="193"/>
        <v>12</v>
      </c>
      <c r="DC74" s="219" t="s">
        <v>7</v>
      </c>
      <c r="DD74" s="747">
        <f>'Arable Inputs'!$G$18-'Arable Inputs'!$G$18</f>
        <v>0</v>
      </c>
      <c r="DE74" s="747">
        <f>'Arable Inputs'!$G$25</f>
        <v>27.16</v>
      </c>
      <c r="DH74" s="749">
        <f>DD74*DE74</f>
        <v>0</v>
      </c>
      <c r="DI74" s="197">
        <f>'Arable NPV'!$E154</f>
        <v>220</v>
      </c>
      <c r="DJ74" s="197">
        <f t="shared" si="179"/>
        <v>220</v>
      </c>
      <c r="DK74" s="197">
        <f>'Arable NPV'!$G154</f>
        <v>793.83573723279574</v>
      </c>
      <c r="DL74" s="197">
        <f>'Arable NPV'!$H154</f>
        <v>841.03</v>
      </c>
      <c r="DM74" s="197">
        <f t="shared" si="180"/>
        <v>1634.8657372327957</v>
      </c>
      <c r="DN74" s="197">
        <f t="shared" si="181"/>
        <v>-1634.8657372327957</v>
      </c>
      <c r="DO74" s="197">
        <f t="shared" si="182"/>
        <v>-1414.8657372327957</v>
      </c>
      <c r="DP74" s="196">
        <f t="shared" si="183"/>
        <v>0</v>
      </c>
      <c r="DQ74" s="197">
        <f t="shared" si="184"/>
        <v>142.90780494391893</v>
      </c>
      <c r="DR74" s="197">
        <f t="shared" si="185"/>
        <v>1061.9776085725482</v>
      </c>
      <c r="DS74" s="197">
        <f t="shared" si="186"/>
        <v>-1061.9776085725482</v>
      </c>
      <c r="DT74" s="199">
        <f t="shared" si="187"/>
        <v>-919.06980362862919</v>
      </c>
      <c r="DU74" s="196">
        <f t="shared" si="188"/>
        <v>0</v>
      </c>
      <c r="DV74" s="197">
        <f t="shared" si="188"/>
        <v>2147.304876402025</v>
      </c>
      <c r="DW74" s="197">
        <f t="shared" si="188"/>
        <v>13298.236577688012</v>
      </c>
      <c r="DX74" s="197">
        <f t="shared" si="188"/>
        <v>-13298.236577688012</v>
      </c>
      <c r="DY74" s="199">
        <f t="shared" si="188"/>
        <v>-11150.931701285988</v>
      </c>
    </row>
    <row r="75" spans="2:129" x14ac:dyDescent="0.3">
      <c r="B75" s="204">
        <f t="shared" si="189"/>
        <v>13</v>
      </c>
      <c r="C75" s="219" t="s">
        <v>260</v>
      </c>
      <c r="D75" s="747">
        <f>'Arable Inputs'!$H$18</f>
        <v>12</v>
      </c>
      <c r="E75" s="747">
        <f>'Arable Inputs'!$H$25</f>
        <v>107.1</v>
      </c>
      <c r="H75" s="749">
        <f t="shared" si="143"/>
        <v>1285.1999999999998</v>
      </c>
      <c r="I75" s="197">
        <f>'Arable NPV'!$E155</f>
        <v>220</v>
      </c>
      <c r="J75" s="197">
        <f t="shared" si="144"/>
        <v>1505.1999999999998</v>
      </c>
      <c r="K75" s="197">
        <f>'Arable NPV'!$G155</f>
        <v>528.51499999999999</v>
      </c>
      <c r="L75" s="197">
        <f>'Arable NPV'!$H155</f>
        <v>552.40000000000009</v>
      </c>
      <c r="M75" s="197">
        <f t="shared" si="145"/>
        <v>1080.915</v>
      </c>
      <c r="N75" s="197">
        <f t="shared" si="137"/>
        <v>204.28499999999985</v>
      </c>
      <c r="O75" s="197">
        <f t="shared" si="138"/>
        <v>424.28499999999985</v>
      </c>
      <c r="P75" s="196">
        <f t="shared" si="146"/>
        <v>802.73212812029965</v>
      </c>
      <c r="Q75" s="197">
        <f t="shared" si="147"/>
        <v>137.41135090761432</v>
      </c>
      <c r="R75" s="197">
        <f t="shared" si="148"/>
        <v>675.13631984683605</v>
      </c>
      <c r="S75" s="197">
        <f t="shared" si="149"/>
        <v>127.59580827346352</v>
      </c>
      <c r="T75" s="199">
        <f t="shared" si="150"/>
        <v>265.00715918107784</v>
      </c>
      <c r="U75" s="196">
        <f t="shared" si="151"/>
        <v>15838.200513317768</v>
      </c>
      <c r="V75" s="197">
        <f t="shared" si="151"/>
        <v>2284.7162273096392</v>
      </c>
      <c r="W75" s="197">
        <f t="shared" si="151"/>
        <v>13973.372897534848</v>
      </c>
      <c r="X75" s="197">
        <f t="shared" si="151"/>
        <v>1864.82761578292</v>
      </c>
      <c r="Y75" s="199">
        <f t="shared" si="151"/>
        <v>4149.5438430925587</v>
      </c>
      <c r="AB75" s="204">
        <f t="shared" si="190"/>
        <v>13</v>
      </c>
      <c r="AC75" s="219" t="s">
        <v>31</v>
      </c>
      <c r="AD75" s="747">
        <f>'Arable Inputs'!$H$18+0.5*'Arable Inputs'!$H$18</f>
        <v>18</v>
      </c>
      <c r="AE75" s="747">
        <f>'Arable Inputs'!$H$25</f>
        <v>107.1</v>
      </c>
      <c r="AH75" s="749">
        <f>AD75*AE75</f>
        <v>1927.8</v>
      </c>
      <c r="AI75" s="197">
        <f>'Arable NPV'!$E155</f>
        <v>220</v>
      </c>
      <c r="AJ75" s="197">
        <f t="shared" si="139"/>
        <v>2147.8000000000002</v>
      </c>
      <c r="AK75" s="197">
        <f>'Arable NPV'!$G155</f>
        <v>528.51499999999999</v>
      </c>
      <c r="AL75" s="197">
        <f>'Arable NPV'!$H155</f>
        <v>552.40000000000009</v>
      </c>
      <c r="AM75" s="197">
        <f t="shared" si="152"/>
        <v>1080.915</v>
      </c>
      <c r="AN75" s="197">
        <f t="shared" si="140"/>
        <v>846.88499999999999</v>
      </c>
      <c r="AO75" s="197">
        <f t="shared" si="153"/>
        <v>1066.8850000000002</v>
      </c>
      <c r="AP75" s="196">
        <f t="shared" si="154"/>
        <v>1204.0981921804496</v>
      </c>
      <c r="AQ75" s="197">
        <f t="shared" si="155"/>
        <v>137.41135090761432</v>
      </c>
      <c r="AR75" s="197">
        <f t="shared" si="156"/>
        <v>675.13631984683605</v>
      </c>
      <c r="AS75" s="197">
        <f t="shared" si="157"/>
        <v>528.96187233361343</v>
      </c>
      <c r="AT75" s="199">
        <f t="shared" si="158"/>
        <v>666.37322324122795</v>
      </c>
      <c r="AU75" s="196">
        <f t="shared" si="159"/>
        <v>23757.300769976653</v>
      </c>
      <c r="AV75" s="197">
        <f t="shared" si="159"/>
        <v>2284.7162273096392</v>
      </c>
      <c r="AW75" s="197">
        <f t="shared" si="159"/>
        <v>13973.372897534848</v>
      </c>
      <c r="AX75" s="197">
        <f t="shared" si="159"/>
        <v>9783.9278724418036</v>
      </c>
      <c r="AY75" s="199">
        <f t="shared" si="159"/>
        <v>12068.644099751444</v>
      </c>
      <c r="BB75" s="204">
        <f t="shared" si="191"/>
        <v>13</v>
      </c>
      <c r="BC75" s="219" t="s">
        <v>31</v>
      </c>
      <c r="BD75" s="747">
        <f>'Arable Inputs'!$H$18-0.5*'Arable Inputs'!$H$18</f>
        <v>6</v>
      </c>
      <c r="BE75" s="747">
        <f>'Arable Inputs'!$H$25</f>
        <v>107.1</v>
      </c>
      <c r="BH75" s="749">
        <f>BD75*BE75</f>
        <v>642.59999999999991</v>
      </c>
      <c r="BI75" s="197">
        <f>'Arable NPV'!$E155</f>
        <v>220</v>
      </c>
      <c r="BJ75" s="197">
        <f t="shared" si="141"/>
        <v>862.59999999999991</v>
      </c>
      <c r="BK75" s="197">
        <f>'Arable NPV'!$G155</f>
        <v>528.51499999999999</v>
      </c>
      <c r="BL75" s="197">
        <f>'Arable NPV'!$H155</f>
        <v>552.40000000000009</v>
      </c>
      <c r="BM75" s="197">
        <f t="shared" si="160"/>
        <v>1080.915</v>
      </c>
      <c r="BN75" s="197">
        <f t="shared" si="142"/>
        <v>-438.31500000000005</v>
      </c>
      <c r="BO75" s="197">
        <f t="shared" si="161"/>
        <v>-218.31500000000005</v>
      </c>
      <c r="BP75" s="196">
        <f t="shared" si="162"/>
        <v>401.36606406014982</v>
      </c>
      <c r="BQ75" s="197">
        <f t="shared" si="163"/>
        <v>137.41135090761432</v>
      </c>
      <c r="BR75" s="197">
        <f t="shared" si="164"/>
        <v>675.13631984683605</v>
      </c>
      <c r="BS75" s="197">
        <f t="shared" si="165"/>
        <v>-273.77025578668628</v>
      </c>
      <c r="BT75" s="199">
        <f t="shared" si="166"/>
        <v>-136.35890487907196</v>
      </c>
      <c r="BU75" s="196">
        <f t="shared" si="167"/>
        <v>7919.1002566588841</v>
      </c>
      <c r="BV75" s="197">
        <f t="shared" si="167"/>
        <v>2284.7162273096392</v>
      </c>
      <c r="BW75" s="197">
        <f t="shared" si="167"/>
        <v>13973.372897534848</v>
      </c>
      <c r="BX75" s="197">
        <f t="shared" si="167"/>
        <v>-6054.2726408759636</v>
      </c>
      <c r="BY75" s="199">
        <f t="shared" si="167"/>
        <v>-3769.5564135663253</v>
      </c>
      <c r="CB75" s="204">
        <f t="shared" si="192"/>
        <v>13</v>
      </c>
      <c r="CC75" s="219" t="s">
        <v>31</v>
      </c>
      <c r="CD75" s="747">
        <f>'Arable Inputs'!$H$18+'Arable Inputs'!$H$18</f>
        <v>24</v>
      </c>
      <c r="CE75" s="747">
        <f>'Arable Inputs'!$H$25</f>
        <v>107.1</v>
      </c>
      <c r="CH75" s="749">
        <f>CD75*CE75</f>
        <v>2570.3999999999996</v>
      </c>
      <c r="CI75" s="197">
        <f>'Arable NPV'!$E155</f>
        <v>220</v>
      </c>
      <c r="CJ75" s="197">
        <f t="shared" si="168"/>
        <v>2790.3999999999996</v>
      </c>
      <c r="CK75" s="197">
        <f>'Arable NPV'!$G155</f>
        <v>528.51499999999999</v>
      </c>
      <c r="CL75" s="197">
        <f>'Arable NPV'!$H155</f>
        <v>552.40000000000009</v>
      </c>
      <c r="CM75" s="197">
        <f t="shared" si="169"/>
        <v>1080.915</v>
      </c>
      <c r="CN75" s="197">
        <f t="shared" si="170"/>
        <v>1489.4849999999997</v>
      </c>
      <c r="CO75" s="197">
        <f t="shared" si="171"/>
        <v>1709.4849999999997</v>
      </c>
      <c r="CP75" s="196">
        <f t="shared" si="172"/>
        <v>1605.4642562405993</v>
      </c>
      <c r="CQ75" s="197">
        <f t="shared" si="173"/>
        <v>137.41135090761432</v>
      </c>
      <c r="CR75" s="197">
        <f t="shared" si="174"/>
        <v>675.13631984683605</v>
      </c>
      <c r="CS75" s="197">
        <f t="shared" si="175"/>
        <v>930.32793639376314</v>
      </c>
      <c r="CT75" s="199">
        <f t="shared" si="176"/>
        <v>1067.7392873013775</v>
      </c>
      <c r="CU75" s="196">
        <f t="shared" si="177"/>
        <v>31676.401026635536</v>
      </c>
      <c r="CV75" s="197">
        <f t="shared" si="177"/>
        <v>2284.7162273096392</v>
      </c>
      <c r="CW75" s="197">
        <f t="shared" si="177"/>
        <v>13973.372897534848</v>
      </c>
      <c r="CX75" s="197">
        <f t="shared" si="177"/>
        <v>17703.028129100687</v>
      </c>
      <c r="CY75" s="199">
        <f t="shared" si="178"/>
        <v>19987.744356410327</v>
      </c>
      <c r="DB75" s="204">
        <f t="shared" si="193"/>
        <v>13</v>
      </c>
      <c r="DC75" s="219" t="s">
        <v>31</v>
      </c>
      <c r="DD75" s="747">
        <f>'Arable Inputs'!$H$18-'Arable Inputs'!$H$18</f>
        <v>0</v>
      </c>
      <c r="DE75" s="747">
        <f>'Arable Inputs'!$H$25</f>
        <v>107.1</v>
      </c>
      <c r="DH75" s="749">
        <f>DD75*DE75</f>
        <v>0</v>
      </c>
      <c r="DI75" s="197">
        <f>'Arable NPV'!$E155</f>
        <v>220</v>
      </c>
      <c r="DJ75" s="197">
        <f t="shared" si="179"/>
        <v>220</v>
      </c>
      <c r="DK75" s="197">
        <f>'Arable NPV'!$G155</f>
        <v>528.51499999999999</v>
      </c>
      <c r="DL75" s="197">
        <f>'Arable NPV'!$H155</f>
        <v>552.40000000000009</v>
      </c>
      <c r="DM75" s="197">
        <f t="shared" si="180"/>
        <v>1080.915</v>
      </c>
      <c r="DN75" s="197">
        <f t="shared" si="181"/>
        <v>-1080.915</v>
      </c>
      <c r="DO75" s="197">
        <f t="shared" si="182"/>
        <v>-860.91499999999996</v>
      </c>
      <c r="DP75" s="196">
        <f t="shared" si="183"/>
        <v>0</v>
      </c>
      <c r="DQ75" s="197">
        <f t="shared" si="184"/>
        <v>137.41135090761432</v>
      </c>
      <c r="DR75" s="197">
        <f t="shared" si="185"/>
        <v>675.13631984683605</v>
      </c>
      <c r="DS75" s="197">
        <f t="shared" si="186"/>
        <v>-675.13631984683605</v>
      </c>
      <c r="DT75" s="199">
        <f t="shared" si="187"/>
        <v>-537.72496893922175</v>
      </c>
      <c r="DU75" s="196">
        <f t="shared" si="188"/>
        <v>0</v>
      </c>
      <c r="DV75" s="197">
        <f t="shared" si="188"/>
        <v>2284.7162273096392</v>
      </c>
      <c r="DW75" s="197">
        <f t="shared" si="188"/>
        <v>13973.372897534848</v>
      </c>
      <c r="DX75" s="197">
        <f t="shared" si="188"/>
        <v>-13973.372897534848</v>
      </c>
      <c r="DY75" s="199">
        <f t="shared" si="188"/>
        <v>-11688.656670225209</v>
      </c>
    </row>
    <row r="76" spans="2:129" x14ac:dyDescent="0.3">
      <c r="B76" s="204">
        <f t="shared" si="189"/>
        <v>14</v>
      </c>
      <c r="C76" s="219" t="s">
        <v>6</v>
      </c>
      <c r="D76" s="747">
        <f>'Arable Inputs'!$F$18</f>
        <v>3.5</v>
      </c>
      <c r="E76" s="747">
        <f>'Arable Inputs'!$F$25</f>
        <v>335</v>
      </c>
      <c r="F76" s="747">
        <f>'Arable Inputs'!$F$19</f>
        <v>2.6</v>
      </c>
      <c r="G76" s="747">
        <f>'Arable Inputs'!$F$26</f>
        <v>37.5</v>
      </c>
      <c r="H76" s="749">
        <f>D76*E76+F76*G76</f>
        <v>1270</v>
      </c>
      <c r="I76" s="197">
        <f>'Arable NPV'!$E156</f>
        <v>220</v>
      </c>
      <c r="J76" s="197">
        <f t="shared" si="144"/>
        <v>1490</v>
      </c>
      <c r="K76" s="197">
        <f>'Arable NPV'!$G156</f>
        <v>541.75901992521074</v>
      </c>
      <c r="L76" s="197">
        <f>'Arable NPV'!$H156</f>
        <v>621.47428571428577</v>
      </c>
      <c r="M76" s="197">
        <f t="shared" si="145"/>
        <v>1163.2333056394964</v>
      </c>
      <c r="N76" s="197">
        <f t="shared" si="137"/>
        <v>106.76669436050361</v>
      </c>
      <c r="O76" s="197">
        <f t="shared" si="138"/>
        <v>326.76669436050361</v>
      </c>
      <c r="P76" s="196">
        <f t="shared" si="146"/>
        <v>762.72908939104104</v>
      </c>
      <c r="Q76" s="197">
        <f t="shared" si="147"/>
        <v>132.12629894962916</v>
      </c>
      <c r="R76" s="197">
        <f t="shared" si="148"/>
        <v>698.60777949586111</v>
      </c>
      <c r="S76" s="197">
        <f t="shared" si="149"/>
        <v>64.121309895179934</v>
      </c>
      <c r="T76" s="199">
        <f t="shared" si="150"/>
        <v>196.24760884480909</v>
      </c>
      <c r="U76" s="196">
        <f t="shared" si="151"/>
        <v>16600.929602708809</v>
      </c>
      <c r="V76" s="197">
        <f t="shared" si="151"/>
        <v>2416.8425262592682</v>
      </c>
      <c r="W76" s="197">
        <f t="shared" si="151"/>
        <v>14671.98067703071</v>
      </c>
      <c r="X76" s="197">
        <f t="shared" si="151"/>
        <v>1928.9489256780998</v>
      </c>
      <c r="Y76" s="199">
        <f t="shared" si="151"/>
        <v>4345.791451937368</v>
      </c>
      <c r="AB76" s="204">
        <f t="shared" si="190"/>
        <v>14</v>
      </c>
      <c r="AC76" s="219" t="s">
        <v>6</v>
      </c>
      <c r="AD76" s="747">
        <f>'Arable Inputs'!$F$18+0.5*'Arable Inputs'!$F$18</f>
        <v>5.25</v>
      </c>
      <c r="AE76" s="747">
        <f>'Arable Inputs'!$F$25</f>
        <v>335</v>
      </c>
      <c r="AF76" s="747">
        <f>'Arable Inputs'!$F$19+0.5*'Arable Inputs'!$F$19</f>
        <v>3.9000000000000004</v>
      </c>
      <c r="AG76" s="747">
        <f>'Arable Inputs'!$F$26</f>
        <v>37.5</v>
      </c>
      <c r="AH76" s="749">
        <f>AD76*AE76+AF76*AG76</f>
        <v>1905</v>
      </c>
      <c r="AI76" s="197">
        <f>'Arable NPV'!$E156</f>
        <v>220</v>
      </c>
      <c r="AJ76" s="197">
        <f t="shared" si="139"/>
        <v>2125</v>
      </c>
      <c r="AK76" s="197">
        <f>'Arable NPV'!$G156</f>
        <v>541.75901992521074</v>
      </c>
      <c r="AL76" s="197">
        <f>'Arable NPV'!$H156</f>
        <v>621.47428571428577</v>
      </c>
      <c r="AM76" s="197">
        <f t="shared" si="152"/>
        <v>1163.2333056394964</v>
      </c>
      <c r="AN76" s="197">
        <f t="shared" si="140"/>
        <v>741.76669436050361</v>
      </c>
      <c r="AO76" s="197">
        <f t="shared" si="153"/>
        <v>961.76669436050361</v>
      </c>
      <c r="AP76" s="196">
        <f t="shared" si="154"/>
        <v>1144.0936340865617</v>
      </c>
      <c r="AQ76" s="197">
        <f t="shared" si="155"/>
        <v>132.12629894962916</v>
      </c>
      <c r="AR76" s="197">
        <f t="shared" si="156"/>
        <v>698.60777949586111</v>
      </c>
      <c r="AS76" s="197">
        <f t="shared" si="157"/>
        <v>445.48585459070046</v>
      </c>
      <c r="AT76" s="199">
        <f t="shared" si="158"/>
        <v>577.61215354032959</v>
      </c>
      <c r="AU76" s="196">
        <f t="shared" si="159"/>
        <v>24901.394404063216</v>
      </c>
      <c r="AV76" s="197">
        <f t="shared" si="159"/>
        <v>2416.8425262592682</v>
      </c>
      <c r="AW76" s="197">
        <f t="shared" si="159"/>
        <v>14671.98067703071</v>
      </c>
      <c r="AX76" s="197">
        <f t="shared" si="159"/>
        <v>10229.413727032505</v>
      </c>
      <c r="AY76" s="199">
        <f t="shared" si="159"/>
        <v>12646.256253291773</v>
      </c>
      <c r="BB76" s="204">
        <f t="shared" si="191"/>
        <v>14</v>
      </c>
      <c r="BC76" s="219" t="s">
        <v>6</v>
      </c>
      <c r="BD76" s="747">
        <f>'Arable Inputs'!$F$18-0.5*'Arable Inputs'!$F$18</f>
        <v>1.75</v>
      </c>
      <c r="BE76" s="747">
        <f>'Arable Inputs'!$F$25</f>
        <v>335</v>
      </c>
      <c r="BF76" s="747">
        <f>'Arable Inputs'!$F$19-0.5*'Arable Inputs'!$F$19</f>
        <v>1.3</v>
      </c>
      <c r="BG76" s="747">
        <f>'Arable Inputs'!$F$26</f>
        <v>37.5</v>
      </c>
      <c r="BH76" s="749">
        <f>BD76*BE76+BF76*BG76</f>
        <v>635</v>
      </c>
      <c r="BI76" s="197">
        <f>'Arable NPV'!$E156</f>
        <v>220</v>
      </c>
      <c r="BJ76" s="197">
        <f t="shared" si="141"/>
        <v>855</v>
      </c>
      <c r="BK76" s="197">
        <f>'Arable NPV'!$G156</f>
        <v>541.75901992521074</v>
      </c>
      <c r="BL76" s="197">
        <f>'Arable NPV'!$H156</f>
        <v>621.47428571428577</v>
      </c>
      <c r="BM76" s="197">
        <f t="shared" si="160"/>
        <v>1163.2333056394964</v>
      </c>
      <c r="BN76" s="197">
        <f t="shared" si="142"/>
        <v>-528.23330563949639</v>
      </c>
      <c r="BO76" s="197">
        <f t="shared" si="161"/>
        <v>-308.23330563949639</v>
      </c>
      <c r="BP76" s="196">
        <f t="shared" si="162"/>
        <v>381.36454469552052</v>
      </c>
      <c r="BQ76" s="197">
        <f t="shared" si="163"/>
        <v>132.12629894962916</v>
      </c>
      <c r="BR76" s="197">
        <f t="shared" si="164"/>
        <v>698.60777949586111</v>
      </c>
      <c r="BS76" s="197">
        <f t="shared" si="165"/>
        <v>-317.24323480034059</v>
      </c>
      <c r="BT76" s="199">
        <f t="shared" si="166"/>
        <v>-185.11693585071143</v>
      </c>
      <c r="BU76" s="196">
        <f t="shared" si="167"/>
        <v>8300.4648013544047</v>
      </c>
      <c r="BV76" s="197">
        <f t="shared" si="167"/>
        <v>2416.8425262592682</v>
      </c>
      <c r="BW76" s="197">
        <f t="shared" si="167"/>
        <v>14671.98067703071</v>
      </c>
      <c r="BX76" s="197">
        <f t="shared" si="167"/>
        <v>-6371.5158756763039</v>
      </c>
      <c r="BY76" s="199">
        <f t="shared" si="167"/>
        <v>-3954.6733494170367</v>
      </c>
      <c r="CB76" s="204">
        <f t="shared" si="192"/>
        <v>14</v>
      </c>
      <c r="CC76" s="219" t="s">
        <v>6</v>
      </c>
      <c r="CD76" s="747">
        <f>'Arable Inputs'!$F$18+'Arable Inputs'!$F$18</f>
        <v>7</v>
      </c>
      <c r="CE76" s="747">
        <f>'Arable Inputs'!$F$25</f>
        <v>335</v>
      </c>
      <c r="CF76" s="747">
        <f>'Arable Inputs'!$F$19+'Arable Inputs'!$F$19</f>
        <v>5.2</v>
      </c>
      <c r="CG76" s="747">
        <f>'Arable Inputs'!$F$26</f>
        <v>37.5</v>
      </c>
      <c r="CH76" s="749">
        <f>CD76*CE76+CF76*CG76</f>
        <v>2540</v>
      </c>
      <c r="CI76" s="197">
        <f>'Arable NPV'!$E156</f>
        <v>220</v>
      </c>
      <c r="CJ76" s="197">
        <f t="shared" si="168"/>
        <v>2760</v>
      </c>
      <c r="CK76" s="197">
        <f>'Arable NPV'!$G156</f>
        <v>541.75901992521074</v>
      </c>
      <c r="CL76" s="197">
        <f>'Arable NPV'!$H156</f>
        <v>621.47428571428577</v>
      </c>
      <c r="CM76" s="197">
        <f t="shared" si="169"/>
        <v>1163.2333056394964</v>
      </c>
      <c r="CN76" s="197">
        <f t="shared" si="170"/>
        <v>1376.7666943605036</v>
      </c>
      <c r="CO76" s="197">
        <f t="shared" si="171"/>
        <v>1596.7666943605036</v>
      </c>
      <c r="CP76" s="196">
        <f t="shared" si="172"/>
        <v>1525.4581787820821</v>
      </c>
      <c r="CQ76" s="197">
        <f t="shared" si="173"/>
        <v>132.12629894962916</v>
      </c>
      <c r="CR76" s="197">
        <f t="shared" si="174"/>
        <v>698.60777949586111</v>
      </c>
      <c r="CS76" s="197">
        <f t="shared" si="175"/>
        <v>826.85039928622098</v>
      </c>
      <c r="CT76" s="199">
        <f t="shared" si="176"/>
        <v>958.97669823585011</v>
      </c>
      <c r="CU76" s="196">
        <f t="shared" si="177"/>
        <v>33201.859205417619</v>
      </c>
      <c r="CV76" s="197">
        <f t="shared" si="177"/>
        <v>2416.8425262592682</v>
      </c>
      <c r="CW76" s="197">
        <f t="shared" si="177"/>
        <v>14671.98067703071</v>
      </c>
      <c r="CX76" s="197">
        <f t="shared" si="177"/>
        <v>18529.878528386907</v>
      </c>
      <c r="CY76" s="199">
        <f t="shared" si="178"/>
        <v>20946.721054646176</v>
      </c>
      <c r="DB76" s="204">
        <f t="shared" si="193"/>
        <v>14</v>
      </c>
      <c r="DC76" s="219" t="s">
        <v>6</v>
      </c>
      <c r="DD76" s="747">
        <f>'Arable Inputs'!$F$18-'Arable Inputs'!$F$18</f>
        <v>0</v>
      </c>
      <c r="DE76" s="747">
        <f>'Arable Inputs'!$F$25</f>
        <v>335</v>
      </c>
      <c r="DF76" s="747">
        <f>'Arable Inputs'!$F$19-'Arable Inputs'!$F$19</f>
        <v>0</v>
      </c>
      <c r="DG76" s="747">
        <f>'Arable Inputs'!$F$26</f>
        <v>37.5</v>
      </c>
      <c r="DH76" s="749">
        <f>DD76*DE76+DF76*DG76</f>
        <v>0</v>
      </c>
      <c r="DI76" s="197">
        <f>'Arable NPV'!$E156</f>
        <v>220</v>
      </c>
      <c r="DJ76" s="197">
        <f t="shared" si="179"/>
        <v>220</v>
      </c>
      <c r="DK76" s="197">
        <f>'Arable NPV'!$G156</f>
        <v>541.75901992521074</v>
      </c>
      <c r="DL76" s="197">
        <f>'Arable NPV'!$H156</f>
        <v>621.47428571428577</v>
      </c>
      <c r="DM76" s="197">
        <f t="shared" si="180"/>
        <v>1163.2333056394964</v>
      </c>
      <c r="DN76" s="197">
        <f t="shared" si="181"/>
        <v>-1163.2333056394964</v>
      </c>
      <c r="DO76" s="197">
        <f t="shared" si="182"/>
        <v>-943.23330563949639</v>
      </c>
      <c r="DP76" s="196">
        <f t="shared" si="183"/>
        <v>0</v>
      </c>
      <c r="DQ76" s="197">
        <f t="shared" si="184"/>
        <v>132.12629894962916</v>
      </c>
      <c r="DR76" s="197">
        <f t="shared" si="185"/>
        <v>698.60777949586111</v>
      </c>
      <c r="DS76" s="197">
        <f t="shared" si="186"/>
        <v>-698.60777949586111</v>
      </c>
      <c r="DT76" s="199">
        <f t="shared" si="187"/>
        <v>-566.48148054623198</v>
      </c>
      <c r="DU76" s="196">
        <f t="shared" si="188"/>
        <v>0</v>
      </c>
      <c r="DV76" s="197">
        <f t="shared" si="188"/>
        <v>2416.8425262592682</v>
      </c>
      <c r="DW76" s="197">
        <f t="shared" si="188"/>
        <v>14671.98067703071</v>
      </c>
      <c r="DX76" s="197">
        <f t="shared" si="188"/>
        <v>-14671.98067703071</v>
      </c>
      <c r="DY76" s="199">
        <f t="shared" si="188"/>
        <v>-12255.138150771441</v>
      </c>
    </row>
    <row r="77" spans="2:129" x14ac:dyDescent="0.3">
      <c r="B77" s="204">
        <f t="shared" si="189"/>
        <v>15</v>
      </c>
      <c r="C77" s="219" t="s">
        <v>5</v>
      </c>
      <c r="D77" s="747">
        <f>'Arable Inputs'!$E$18</f>
        <v>6.3</v>
      </c>
      <c r="E77" s="747">
        <f>'Arable Inputs'!$E$25</f>
        <v>140</v>
      </c>
      <c r="F77" s="747">
        <f>'Arable Inputs'!$E$19</f>
        <v>3.5</v>
      </c>
      <c r="G77" s="747">
        <f>'Arable Inputs'!$E$26</f>
        <v>70</v>
      </c>
      <c r="H77" s="749">
        <f>D77*E77+F77*G77</f>
        <v>1127</v>
      </c>
      <c r="I77" s="197">
        <f>'Arable NPV'!$E157</f>
        <v>220</v>
      </c>
      <c r="J77" s="197">
        <f t="shared" si="144"/>
        <v>1347</v>
      </c>
      <c r="K77" s="197">
        <f>'Arable NPV'!$G157</f>
        <v>418.54877602277168</v>
      </c>
      <c r="L77" s="197">
        <f>'Arable NPV'!$H157</f>
        <v>773.65999999999985</v>
      </c>
      <c r="M77" s="197">
        <f t="shared" si="145"/>
        <v>1192.2087760227714</v>
      </c>
      <c r="N77" s="197">
        <f t="shared" si="137"/>
        <v>-65.208776022771417</v>
      </c>
      <c r="O77" s="197">
        <f t="shared" si="138"/>
        <v>154.79122397722858</v>
      </c>
      <c r="P77" s="196">
        <f t="shared" si="146"/>
        <v>650.81441834017517</v>
      </c>
      <c r="Q77" s="197">
        <f t="shared" si="147"/>
        <v>127.04451822079727</v>
      </c>
      <c r="R77" s="197">
        <f t="shared" si="148"/>
        <v>688.47086167463362</v>
      </c>
      <c r="S77" s="197">
        <f t="shared" si="149"/>
        <v>-37.656443334458508</v>
      </c>
      <c r="T77" s="199">
        <f t="shared" si="150"/>
        <v>89.388074886338771</v>
      </c>
      <c r="U77" s="196">
        <f t="shared" si="151"/>
        <v>17251.744021048984</v>
      </c>
      <c r="V77" s="197">
        <f t="shared" si="151"/>
        <v>2543.8870444800655</v>
      </c>
      <c r="W77" s="197">
        <f t="shared" si="151"/>
        <v>15360.451538705343</v>
      </c>
      <c r="X77" s="197">
        <f t="shared" si="151"/>
        <v>1891.2924823436413</v>
      </c>
      <c r="Y77" s="199">
        <f t="shared" si="151"/>
        <v>4435.1795268237065</v>
      </c>
      <c r="AB77" s="204">
        <f t="shared" si="190"/>
        <v>15</v>
      </c>
      <c r="AC77" s="219" t="s">
        <v>5</v>
      </c>
      <c r="AD77" s="747">
        <f>'Arable Inputs'!$E$18+0.5*'Arable Inputs'!$E$18</f>
        <v>9.4499999999999993</v>
      </c>
      <c r="AE77" s="747">
        <f>'Arable Inputs'!$E$25</f>
        <v>140</v>
      </c>
      <c r="AF77" s="747">
        <f>'Arable Inputs'!$E$19+0.5*'Arable Inputs'!$E$19</f>
        <v>5.25</v>
      </c>
      <c r="AG77" s="747">
        <f>'Arable Inputs'!$E$26</f>
        <v>70</v>
      </c>
      <c r="AH77" s="749">
        <f>AD77*AE77+AF77*AG77</f>
        <v>1690.5</v>
      </c>
      <c r="AI77" s="197">
        <f>'Arable NPV'!$E157</f>
        <v>220</v>
      </c>
      <c r="AJ77" s="197">
        <f t="shared" si="139"/>
        <v>1910.5</v>
      </c>
      <c r="AK77" s="197">
        <f>'Arable NPV'!$G157</f>
        <v>418.54877602277168</v>
      </c>
      <c r="AL77" s="197">
        <f>'Arable NPV'!$H157</f>
        <v>773.65999999999985</v>
      </c>
      <c r="AM77" s="197">
        <f t="shared" si="152"/>
        <v>1192.2087760227714</v>
      </c>
      <c r="AN77" s="197">
        <f t="shared" si="140"/>
        <v>498.29122397722858</v>
      </c>
      <c r="AO77" s="197">
        <f t="shared" si="153"/>
        <v>718.29122397722858</v>
      </c>
      <c r="AP77" s="196">
        <f t="shared" si="154"/>
        <v>976.22162751026269</v>
      </c>
      <c r="AQ77" s="197">
        <f t="shared" si="155"/>
        <v>127.04451822079727</v>
      </c>
      <c r="AR77" s="197">
        <f t="shared" si="156"/>
        <v>688.47086167463362</v>
      </c>
      <c r="AS77" s="197">
        <f t="shared" si="157"/>
        <v>287.75076583562907</v>
      </c>
      <c r="AT77" s="199">
        <f t="shared" si="158"/>
        <v>414.79528405642634</v>
      </c>
      <c r="AU77" s="196">
        <f t="shared" si="159"/>
        <v>25877.616031573478</v>
      </c>
      <c r="AV77" s="197">
        <f t="shared" si="159"/>
        <v>2543.8870444800655</v>
      </c>
      <c r="AW77" s="197">
        <f t="shared" si="159"/>
        <v>15360.451538705343</v>
      </c>
      <c r="AX77" s="197">
        <f t="shared" si="159"/>
        <v>10517.164492868134</v>
      </c>
      <c r="AY77" s="199">
        <f t="shared" si="159"/>
        <v>13061.051537348199</v>
      </c>
      <c r="BB77" s="204">
        <f t="shared" si="191"/>
        <v>15</v>
      </c>
      <c r="BC77" s="219" t="s">
        <v>5</v>
      </c>
      <c r="BD77" s="747">
        <f>'Arable Inputs'!$E$18-0.5*'Arable Inputs'!$E$18</f>
        <v>3.15</v>
      </c>
      <c r="BE77" s="747">
        <f>'Arable Inputs'!$E$25</f>
        <v>140</v>
      </c>
      <c r="BF77" s="747">
        <f>'Arable Inputs'!$E$19-0.5*'Arable Inputs'!$E$19</f>
        <v>1.75</v>
      </c>
      <c r="BG77" s="747">
        <f>'Arable Inputs'!$E$26</f>
        <v>70</v>
      </c>
      <c r="BH77" s="749">
        <f>BD77*BE77+BF77*BG77</f>
        <v>563.5</v>
      </c>
      <c r="BI77" s="197">
        <f>'Arable NPV'!$E157</f>
        <v>220</v>
      </c>
      <c r="BJ77" s="197">
        <f t="shared" si="141"/>
        <v>783.5</v>
      </c>
      <c r="BK77" s="197">
        <f>'Arable NPV'!$G157</f>
        <v>418.54877602277168</v>
      </c>
      <c r="BL77" s="197">
        <f>'Arable NPV'!$H157</f>
        <v>773.65999999999985</v>
      </c>
      <c r="BM77" s="197">
        <f t="shared" si="160"/>
        <v>1192.2087760227714</v>
      </c>
      <c r="BN77" s="197">
        <f t="shared" si="142"/>
        <v>-628.70877602277142</v>
      </c>
      <c r="BO77" s="197">
        <f t="shared" si="161"/>
        <v>-408.70877602277142</v>
      </c>
      <c r="BP77" s="196">
        <f t="shared" si="162"/>
        <v>325.40720917008758</v>
      </c>
      <c r="BQ77" s="197">
        <f t="shared" si="163"/>
        <v>127.04451822079727</v>
      </c>
      <c r="BR77" s="197">
        <f t="shared" si="164"/>
        <v>688.47086167463362</v>
      </c>
      <c r="BS77" s="197">
        <f t="shared" si="165"/>
        <v>-363.06365250454604</v>
      </c>
      <c r="BT77" s="199">
        <f t="shared" si="166"/>
        <v>-236.0191342837488</v>
      </c>
      <c r="BU77" s="196">
        <f t="shared" si="167"/>
        <v>8625.872010524492</v>
      </c>
      <c r="BV77" s="197">
        <f t="shared" si="167"/>
        <v>2543.8870444800655</v>
      </c>
      <c r="BW77" s="197">
        <f t="shared" si="167"/>
        <v>15360.451538705343</v>
      </c>
      <c r="BX77" s="197">
        <f t="shared" si="167"/>
        <v>-6734.5795281808496</v>
      </c>
      <c r="BY77" s="199">
        <f t="shared" si="167"/>
        <v>-4190.6924837007855</v>
      </c>
      <c r="CB77" s="204">
        <f t="shared" si="192"/>
        <v>15</v>
      </c>
      <c r="CC77" s="219" t="s">
        <v>5</v>
      </c>
      <c r="CD77" s="747">
        <f>'Arable Inputs'!$E$18+'Arable Inputs'!$E$18</f>
        <v>12.6</v>
      </c>
      <c r="CE77" s="747">
        <f>'Arable Inputs'!$E$25</f>
        <v>140</v>
      </c>
      <c r="CF77" s="747">
        <f>'Arable Inputs'!$E$19+'Arable Inputs'!$E$19</f>
        <v>7</v>
      </c>
      <c r="CG77" s="747">
        <f>'Arable Inputs'!$E$26</f>
        <v>70</v>
      </c>
      <c r="CH77" s="749">
        <f>CD77*CE77+CF77*CG77</f>
        <v>2254</v>
      </c>
      <c r="CI77" s="197">
        <f>'Arable NPV'!$E157</f>
        <v>220</v>
      </c>
      <c r="CJ77" s="197">
        <f t="shared" si="168"/>
        <v>2474</v>
      </c>
      <c r="CK77" s="197">
        <f>'Arable NPV'!$G157</f>
        <v>418.54877602277168</v>
      </c>
      <c r="CL77" s="197">
        <f>'Arable NPV'!$H157</f>
        <v>773.65999999999985</v>
      </c>
      <c r="CM77" s="197">
        <f t="shared" si="169"/>
        <v>1192.2087760227714</v>
      </c>
      <c r="CN77" s="197">
        <f t="shared" si="170"/>
        <v>1061.7912239772286</v>
      </c>
      <c r="CO77" s="197">
        <f t="shared" si="171"/>
        <v>1281.7912239772286</v>
      </c>
      <c r="CP77" s="196">
        <f t="shared" si="172"/>
        <v>1301.6288366803503</v>
      </c>
      <c r="CQ77" s="197">
        <f t="shared" si="173"/>
        <v>127.04451822079727</v>
      </c>
      <c r="CR77" s="197">
        <f t="shared" si="174"/>
        <v>688.47086167463362</v>
      </c>
      <c r="CS77" s="197">
        <f t="shared" si="175"/>
        <v>613.15797500571659</v>
      </c>
      <c r="CT77" s="199">
        <f t="shared" si="176"/>
        <v>740.20249322651387</v>
      </c>
      <c r="CU77" s="196">
        <f t="shared" si="177"/>
        <v>34503.488042097968</v>
      </c>
      <c r="CV77" s="197">
        <f t="shared" si="177"/>
        <v>2543.8870444800655</v>
      </c>
      <c r="CW77" s="197">
        <f t="shared" si="177"/>
        <v>15360.451538705343</v>
      </c>
      <c r="CX77" s="197">
        <f t="shared" si="177"/>
        <v>19143.036503392625</v>
      </c>
      <c r="CY77" s="199">
        <f t="shared" si="178"/>
        <v>21686.923547872688</v>
      </c>
      <c r="DB77" s="204">
        <f t="shared" si="193"/>
        <v>15</v>
      </c>
      <c r="DC77" s="219" t="s">
        <v>5</v>
      </c>
      <c r="DD77" s="747">
        <f>'Arable Inputs'!$E$18-'Arable Inputs'!$E$18</f>
        <v>0</v>
      </c>
      <c r="DE77" s="747">
        <f>'Arable Inputs'!$E$25</f>
        <v>140</v>
      </c>
      <c r="DF77" s="747">
        <f>'Arable Inputs'!$E$19-'Arable Inputs'!$E$19</f>
        <v>0</v>
      </c>
      <c r="DG77" s="747">
        <f>'Arable Inputs'!$E$26</f>
        <v>70</v>
      </c>
      <c r="DH77" s="749">
        <f>DD77*DE77+DF77*DG77</f>
        <v>0</v>
      </c>
      <c r="DI77" s="197">
        <f>'Arable NPV'!$E157</f>
        <v>220</v>
      </c>
      <c r="DJ77" s="197">
        <f t="shared" si="179"/>
        <v>220</v>
      </c>
      <c r="DK77" s="197">
        <f>'Arable NPV'!$G157</f>
        <v>418.54877602277168</v>
      </c>
      <c r="DL77" s="197">
        <f>'Arable NPV'!$H157</f>
        <v>773.65999999999985</v>
      </c>
      <c r="DM77" s="197">
        <f t="shared" si="180"/>
        <v>1192.2087760227714</v>
      </c>
      <c r="DN77" s="197">
        <f t="shared" si="181"/>
        <v>-1192.2087760227714</v>
      </c>
      <c r="DO77" s="197">
        <f t="shared" si="182"/>
        <v>-972.20877602277142</v>
      </c>
      <c r="DP77" s="196">
        <f t="shared" si="183"/>
        <v>0</v>
      </c>
      <c r="DQ77" s="197">
        <f t="shared" si="184"/>
        <v>127.04451822079727</v>
      </c>
      <c r="DR77" s="197">
        <f t="shared" si="185"/>
        <v>688.47086167463362</v>
      </c>
      <c r="DS77" s="197">
        <f t="shared" si="186"/>
        <v>-688.47086167463362</v>
      </c>
      <c r="DT77" s="199">
        <f t="shared" si="187"/>
        <v>-561.42634345383635</v>
      </c>
      <c r="DU77" s="196">
        <f t="shared" si="188"/>
        <v>0</v>
      </c>
      <c r="DV77" s="197">
        <f t="shared" si="188"/>
        <v>2543.8870444800655</v>
      </c>
      <c r="DW77" s="197">
        <f t="shared" si="188"/>
        <v>15360.451538705343</v>
      </c>
      <c r="DX77" s="197">
        <f t="shared" si="188"/>
        <v>-15360.451538705343</v>
      </c>
      <c r="DY77" s="199">
        <f t="shared" si="188"/>
        <v>-12816.564494225278</v>
      </c>
    </row>
    <row r="78" spans="2:129" x14ac:dyDescent="0.3">
      <c r="B78" s="206">
        <f t="shared" si="189"/>
        <v>16</v>
      </c>
      <c r="C78" s="220" t="s">
        <v>4</v>
      </c>
      <c r="D78" s="748">
        <f>'Arable Inputs'!$D$18</f>
        <v>8.25</v>
      </c>
      <c r="E78" s="748">
        <f>'Arable Inputs'!$D$25</f>
        <v>162</v>
      </c>
      <c r="F78" s="748">
        <f>'Arable Inputs'!$D$19</f>
        <v>3.9</v>
      </c>
      <c r="G78" s="748">
        <f>'Arable Inputs'!$D$26</f>
        <v>65</v>
      </c>
      <c r="H78" s="749">
        <f>D78*E78+F78*G78</f>
        <v>1590</v>
      </c>
      <c r="I78" s="207">
        <f>'Arable NPV'!$E158</f>
        <v>220</v>
      </c>
      <c r="J78" s="207">
        <f t="shared" si="144"/>
        <v>1810</v>
      </c>
      <c r="K78" s="207">
        <f>'Arable NPV'!$G158</f>
        <v>684.46423508399835</v>
      </c>
      <c r="L78" s="207">
        <f>'Arable NPV'!$H158</f>
        <v>841.31999999999994</v>
      </c>
      <c r="M78" s="207">
        <f t="shared" si="145"/>
        <v>1525.7842350839983</v>
      </c>
      <c r="N78" s="207">
        <f t="shared" si="137"/>
        <v>64.215764916001717</v>
      </c>
      <c r="O78" s="207">
        <f t="shared" si="138"/>
        <v>284.21576491600172</v>
      </c>
      <c r="P78" s="208">
        <f t="shared" si="146"/>
        <v>882.87055931410691</v>
      </c>
      <c r="Q78" s="207">
        <f t="shared" si="147"/>
        <v>122.15819059692046</v>
      </c>
      <c r="R78" s="207">
        <f t="shared" si="148"/>
        <v>847.21382454167065</v>
      </c>
      <c r="S78" s="207">
        <f t="shared" si="149"/>
        <v>35.656734772436252</v>
      </c>
      <c r="T78" s="209">
        <f>O78/(1+$B$4)^(B78-1)</f>
        <v>157.8149253693567</v>
      </c>
      <c r="U78" s="208">
        <f t="shared" si="151"/>
        <v>18134.61458036309</v>
      </c>
      <c r="V78" s="207">
        <f t="shared" si="151"/>
        <v>2666.045235076986</v>
      </c>
      <c r="W78" s="207">
        <f t="shared" si="151"/>
        <v>16207.665363247013</v>
      </c>
      <c r="X78" s="207">
        <f t="shared" si="151"/>
        <v>1926.9492171160775</v>
      </c>
      <c r="Y78" s="209">
        <f t="shared" si="151"/>
        <v>4592.9944521930629</v>
      </c>
      <c r="AB78" s="206">
        <f t="shared" si="190"/>
        <v>16</v>
      </c>
      <c r="AC78" s="220" t="s">
        <v>4</v>
      </c>
      <c r="AD78" s="748">
        <f>'Arable Inputs'!$D$18+0.5*'Arable Inputs'!$D$18</f>
        <v>12.375</v>
      </c>
      <c r="AE78" s="748">
        <f>'Arable Inputs'!$D$25</f>
        <v>162</v>
      </c>
      <c r="AF78" s="748">
        <f>'Arable Inputs'!$D$19+0.5*'Arable Inputs'!$D$19</f>
        <v>5.85</v>
      </c>
      <c r="AG78" s="748">
        <f>'Arable Inputs'!$D$26</f>
        <v>65</v>
      </c>
      <c r="AH78" s="207">
        <f>AD78*AE78+AF78*AG78</f>
        <v>2385</v>
      </c>
      <c r="AI78" s="207">
        <f>'Arable NPV'!$E158</f>
        <v>220</v>
      </c>
      <c r="AJ78" s="207">
        <f t="shared" si="139"/>
        <v>2605</v>
      </c>
      <c r="AK78" s="207">
        <f>'Arable NPV'!$G158</f>
        <v>684.46423508399835</v>
      </c>
      <c r="AL78" s="207">
        <f>'Arable NPV'!$H158</f>
        <v>841.31999999999994</v>
      </c>
      <c r="AM78" s="207">
        <f t="shared" si="152"/>
        <v>1525.7842350839983</v>
      </c>
      <c r="AN78" s="207">
        <f t="shared" si="140"/>
        <v>859.21576491600172</v>
      </c>
      <c r="AO78" s="207">
        <f t="shared" si="153"/>
        <v>1079.2157649160017</v>
      </c>
      <c r="AP78" s="208">
        <f t="shared" si="154"/>
        <v>1324.3058389711605</v>
      </c>
      <c r="AQ78" s="207">
        <f t="shared" si="155"/>
        <v>122.15819059692046</v>
      </c>
      <c r="AR78" s="207">
        <f t="shared" si="156"/>
        <v>847.21382454167065</v>
      </c>
      <c r="AS78" s="207">
        <f t="shared" si="157"/>
        <v>477.09201442948972</v>
      </c>
      <c r="AT78" s="209">
        <f>AO78/(1+$B$4)^(AB78-1)</f>
        <v>599.25020502641019</v>
      </c>
      <c r="AU78" s="208">
        <f t="shared" si="159"/>
        <v>27201.92187054464</v>
      </c>
      <c r="AV78" s="207">
        <f t="shared" si="159"/>
        <v>2666.045235076986</v>
      </c>
      <c r="AW78" s="207">
        <f t="shared" si="159"/>
        <v>16207.665363247013</v>
      </c>
      <c r="AX78" s="207">
        <f t="shared" si="159"/>
        <v>10994.256507297625</v>
      </c>
      <c r="AY78" s="209">
        <f t="shared" si="159"/>
        <v>13660.30174237461</v>
      </c>
      <c r="BB78" s="206">
        <f t="shared" si="191"/>
        <v>16</v>
      </c>
      <c r="BC78" s="220" t="s">
        <v>4</v>
      </c>
      <c r="BD78" s="748">
        <f>'Arable Inputs'!$D$18-0.5*'Arable Inputs'!$D$18</f>
        <v>4.125</v>
      </c>
      <c r="BE78" s="748">
        <f>'Arable Inputs'!$D$25</f>
        <v>162</v>
      </c>
      <c r="BF78" s="748">
        <f>'Arable Inputs'!$D$19-0.5*'Arable Inputs'!$D$19</f>
        <v>1.95</v>
      </c>
      <c r="BG78" s="748">
        <f>'Arable Inputs'!$D$26</f>
        <v>65</v>
      </c>
      <c r="BH78" s="207">
        <f>BD78*BE78+BF78*BG78</f>
        <v>795</v>
      </c>
      <c r="BI78" s="207">
        <f>'Arable NPV'!$E158</f>
        <v>220</v>
      </c>
      <c r="BJ78" s="207">
        <f t="shared" si="141"/>
        <v>1015</v>
      </c>
      <c r="BK78" s="207">
        <f>'Arable NPV'!$G158</f>
        <v>684.46423508399835</v>
      </c>
      <c r="BL78" s="207">
        <f>'Arable NPV'!$H158</f>
        <v>841.31999999999994</v>
      </c>
      <c r="BM78" s="207">
        <f t="shared" si="160"/>
        <v>1525.7842350839983</v>
      </c>
      <c r="BN78" s="207">
        <f t="shared" si="142"/>
        <v>-730.78423508399828</v>
      </c>
      <c r="BO78" s="207">
        <f t="shared" si="161"/>
        <v>-510.78423508399828</v>
      </c>
      <c r="BP78" s="208">
        <f t="shared" si="162"/>
        <v>441.43527965705346</v>
      </c>
      <c r="BQ78" s="207">
        <f t="shared" si="163"/>
        <v>122.15819059692046</v>
      </c>
      <c r="BR78" s="207">
        <f t="shared" si="164"/>
        <v>847.21382454167065</v>
      </c>
      <c r="BS78" s="207">
        <f t="shared" si="165"/>
        <v>-405.77854488461719</v>
      </c>
      <c r="BT78" s="209">
        <f>BO78/(1+$B$4)^(BB78-1)</f>
        <v>-283.62035428769678</v>
      </c>
      <c r="BU78" s="208">
        <f t="shared" si="167"/>
        <v>9067.3072901815449</v>
      </c>
      <c r="BV78" s="207">
        <f t="shared" si="167"/>
        <v>2666.045235076986</v>
      </c>
      <c r="BW78" s="207">
        <f t="shared" si="167"/>
        <v>16207.665363247013</v>
      </c>
      <c r="BX78" s="207">
        <f t="shared" si="167"/>
        <v>-7140.3580730654667</v>
      </c>
      <c r="BY78" s="209">
        <f t="shared" si="167"/>
        <v>-4474.312837988482</v>
      </c>
      <c r="CB78" s="206">
        <f t="shared" si="192"/>
        <v>16</v>
      </c>
      <c r="CC78" s="220" t="s">
        <v>4</v>
      </c>
      <c r="CD78" s="748">
        <f>'Arable Inputs'!$D$18+'Arable Inputs'!$D$18</f>
        <v>16.5</v>
      </c>
      <c r="CE78" s="748">
        <f>'Arable Inputs'!$D$25</f>
        <v>162</v>
      </c>
      <c r="CF78" s="748">
        <f>'Arable Inputs'!$D$19+'Arable Inputs'!$D$19</f>
        <v>7.8</v>
      </c>
      <c r="CG78" s="748">
        <f>'Arable Inputs'!$D$26</f>
        <v>65</v>
      </c>
      <c r="CH78" s="207">
        <f>CD78*CE78+CF78*CG78</f>
        <v>3180</v>
      </c>
      <c r="CI78" s="207">
        <f>'Arable NPV'!$E158</f>
        <v>220</v>
      </c>
      <c r="CJ78" s="207">
        <f t="shared" si="168"/>
        <v>3400</v>
      </c>
      <c r="CK78" s="207">
        <f>'Arable NPV'!$G158</f>
        <v>684.46423508399835</v>
      </c>
      <c r="CL78" s="207">
        <f>'Arable NPV'!$H158</f>
        <v>841.31999999999994</v>
      </c>
      <c r="CM78" s="207">
        <f t="shared" si="169"/>
        <v>1525.7842350839983</v>
      </c>
      <c r="CN78" s="207">
        <f t="shared" si="170"/>
        <v>1654.2157649160017</v>
      </c>
      <c r="CO78" s="207">
        <f t="shared" si="171"/>
        <v>1874.2157649160017</v>
      </c>
      <c r="CP78" s="208">
        <f t="shared" si="172"/>
        <v>1765.7411186282138</v>
      </c>
      <c r="CQ78" s="207">
        <f t="shared" si="173"/>
        <v>122.15819059692046</v>
      </c>
      <c r="CR78" s="207">
        <f t="shared" si="174"/>
        <v>847.21382454167065</v>
      </c>
      <c r="CS78" s="207">
        <f t="shared" si="175"/>
        <v>918.52729408654318</v>
      </c>
      <c r="CT78" s="209">
        <f>CO78/(1+$B$4)^(CB78-1)</f>
        <v>1040.6854846834638</v>
      </c>
      <c r="CU78" s="208">
        <f t="shared" si="177"/>
        <v>36269.22916072618</v>
      </c>
      <c r="CV78" s="207">
        <f t="shared" si="177"/>
        <v>2666.045235076986</v>
      </c>
      <c r="CW78" s="207">
        <f t="shared" si="177"/>
        <v>16207.665363247013</v>
      </c>
      <c r="CX78" s="207">
        <f t="shared" si="177"/>
        <v>20061.563797479168</v>
      </c>
      <c r="CY78" s="209">
        <f t="shared" si="178"/>
        <v>22727.609032556153</v>
      </c>
      <c r="DB78" s="206">
        <f t="shared" si="193"/>
        <v>16</v>
      </c>
      <c r="DC78" s="220" t="s">
        <v>4</v>
      </c>
      <c r="DD78" s="748">
        <f>'Arable Inputs'!$D$18-'Arable Inputs'!$D$18</f>
        <v>0</v>
      </c>
      <c r="DE78" s="748">
        <f>'Arable Inputs'!$D$25</f>
        <v>162</v>
      </c>
      <c r="DF78" s="748">
        <f>'Arable Inputs'!$D$19-'Arable Inputs'!$D$19</f>
        <v>0</v>
      </c>
      <c r="DG78" s="748">
        <f>'Arable Inputs'!$D$26</f>
        <v>65</v>
      </c>
      <c r="DH78" s="207">
        <f>DD78*DE78+DF78*DG78</f>
        <v>0</v>
      </c>
      <c r="DI78" s="207">
        <f>'Arable NPV'!$E158</f>
        <v>220</v>
      </c>
      <c r="DJ78" s="207">
        <f t="shared" si="179"/>
        <v>220</v>
      </c>
      <c r="DK78" s="207">
        <f>'Arable NPV'!$G158</f>
        <v>684.46423508399835</v>
      </c>
      <c r="DL78" s="207">
        <f>'Arable NPV'!$H158</f>
        <v>841.31999999999994</v>
      </c>
      <c r="DM78" s="207">
        <f t="shared" si="180"/>
        <v>1525.7842350839983</v>
      </c>
      <c r="DN78" s="207">
        <f t="shared" si="181"/>
        <v>-1525.7842350839983</v>
      </c>
      <c r="DO78" s="207">
        <f t="shared" si="182"/>
        <v>-1305.7842350839983</v>
      </c>
      <c r="DP78" s="208">
        <f t="shared" si="183"/>
        <v>0</v>
      </c>
      <c r="DQ78" s="207">
        <f t="shared" si="184"/>
        <v>122.15819059692046</v>
      </c>
      <c r="DR78" s="207">
        <f t="shared" si="185"/>
        <v>847.21382454167065</v>
      </c>
      <c r="DS78" s="207">
        <f t="shared" si="186"/>
        <v>-847.21382454167065</v>
      </c>
      <c r="DT78" s="209">
        <f>DO78/(1+$B$4)^(DB78-1)</f>
        <v>-725.05563394475018</v>
      </c>
      <c r="DU78" s="208">
        <f t="shared" si="188"/>
        <v>0</v>
      </c>
      <c r="DV78" s="207">
        <f t="shared" si="188"/>
        <v>2666.045235076986</v>
      </c>
      <c r="DW78" s="207">
        <f t="shared" si="188"/>
        <v>16207.665363247013</v>
      </c>
      <c r="DX78" s="207">
        <f t="shared" si="188"/>
        <v>-16207.665363247013</v>
      </c>
      <c r="DY78" s="209">
        <f t="shared" si="188"/>
        <v>-13541.620128170029</v>
      </c>
    </row>
    <row r="84" spans="2:175" x14ac:dyDescent="0.3">
      <c r="B84" s="211" t="s">
        <v>94</v>
      </c>
      <c r="C84" s="750" t="s">
        <v>431</v>
      </c>
      <c r="D84" s="269" t="s">
        <v>418</v>
      </c>
      <c r="E84" s="887">
        <v>1</v>
      </c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Y84" s="102"/>
      <c r="Z84" s="211" t="s">
        <v>94</v>
      </c>
      <c r="AA84" s="211" t="s">
        <v>336</v>
      </c>
      <c r="AB84" s="887">
        <v>1.5</v>
      </c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94</v>
      </c>
      <c r="AY84" s="211" t="s">
        <v>337</v>
      </c>
      <c r="AZ84" s="887">
        <v>0.5</v>
      </c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94</v>
      </c>
      <c r="BW84" s="211" t="s">
        <v>338</v>
      </c>
      <c r="BX84" s="887">
        <v>2</v>
      </c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94</v>
      </c>
      <c r="CU84" s="211" t="s">
        <v>339</v>
      </c>
      <c r="CV84" s="887">
        <v>0</v>
      </c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Z84" s="102"/>
      <c r="EA84" s="102"/>
      <c r="EB84" s="102"/>
      <c r="EC84" s="102"/>
      <c r="ED84" s="102"/>
      <c r="EE84" s="102"/>
      <c r="EF84" s="102"/>
      <c r="EG84" s="102"/>
      <c r="EH84" s="102"/>
      <c r="EI84" s="102"/>
      <c r="EJ84" s="102"/>
      <c r="FI84" s="102"/>
      <c r="FJ84" s="102"/>
      <c r="FK84" s="102"/>
      <c r="FL84" s="102"/>
      <c r="FM84" s="102"/>
      <c r="FN84" s="102"/>
      <c r="FO84" s="102"/>
      <c r="FP84" s="102"/>
      <c r="FQ84" s="102"/>
      <c r="FR84" s="102"/>
      <c r="FS84" s="102"/>
    </row>
    <row r="85" spans="2:175" x14ac:dyDescent="0.3">
      <c r="B85" s="203"/>
      <c r="C85" s="148"/>
      <c r="D85" s="148"/>
      <c r="E85" s="970"/>
      <c r="F85" s="970"/>
      <c r="G85" s="970"/>
      <c r="H85" s="148"/>
      <c r="I85" s="910"/>
      <c r="J85" s="970"/>
      <c r="K85" s="970"/>
      <c r="L85" s="148"/>
      <c r="M85" s="148"/>
      <c r="N85" s="971" t="s">
        <v>279</v>
      </c>
      <c r="O85" s="972"/>
      <c r="P85" s="972"/>
      <c r="Q85" s="972"/>
      <c r="R85" s="973"/>
      <c r="S85" s="971" t="s">
        <v>280</v>
      </c>
      <c r="T85" s="972"/>
      <c r="U85" s="972"/>
      <c r="V85" s="972"/>
      <c r="W85" s="973"/>
      <c r="Z85" s="203"/>
      <c r="AA85" s="148"/>
      <c r="AB85" s="148"/>
      <c r="AC85" s="970"/>
      <c r="AD85" s="970"/>
      <c r="AE85" s="970"/>
      <c r="AF85" s="148"/>
      <c r="AG85" s="910"/>
      <c r="AH85" s="970"/>
      <c r="AI85" s="970"/>
      <c r="AJ85" s="148"/>
      <c r="AK85" s="148"/>
      <c r="AL85" s="971" t="s">
        <v>279</v>
      </c>
      <c r="AM85" s="972"/>
      <c r="AN85" s="972"/>
      <c r="AO85" s="972"/>
      <c r="AP85" s="973"/>
      <c r="AQ85" s="971" t="s">
        <v>280</v>
      </c>
      <c r="AR85" s="972"/>
      <c r="AS85" s="972"/>
      <c r="AT85" s="972"/>
      <c r="AU85" s="973"/>
      <c r="AX85" s="203"/>
      <c r="AY85" s="148"/>
      <c r="AZ85" s="148"/>
      <c r="BA85" s="970"/>
      <c r="BB85" s="970"/>
      <c r="BC85" s="970"/>
      <c r="BD85" s="148"/>
      <c r="BE85" s="910"/>
      <c r="BF85" s="970"/>
      <c r="BG85" s="970"/>
      <c r="BH85" s="148"/>
      <c r="BI85" s="148"/>
      <c r="BJ85" s="971" t="s">
        <v>279</v>
      </c>
      <c r="BK85" s="972"/>
      <c r="BL85" s="972"/>
      <c r="BM85" s="972"/>
      <c r="BN85" s="973"/>
      <c r="BO85" s="971" t="s">
        <v>280</v>
      </c>
      <c r="BP85" s="972"/>
      <c r="BQ85" s="972"/>
      <c r="BR85" s="972"/>
      <c r="BS85" s="973"/>
      <c r="BV85" s="203"/>
      <c r="BW85" s="148"/>
      <c r="BX85" s="148"/>
      <c r="BY85" s="970"/>
      <c r="BZ85" s="970"/>
      <c r="CA85" s="970"/>
      <c r="CB85" s="148"/>
      <c r="CC85" s="910"/>
      <c r="CD85" s="970"/>
      <c r="CE85" s="970"/>
      <c r="CF85" s="148"/>
      <c r="CG85" s="148"/>
      <c r="CH85" s="971" t="s">
        <v>279</v>
      </c>
      <c r="CI85" s="972"/>
      <c r="CJ85" s="972"/>
      <c r="CK85" s="972"/>
      <c r="CL85" s="973"/>
      <c r="CM85" s="971" t="s">
        <v>280</v>
      </c>
      <c r="CN85" s="972"/>
      <c r="CO85" s="972"/>
      <c r="CP85" s="972"/>
      <c r="CQ85" s="973"/>
      <c r="CT85" s="203"/>
      <c r="CU85" s="148"/>
      <c r="CV85" s="148"/>
      <c r="CW85" s="970"/>
      <c r="CX85" s="970"/>
      <c r="CY85" s="970"/>
      <c r="CZ85" s="148"/>
      <c r="DA85" s="910"/>
      <c r="DB85" s="970"/>
      <c r="DC85" s="970"/>
      <c r="DD85" s="148"/>
      <c r="DE85" s="148"/>
      <c r="DF85" s="971" t="s">
        <v>279</v>
      </c>
      <c r="DG85" s="972"/>
      <c r="DH85" s="972"/>
      <c r="DI85" s="972"/>
      <c r="DJ85" s="973"/>
      <c r="DK85" s="971" t="s">
        <v>280</v>
      </c>
      <c r="DL85" s="972"/>
      <c r="DM85" s="972"/>
      <c r="DN85" s="972"/>
      <c r="DO85" s="973"/>
    </row>
    <row r="86" spans="2:175" ht="51" x14ac:dyDescent="0.3">
      <c r="B86" s="204" t="s">
        <v>281</v>
      </c>
      <c r="C86" s="205" t="s">
        <v>307</v>
      </c>
      <c r="D86" s="205" t="s">
        <v>308</v>
      </c>
      <c r="E86" s="171" t="s">
        <v>283</v>
      </c>
      <c r="F86" s="171" t="s">
        <v>10</v>
      </c>
      <c r="G86" s="171" t="s">
        <v>284</v>
      </c>
      <c r="H86" s="205" t="s">
        <v>305</v>
      </c>
      <c r="I86" s="914" t="str">
        <f>'Energy NPV'!U11</f>
        <v>Total Recurring Costs</v>
      </c>
      <c r="J86" s="205" t="s">
        <v>309</v>
      </c>
      <c r="K86" s="171" t="s">
        <v>287</v>
      </c>
      <c r="L86" s="171" t="s">
        <v>288</v>
      </c>
      <c r="M86" s="171" t="s">
        <v>289</v>
      </c>
      <c r="N86" s="195" t="s">
        <v>290</v>
      </c>
      <c r="O86" s="171" t="s">
        <v>291</v>
      </c>
      <c r="P86" s="171" t="s">
        <v>292</v>
      </c>
      <c r="Q86" s="171" t="s">
        <v>293</v>
      </c>
      <c r="R86" s="198" t="s">
        <v>294</v>
      </c>
      <c r="S86" s="195" t="s">
        <v>295</v>
      </c>
      <c r="T86" s="171" t="s">
        <v>296</v>
      </c>
      <c r="U86" s="171" t="s">
        <v>297</v>
      </c>
      <c r="V86" s="171" t="s">
        <v>298</v>
      </c>
      <c r="W86" s="198" t="s">
        <v>299</v>
      </c>
      <c r="Z86" s="204" t="s">
        <v>281</v>
      </c>
      <c r="AA86" s="205" t="s">
        <v>307</v>
      </c>
      <c r="AB86" s="205" t="s">
        <v>308</v>
      </c>
      <c r="AC86" s="171" t="s">
        <v>283</v>
      </c>
      <c r="AD86" s="171" t="s">
        <v>10</v>
      </c>
      <c r="AE86" s="171" t="s">
        <v>284</v>
      </c>
      <c r="AF86" s="205" t="s">
        <v>305</v>
      </c>
      <c r="AG86" s="914" t="str">
        <f>'Energy NPV'!U11</f>
        <v>Total Recurring Costs</v>
      </c>
      <c r="AH86" s="205" t="s">
        <v>309</v>
      </c>
      <c r="AI86" s="171" t="s">
        <v>287</v>
      </c>
      <c r="AJ86" s="171" t="s">
        <v>288</v>
      </c>
      <c r="AK86" s="171" t="s">
        <v>289</v>
      </c>
      <c r="AL86" s="195" t="s">
        <v>290</v>
      </c>
      <c r="AM86" s="171" t="s">
        <v>291</v>
      </c>
      <c r="AN86" s="171" t="s">
        <v>292</v>
      </c>
      <c r="AO86" s="171" t="s">
        <v>293</v>
      </c>
      <c r="AP86" s="198" t="s">
        <v>294</v>
      </c>
      <c r="AQ86" s="195" t="s">
        <v>295</v>
      </c>
      <c r="AR86" s="171" t="s">
        <v>296</v>
      </c>
      <c r="AS86" s="171" t="s">
        <v>297</v>
      </c>
      <c r="AT86" s="171" t="s">
        <v>298</v>
      </c>
      <c r="AU86" s="198" t="s">
        <v>299</v>
      </c>
      <c r="AX86" s="204" t="s">
        <v>281</v>
      </c>
      <c r="AY86" s="205" t="s">
        <v>307</v>
      </c>
      <c r="AZ86" s="205" t="s">
        <v>308</v>
      </c>
      <c r="BA86" s="171" t="s">
        <v>283</v>
      </c>
      <c r="BB86" s="171" t="s">
        <v>10</v>
      </c>
      <c r="BC86" s="171" t="s">
        <v>284</v>
      </c>
      <c r="BD86" s="205" t="s">
        <v>305</v>
      </c>
      <c r="BE86" s="914" t="str">
        <f>'Energy NPV'!U11</f>
        <v>Total Recurring Costs</v>
      </c>
      <c r="BF86" s="205" t="s">
        <v>309</v>
      </c>
      <c r="BG86" s="171" t="s">
        <v>287</v>
      </c>
      <c r="BH86" s="171" t="s">
        <v>288</v>
      </c>
      <c r="BI86" s="171" t="s">
        <v>289</v>
      </c>
      <c r="BJ86" s="195" t="s">
        <v>290</v>
      </c>
      <c r="BK86" s="171" t="s">
        <v>291</v>
      </c>
      <c r="BL86" s="171" t="s">
        <v>292</v>
      </c>
      <c r="BM86" s="171" t="s">
        <v>293</v>
      </c>
      <c r="BN86" s="198" t="s">
        <v>294</v>
      </c>
      <c r="BO86" s="195" t="s">
        <v>295</v>
      </c>
      <c r="BP86" s="171" t="s">
        <v>296</v>
      </c>
      <c r="BQ86" s="171" t="s">
        <v>297</v>
      </c>
      <c r="BR86" s="171" t="s">
        <v>298</v>
      </c>
      <c r="BS86" s="198" t="s">
        <v>299</v>
      </c>
      <c r="BV86" s="204" t="s">
        <v>281</v>
      </c>
      <c r="BW86" s="205" t="s">
        <v>307</v>
      </c>
      <c r="BX86" s="205" t="s">
        <v>308</v>
      </c>
      <c r="BY86" s="171" t="s">
        <v>283</v>
      </c>
      <c r="BZ86" s="171" t="s">
        <v>10</v>
      </c>
      <c r="CA86" s="171" t="s">
        <v>284</v>
      </c>
      <c r="CB86" s="205" t="s">
        <v>305</v>
      </c>
      <c r="CC86" s="914" t="str">
        <f>'Energy NPV'!U11</f>
        <v>Total Recurring Costs</v>
      </c>
      <c r="CD86" s="205" t="s">
        <v>309</v>
      </c>
      <c r="CE86" s="171" t="s">
        <v>287</v>
      </c>
      <c r="CF86" s="171" t="s">
        <v>288</v>
      </c>
      <c r="CG86" s="171" t="s">
        <v>289</v>
      </c>
      <c r="CH86" s="195" t="s">
        <v>290</v>
      </c>
      <c r="CI86" s="171" t="s">
        <v>291</v>
      </c>
      <c r="CJ86" s="171" t="s">
        <v>292</v>
      </c>
      <c r="CK86" s="171" t="s">
        <v>293</v>
      </c>
      <c r="CL86" s="198" t="s">
        <v>294</v>
      </c>
      <c r="CM86" s="195" t="s">
        <v>295</v>
      </c>
      <c r="CN86" s="171" t="s">
        <v>296</v>
      </c>
      <c r="CO86" s="171" t="s">
        <v>297</v>
      </c>
      <c r="CP86" s="171" t="s">
        <v>298</v>
      </c>
      <c r="CQ86" s="198" t="s">
        <v>299</v>
      </c>
      <c r="CT86" s="204" t="s">
        <v>281</v>
      </c>
      <c r="CU86" s="205" t="s">
        <v>307</v>
      </c>
      <c r="CV86" s="205" t="s">
        <v>308</v>
      </c>
      <c r="CW86" s="171" t="s">
        <v>283</v>
      </c>
      <c r="CX86" s="171" t="s">
        <v>10</v>
      </c>
      <c r="CY86" s="171" t="s">
        <v>284</v>
      </c>
      <c r="CZ86" s="205" t="s">
        <v>305</v>
      </c>
      <c r="DA86" s="914" t="str">
        <f>'Energy NPV'!U11</f>
        <v>Total Recurring Costs</v>
      </c>
      <c r="DB86" s="205" t="s">
        <v>309</v>
      </c>
      <c r="DC86" s="171" t="s">
        <v>287</v>
      </c>
      <c r="DD86" s="171" t="s">
        <v>288</v>
      </c>
      <c r="DE86" s="171" t="s">
        <v>289</v>
      </c>
      <c r="DF86" s="195" t="s">
        <v>290</v>
      </c>
      <c r="DG86" s="171" t="s">
        <v>291</v>
      </c>
      <c r="DH86" s="171" t="s">
        <v>292</v>
      </c>
      <c r="DI86" s="171" t="s">
        <v>293</v>
      </c>
      <c r="DJ86" s="198" t="s">
        <v>294</v>
      </c>
      <c r="DK86" s="195" t="s">
        <v>295</v>
      </c>
      <c r="DL86" s="171" t="s">
        <v>296</v>
      </c>
      <c r="DM86" s="171" t="s">
        <v>297</v>
      </c>
      <c r="DN86" s="171" t="s">
        <v>298</v>
      </c>
      <c r="DO86" s="198" t="s">
        <v>299</v>
      </c>
    </row>
    <row r="87" spans="2:175" x14ac:dyDescent="0.3">
      <c r="B87" s="173"/>
      <c r="C87" s="226" t="s">
        <v>356</v>
      </c>
      <c r="D87" s="226" t="s">
        <v>476</v>
      </c>
      <c r="E87" s="201" t="s">
        <v>474</v>
      </c>
      <c r="F87" s="201" t="s">
        <v>474</v>
      </c>
      <c r="G87" s="201" t="s">
        <v>474</v>
      </c>
      <c r="H87" s="201" t="s">
        <v>474</v>
      </c>
      <c r="I87" s="948" t="str">
        <f>'Energy NPV'!U12</f>
        <v>(£ ha-1)</v>
      </c>
      <c r="J87" s="201" t="s">
        <v>474</v>
      </c>
      <c r="K87" s="201" t="s">
        <v>474</v>
      </c>
      <c r="L87" s="201" t="s">
        <v>474</v>
      </c>
      <c r="M87" s="202" t="s">
        <v>474</v>
      </c>
      <c r="N87" s="201" t="s">
        <v>474</v>
      </c>
      <c r="O87" s="201" t="s">
        <v>474</v>
      </c>
      <c r="P87" s="201" t="s">
        <v>474</v>
      </c>
      <c r="Q87" s="201" t="s">
        <v>474</v>
      </c>
      <c r="R87" s="202" t="s">
        <v>474</v>
      </c>
      <c r="S87" s="201" t="s">
        <v>474</v>
      </c>
      <c r="T87" s="201" t="s">
        <v>474</v>
      </c>
      <c r="U87" s="201" t="s">
        <v>474</v>
      </c>
      <c r="V87" s="201" t="s">
        <v>474</v>
      </c>
      <c r="W87" s="202" t="s">
        <v>474</v>
      </c>
      <c r="Z87" s="173"/>
      <c r="AA87" s="226" t="s">
        <v>356</v>
      </c>
      <c r="AB87" s="226" t="s">
        <v>476</v>
      </c>
      <c r="AC87" s="201" t="s">
        <v>474</v>
      </c>
      <c r="AD87" s="201" t="s">
        <v>474</v>
      </c>
      <c r="AE87" s="201" t="s">
        <v>474</v>
      </c>
      <c r="AF87" s="201" t="s">
        <v>474</v>
      </c>
      <c r="AG87" s="948" t="str">
        <f>'Energy NPV'!U12</f>
        <v>(£ ha-1)</v>
      </c>
      <c r="AH87" s="201" t="s">
        <v>474</v>
      </c>
      <c r="AI87" s="201" t="s">
        <v>474</v>
      </c>
      <c r="AJ87" s="201" t="s">
        <v>474</v>
      </c>
      <c r="AK87" s="202" t="s">
        <v>474</v>
      </c>
      <c r="AL87" s="201" t="s">
        <v>474</v>
      </c>
      <c r="AM87" s="201" t="s">
        <v>474</v>
      </c>
      <c r="AN87" s="201" t="s">
        <v>474</v>
      </c>
      <c r="AO87" s="201" t="s">
        <v>474</v>
      </c>
      <c r="AP87" s="202" t="s">
        <v>474</v>
      </c>
      <c r="AQ87" s="201" t="s">
        <v>474</v>
      </c>
      <c r="AR87" s="201" t="s">
        <v>474</v>
      </c>
      <c r="AS87" s="201" t="s">
        <v>474</v>
      </c>
      <c r="AT87" s="201" t="s">
        <v>474</v>
      </c>
      <c r="AU87" s="202" t="s">
        <v>474</v>
      </c>
      <c r="AX87" s="173"/>
      <c r="AY87" s="226" t="s">
        <v>356</v>
      </c>
      <c r="AZ87" s="226" t="s">
        <v>476</v>
      </c>
      <c r="BA87" s="201" t="s">
        <v>474</v>
      </c>
      <c r="BB87" s="201" t="s">
        <v>474</v>
      </c>
      <c r="BC87" s="201" t="s">
        <v>474</v>
      </c>
      <c r="BD87" s="201" t="s">
        <v>474</v>
      </c>
      <c r="BE87" s="948" t="str">
        <f>'Energy NPV'!U12</f>
        <v>(£ ha-1)</v>
      </c>
      <c r="BF87" s="201" t="s">
        <v>474</v>
      </c>
      <c r="BG87" s="201" t="s">
        <v>474</v>
      </c>
      <c r="BH87" s="201" t="s">
        <v>474</v>
      </c>
      <c r="BI87" s="202" t="s">
        <v>474</v>
      </c>
      <c r="BJ87" s="201" t="s">
        <v>474</v>
      </c>
      <c r="BK87" s="201" t="s">
        <v>474</v>
      </c>
      <c r="BL87" s="201" t="s">
        <v>474</v>
      </c>
      <c r="BM87" s="201" t="s">
        <v>474</v>
      </c>
      <c r="BN87" s="202" t="s">
        <v>474</v>
      </c>
      <c r="BO87" s="201" t="s">
        <v>474</v>
      </c>
      <c r="BP87" s="201" t="s">
        <v>474</v>
      </c>
      <c r="BQ87" s="201" t="s">
        <v>474</v>
      </c>
      <c r="BR87" s="201" t="s">
        <v>474</v>
      </c>
      <c r="BS87" s="202" t="s">
        <v>474</v>
      </c>
      <c r="BV87" s="173"/>
      <c r="BW87" s="226" t="s">
        <v>356</v>
      </c>
      <c r="BX87" s="226" t="s">
        <v>476</v>
      </c>
      <c r="BY87" s="201" t="s">
        <v>474</v>
      </c>
      <c r="BZ87" s="201" t="s">
        <v>474</v>
      </c>
      <c r="CA87" s="201" t="s">
        <v>474</v>
      </c>
      <c r="CB87" s="201" t="s">
        <v>474</v>
      </c>
      <c r="CC87" s="948" t="str">
        <f>'Energy NPV'!U12</f>
        <v>(£ ha-1)</v>
      </c>
      <c r="CD87" s="201" t="s">
        <v>474</v>
      </c>
      <c r="CE87" s="201" t="s">
        <v>474</v>
      </c>
      <c r="CF87" s="201" t="s">
        <v>474</v>
      </c>
      <c r="CG87" s="202" t="s">
        <v>474</v>
      </c>
      <c r="CH87" s="201" t="s">
        <v>474</v>
      </c>
      <c r="CI87" s="201" t="s">
        <v>474</v>
      </c>
      <c r="CJ87" s="201" t="s">
        <v>474</v>
      </c>
      <c r="CK87" s="201" t="s">
        <v>474</v>
      </c>
      <c r="CL87" s="202" t="s">
        <v>474</v>
      </c>
      <c r="CM87" s="201" t="s">
        <v>474</v>
      </c>
      <c r="CN87" s="201" t="s">
        <v>474</v>
      </c>
      <c r="CO87" s="201" t="s">
        <v>474</v>
      </c>
      <c r="CP87" s="201" t="s">
        <v>474</v>
      </c>
      <c r="CQ87" s="202" t="s">
        <v>474</v>
      </c>
      <c r="CT87" s="173"/>
      <c r="CU87" s="226" t="s">
        <v>356</v>
      </c>
      <c r="CV87" s="226" t="s">
        <v>476</v>
      </c>
      <c r="CW87" s="201" t="s">
        <v>474</v>
      </c>
      <c r="CX87" s="201" t="s">
        <v>474</v>
      </c>
      <c r="CY87" s="201" t="s">
        <v>474</v>
      </c>
      <c r="CZ87" s="201" t="s">
        <v>474</v>
      </c>
      <c r="DA87" s="948" t="str">
        <f>'Energy NPV'!U12</f>
        <v>(£ ha-1)</v>
      </c>
      <c r="DB87" s="201" t="s">
        <v>474</v>
      </c>
      <c r="DC87" s="201" t="s">
        <v>474</v>
      </c>
      <c r="DD87" s="201" t="s">
        <v>474</v>
      </c>
      <c r="DE87" s="202" t="s">
        <v>474</v>
      </c>
      <c r="DF87" s="201" t="s">
        <v>474</v>
      </c>
      <c r="DG87" s="201" t="s">
        <v>474</v>
      </c>
      <c r="DH87" s="201" t="s">
        <v>474</v>
      </c>
      <c r="DI87" s="201" t="s">
        <v>474</v>
      </c>
      <c r="DJ87" s="202" t="s">
        <v>474</v>
      </c>
      <c r="DK87" s="201" t="s">
        <v>474</v>
      </c>
      <c r="DL87" s="201" t="s">
        <v>474</v>
      </c>
      <c r="DM87" s="201" t="s">
        <v>474</v>
      </c>
      <c r="DN87" s="201" t="s">
        <v>474</v>
      </c>
      <c r="DO87" s="202" t="s">
        <v>474</v>
      </c>
    </row>
    <row r="88" spans="2:175" x14ac:dyDescent="0.3">
      <c r="B88" s="204">
        <v>1</v>
      </c>
      <c r="C88" s="746">
        <f>'Energy NPV'!$D13*$E$84</f>
        <v>0</v>
      </c>
      <c r="D88" s="197">
        <f>'Energy margins'!$E$12</f>
        <v>55</v>
      </c>
      <c r="E88" s="197">
        <f>C88*D88</f>
        <v>0</v>
      </c>
      <c r="F88" s="197">
        <f>'Margins summary'!$Q$14</f>
        <v>220</v>
      </c>
      <c r="G88" s="197">
        <f>E88+F88</f>
        <v>220</v>
      </c>
      <c r="H88" s="197">
        <f>'Margins summary'!$P$20</f>
        <v>1642.4049999999997</v>
      </c>
      <c r="I88" s="897">
        <f>'Energy NPV'!U13</f>
        <v>0</v>
      </c>
      <c r="J88" s="197"/>
      <c r="K88" s="197">
        <f t="shared" ref="K88:K103" si="194">H88+I88+J88</f>
        <v>1642.4049999999997</v>
      </c>
      <c r="L88" s="197">
        <f t="shared" ref="L88:L103" si="195">E88-K88</f>
        <v>-1642.4049999999997</v>
      </c>
      <c r="M88" s="197">
        <f t="shared" ref="M88:M103" si="196">G88-K88</f>
        <v>-1422.4049999999997</v>
      </c>
      <c r="N88" s="1007">
        <f>E88/((1+$B$4)^($B88-1))</f>
        <v>0</v>
      </c>
      <c r="O88" s="1010">
        <f>F88/((1+$B$4)^($B88-1))</f>
        <v>220</v>
      </c>
      <c r="P88" s="1010">
        <f>K88/((1+$B$4)^($B88-1))</f>
        <v>1642.4049999999997</v>
      </c>
      <c r="Q88" s="1010">
        <f>L88/((1+$B$4)^($B88-1))</f>
        <v>-1642.4049999999997</v>
      </c>
      <c r="R88" s="1012">
        <f>M88/((1+$B$4)^($B88-1))</f>
        <v>-1422.4049999999997</v>
      </c>
      <c r="S88" s="196">
        <f>N88</f>
        <v>0</v>
      </c>
      <c r="T88" s="197">
        <f>O88</f>
        <v>220</v>
      </c>
      <c r="U88" s="197">
        <f>P88</f>
        <v>1642.4049999999997</v>
      </c>
      <c r="V88" s="197">
        <f>Q88</f>
        <v>-1642.4049999999997</v>
      </c>
      <c r="W88" s="199">
        <f>R88</f>
        <v>-1422.4049999999997</v>
      </c>
      <c r="Z88" s="204">
        <v>1</v>
      </c>
      <c r="AA88" s="746">
        <f>'Energy NPV'!$D13*$AB$84</f>
        <v>0</v>
      </c>
      <c r="AB88" s="197">
        <f>'Energy margins'!$E$12</f>
        <v>55</v>
      </c>
      <c r="AC88" s="197">
        <f>AA88*AB88</f>
        <v>0</v>
      </c>
      <c r="AD88" s="197">
        <f>'Margins summary'!$Q$14</f>
        <v>220</v>
      </c>
      <c r="AE88" s="197">
        <f>AC88+AD88</f>
        <v>220</v>
      </c>
      <c r="AF88" s="197">
        <f>'Margins summary'!$P$20</f>
        <v>1642.4049999999997</v>
      </c>
      <c r="AG88" s="897">
        <f>'Energy NPV'!U13</f>
        <v>0</v>
      </c>
      <c r="AH88" s="197"/>
      <c r="AI88" s="197">
        <f t="shared" ref="AI88:AI103" si="197">AF88+AG88+AH88</f>
        <v>1642.4049999999997</v>
      </c>
      <c r="AJ88" s="197">
        <f t="shared" ref="AJ88:AJ103" si="198">AC88-AI88</f>
        <v>-1642.4049999999997</v>
      </c>
      <c r="AK88" s="197">
        <f t="shared" ref="AK88:AK103" si="199">AE88-AI88</f>
        <v>-1422.4049999999997</v>
      </c>
      <c r="AL88" s="1007">
        <f>AC88/((1+$B$4)^($Z88-1))</f>
        <v>0</v>
      </c>
      <c r="AM88" s="1010">
        <f>AD88/((1+$B$4)^($Z88-1))</f>
        <v>220</v>
      </c>
      <c r="AN88" s="1010">
        <f>AI88/((1+$B$4)^($Z88-1))</f>
        <v>1642.4049999999997</v>
      </c>
      <c r="AO88" s="1010">
        <f>AJ88/((1+$B$4)^($Z88-1))</f>
        <v>-1642.4049999999997</v>
      </c>
      <c r="AP88" s="1012">
        <f>AK88/((1+$B$4)^($Z88-1))</f>
        <v>-1422.4049999999997</v>
      </c>
      <c r="AQ88" s="196">
        <f>AL88</f>
        <v>0</v>
      </c>
      <c r="AR88" s="197">
        <f>AM88</f>
        <v>220</v>
      </c>
      <c r="AS88" s="197">
        <f>AN88</f>
        <v>1642.4049999999997</v>
      </c>
      <c r="AT88" s="197">
        <f>AO88</f>
        <v>-1642.4049999999997</v>
      </c>
      <c r="AU88" s="199">
        <f>AP88</f>
        <v>-1422.4049999999997</v>
      </c>
      <c r="AX88" s="204">
        <v>1</v>
      </c>
      <c r="AY88" s="746">
        <f>'Energy NPV'!$D13*$AZ$84</f>
        <v>0</v>
      </c>
      <c r="AZ88" s="197">
        <f>'Energy margins'!$E$12</f>
        <v>55</v>
      </c>
      <c r="BA88" s="197">
        <f>AY88*AZ88</f>
        <v>0</v>
      </c>
      <c r="BB88" s="197">
        <f>'Margins summary'!$Q$14</f>
        <v>220</v>
      </c>
      <c r="BC88" s="197">
        <f>BA88+BB88</f>
        <v>220</v>
      </c>
      <c r="BD88" s="197">
        <f>'Margins summary'!$P$20</f>
        <v>1642.4049999999997</v>
      </c>
      <c r="BE88" s="897">
        <f>'Energy NPV'!U13</f>
        <v>0</v>
      </c>
      <c r="BF88" s="197"/>
      <c r="BG88" s="197">
        <f t="shared" ref="BG88:BG103" si="200">BD88+BE88+BF88</f>
        <v>1642.4049999999997</v>
      </c>
      <c r="BH88" s="197">
        <f t="shared" ref="BH88:BH103" si="201">BA88-BG88</f>
        <v>-1642.4049999999997</v>
      </c>
      <c r="BI88" s="197">
        <f t="shared" ref="BI88:BI103" si="202">BC88-BG88</f>
        <v>-1422.4049999999997</v>
      </c>
      <c r="BJ88" s="1007">
        <f>BA88/((1+$B$4)^($AX88-1))</f>
        <v>0</v>
      </c>
      <c r="BK88" s="1010">
        <f>BB88/((1+$B$4)^($AX88-1))</f>
        <v>220</v>
      </c>
      <c r="BL88" s="1010">
        <f>BG88/((1+$B$4)^($AX88-1))</f>
        <v>1642.4049999999997</v>
      </c>
      <c r="BM88" s="1010">
        <f>BH88/((1+$B$4)^($AX88-1))</f>
        <v>-1642.4049999999997</v>
      </c>
      <c r="BN88" s="1012">
        <f>BI88/((1+$B$4)^($AX88-1))</f>
        <v>-1422.4049999999997</v>
      </c>
      <c r="BO88" s="196">
        <f>BJ88</f>
        <v>0</v>
      </c>
      <c r="BP88" s="197">
        <f>BK88</f>
        <v>220</v>
      </c>
      <c r="BQ88" s="197">
        <f>BL88</f>
        <v>1642.4049999999997</v>
      </c>
      <c r="BR88" s="197">
        <f>BM88</f>
        <v>-1642.4049999999997</v>
      </c>
      <c r="BS88" s="199">
        <f>BN88</f>
        <v>-1422.4049999999997</v>
      </c>
      <c r="BV88" s="204">
        <v>1</v>
      </c>
      <c r="BW88" s="746">
        <f>'Energy NPV'!$D13*$BX$84</f>
        <v>0</v>
      </c>
      <c r="BX88" s="197">
        <f>'Energy margins'!$E$12</f>
        <v>55</v>
      </c>
      <c r="BY88" s="197">
        <f>BW88*BX88</f>
        <v>0</v>
      </c>
      <c r="BZ88" s="197">
        <f>'Margins summary'!$Q$14</f>
        <v>220</v>
      </c>
      <c r="CA88" s="197">
        <f>BY88+BZ88</f>
        <v>220</v>
      </c>
      <c r="CB88" s="197">
        <f>'Margins summary'!$P$20</f>
        <v>1642.4049999999997</v>
      </c>
      <c r="CC88" s="897">
        <f>'Energy NPV'!U13</f>
        <v>0</v>
      </c>
      <c r="CD88" s="197"/>
      <c r="CE88" s="197">
        <f t="shared" ref="CE88:CE103" si="203">CB88+CC88+CD88</f>
        <v>1642.4049999999997</v>
      </c>
      <c r="CF88" s="197">
        <f t="shared" ref="CF88:CF103" si="204">BY88-CE88</f>
        <v>-1642.4049999999997</v>
      </c>
      <c r="CG88" s="197">
        <f t="shared" ref="CG88:CG103" si="205">CA88-CE88</f>
        <v>-1422.4049999999997</v>
      </c>
      <c r="CH88" s="1007">
        <f>BY88/((1+$B$4)^($BV88-1))</f>
        <v>0</v>
      </c>
      <c r="CI88" s="1010">
        <f>BZ88/((1+$B$4)^($BV88-1))</f>
        <v>220</v>
      </c>
      <c r="CJ88" s="1010">
        <f>CE88/((1+$B$4)^($BV88-1))</f>
        <v>1642.4049999999997</v>
      </c>
      <c r="CK88" s="1010">
        <f>CF88/((1+$B$4)^($BV88-1))</f>
        <v>-1642.4049999999997</v>
      </c>
      <c r="CL88" s="1012">
        <f>CG88/((1+$B$4)^($BV88-1))</f>
        <v>-1422.4049999999997</v>
      </c>
      <c r="CM88" s="196">
        <f>CH88</f>
        <v>0</v>
      </c>
      <c r="CN88" s="197">
        <f>CI88</f>
        <v>220</v>
      </c>
      <c r="CO88" s="197">
        <f>CJ88</f>
        <v>1642.4049999999997</v>
      </c>
      <c r="CP88" s="197">
        <f>CK88</f>
        <v>-1642.4049999999997</v>
      </c>
      <c r="CQ88" s="199">
        <f>CL88</f>
        <v>-1422.4049999999997</v>
      </c>
      <c r="CT88" s="204">
        <v>1</v>
      </c>
      <c r="CU88" s="746">
        <f>'Energy NPV'!$D13*$CV$84</f>
        <v>0</v>
      </c>
      <c r="CV88" s="197">
        <f>'Energy margins'!$E$12</f>
        <v>55</v>
      </c>
      <c r="CW88" s="197">
        <f>CU88*CV88</f>
        <v>0</v>
      </c>
      <c r="CX88" s="197">
        <f>'Margins summary'!$Q$14</f>
        <v>220</v>
      </c>
      <c r="CY88" s="197">
        <f>CW88+CX88</f>
        <v>220</v>
      </c>
      <c r="CZ88" s="197">
        <f>'Margins summary'!$P$20</f>
        <v>1642.4049999999997</v>
      </c>
      <c r="DA88" s="897">
        <f>'Energy NPV'!U13</f>
        <v>0</v>
      </c>
      <c r="DB88" s="197"/>
      <c r="DC88" s="197">
        <f t="shared" ref="DC88:DC103" si="206">CZ88+DA88+DB88</f>
        <v>1642.4049999999997</v>
      </c>
      <c r="DD88" s="197">
        <f t="shared" ref="DD88:DD103" si="207">CW88-DC88</f>
        <v>-1642.4049999999997</v>
      </c>
      <c r="DE88" s="197">
        <f t="shared" ref="DE88:DE103" si="208">CY88-DC88</f>
        <v>-1422.4049999999997</v>
      </c>
      <c r="DF88" s="1007">
        <f>CW88/((1+$B$4)^($CT88-1))</f>
        <v>0</v>
      </c>
      <c r="DG88" s="1010">
        <f>CX88/((1+$B$4)^($CT88-1))</f>
        <v>220</v>
      </c>
      <c r="DH88" s="1010">
        <f>DC88/((1+$B$4)^($CT88-1))</f>
        <v>1642.4049999999997</v>
      </c>
      <c r="DI88" s="1010">
        <f>DD88/((1+$B$4)^($CT88-1))</f>
        <v>-1642.4049999999997</v>
      </c>
      <c r="DJ88" s="1012">
        <f>DE88/((1+$B$4)^($CT88-1))</f>
        <v>-1422.4049999999997</v>
      </c>
      <c r="DK88" s="196">
        <f>DF88</f>
        <v>0</v>
      </c>
      <c r="DL88" s="197">
        <f>DG88</f>
        <v>220</v>
      </c>
      <c r="DM88" s="197">
        <f>DH88</f>
        <v>1642.4049999999997</v>
      </c>
      <c r="DN88" s="197">
        <f>DI88</f>
        <v>-1642.4049999999997</v>
      </c>
      <c r="DO88" s="199">
        <f>DJ88</f>
        <v>-1422.4049999999997</v>
      </c>
    </row>
    <row r="89" spans="2:175" x14ac:dyDescent="0.3">
      <c r="B89" s="204">
        <v>2</v>
      </c>
      <c r="C89" s="746">
        <f>'Energy NPV'!$D14*$E$84</f>
        <v>0</v>
      </c>
      <c r="D89" s="197">
        <f>'Energy margins'!$E$12</f>
        <v>55</v>
      </c>
      <c r="E89" s="197">
        <f>C89*D89</f>
        <v>0</v>
      </c>
      <c r="F89" s="197">
        <f>'Margins summary'!$Q$14</f>
        <v>220</v>
      </c>
      <c r="G89" s="197">
        <f t="shared" ref="G89:G103" si="209">E89+F89</f>
        <v>220</v>
      </c>
      <c r="H89" s="197"/>
      <c r="I89" s="897">
        <f>'Energy NPV'!U14</f>
        <v>140.30000000000001</v>
      </c>
      <c r="J89" s="197"/>
      <c r="K89" s="197">
        <f t="shared" si="194"/>
        <v>140.30000000000001</v>
      </c>
      <c r="L89" s="197">
        <f t="shared" si="195"/>
        <v>-140.30000000000001</v>
      </c>
      <c r="M89" s="197">
        <f t="shared" si="196"/>
        <v>79.699999999999989</v>
      </c>
      <c r="N89" s="1008">
        <f t="shared" ref="N89:O103" si="210">E89/((1+$B$4)^($B89-1))</f>
        <v>0</v>
      </c>
      <c r="O89" s="1011">
        <f t="shared" si="210"/>
        <v>211.53846153846152</v>
      </c>
      <c r="P89" s="1011">
        <f t="shared" ref="P89:R103" si="211">K89/((1+$B$4)^($B89-1))</f>
        <v>134.90384615384616</v>
      </c>
      <c r="Q89" s="1011">
        <f t="shared" si="211"/>
        <v>-134.90384615384616</v>
      </c>
      <c r="R89" s="1013">
        <f t="shared" si="211"/>
        <v>76.634615384615373</v>
      </c>
      <c r="S89" s="196">
        <f>S88+N89</f>
        <v>0</v>
      </c>
      <c r="T89" s="197">
        <f t="shared" ref="T89:W103" si="212">T88+O89</f>
        <v>431.53846153846155</v>
      </c>
      <c r="U89" s="197">
        <f t="shared" si="212"/>
        <v>1777.3088461538459</v>
      </c>
      <c r="V89" s="197">
        <f t="shared" si="212"/>
        <v>-1777.3088461538459</v>
      </c>
      <c r="W89" s="199">
        <f t="shared" si="212"/>
        <v>-1345.7703846153843</v>
      </c>
      <c r="Z89" s="204">
        <v>2</v>
      </c>
      <c r="AA89" s="746">
        <f>'Energy NPV'!$D14*$AB$84</f>
        <v>0</v>
      </c>
      <c r="AB89" s="197">
        <f>'Energy margins'!$E$12</f>
        <v>55</v>
      </c>
      <c r="AC89" s="197">
        <f>AA89*AB89</f>
        <v>0</v>
      </c>
      <c r="AD89" s="197">
        <f>'Margins summary'!$Q$14</f>
        <v>220</v>
      </c>
      <c r="AE89" s="197">
        <f t="shared" ref="AE89:AE103" si="213">AC89+AD89</f>
        <v>220</v>
      </c>
      <c r="AF89" s="197"/>
      <c r="AG89" s="897">
        <f>'Energy NPV'!U14</f>
        <v>140.30000000000001</v>
      </c>
      <c r="AH89" s="197"/>
      <c r="AI89" s="197">
        <f t="shared" si="197"/>
        <v>140.30000000000001</v>
      </c>
      <c r="AJ89" s="197">
        <f t="shared" si="198"/>
        <v>-140.30000000000001</v>
      </c>
      <c r="AK89" s="197">
        <f t="shared" si="199"/>
        <v>79.699999999999989</v>
      </c>
      <c r="AL89" s="1008">
        <f t="shared" ref="AL89:AL103" si="214">AC89/((1+$B$4)^($Z89-1))</f>
        <v>0</v>
      </c>
      <c r="AM89" s="1011">
        <f t="shared" ref="AM89:AM103" si="215">AD89/((1+$B$4)^($Z89-1))</f>
        <v>211.53846153846152</v>
      </c>
      <c r="AN89" s="1011">
        <f t="shared" ref="AN89:AN103" si="216">AI89/((1+$B$4)^($Z89-1))</f>
        <v>134.90384615384616</v>
      </c>
      <c r="AO89" s="1011">
        <f t="shared" ref="AO89:AO103" si="217">AJ89/((1+$B$4)^($Z89-1))</f>
        <v>-134.90384615384616</v>
      </c>
      <c r="AP89" s="1013">
        <f t="shared" ref="AP89:AP103" si="218">AK89/((1+$B$4)^($Z89-1))</f>
        <v>76.634615384615373</v>
      </c>
      <c r="AQ89" s="196">
        <f>AQ88+AL89</f>
        <v>0</v>
      </c>
      <c r="AR89" s="197">
        <f t="shared" ref="AR89:AU103" si="219">AR88+AM89</f>
        <v>431.53846153846155</v>
      </c>
      <c r="AS89" s="197">
        <f t="shared" si="219"/>
        <v>1777.3088461538459</v>
      </c>
      <c r="AT89" s="197">
        <f t="shared" si="219"/>
        <v>-1777.3088461538459</v>
      </c>
      <c r="AU89" s="199">
        <f t="shared" si="219"/>
        <v>-1345.7703846153843</v>
      </c>
      <c r="AX89" s="204">
        <v>2</v>
      </c>
      <c r="AY89" s="746">
        <f>'Energy NPV'!$D14*$AZ$84</f>
        <v>0</v>
      </c>
      <c r="AZ89" s="197">
        <f>'Energy margins'!$E$12</f>
        <v>55</v>
      </c>
      <c r="BA89" s="197">
        <f>AY89*AZ89</f>
        <v>0</v>
      </c>
      <c r="BB89" s="197">
        <f>'Margins summary'!$Q$14</f>
        <v>220</v>
      </c>
      <c r="BC89" s="197">
        <f t="shared" ref="BC89:BC103" si="220">BA89+BB89</f>
        <v>220</v>
      </c>
      <c r="BD89" s="197"/>
      <c r="BE89" s="897">
        <f>'Energy NPV'!U14</f>
        <v>140.30000000000001</v>
      </c>
      <c r="BF89" s="197"/>
      <c r="BG89" s="197">
        <f t="shared" si="200"/>
        <v>140.30000000000001</v>
      </c>
      <c r="BH89" s="197">
        <f t="shared" si="201"/>
        <v>-140.30000000000001</v>
      </c>
      <c r="BI89" s="197">
        <f t="shared" si="202"/>
        <v>79.699999999999989</v>
      </c>
      <c r="BJ89" s="1008">
        <f t="shared" ref="BJ89:BJ103" si="221">BA89/((1+$B$4)^($AX89-1))</f>
        <v>0</v>
      </c>
      <c r="BK89" s="1011">
        <f t="shared" ref="BK89:BK103" si="222">BB89/((1+$B$4)^($AX89-1))</f>
        <v>211.53846153846152</v>
      </c>
      <c r="BL89" s="1011">
        <f t="shared" ref="BL89:BL103" si="223">BG89/((1+$B$4)^($AX89-1))</f>
        <v>134.90384615384616</v>
      </c>
      <c r="BM89" s="1011">
        <f t="shared" ref="BM89:BM103" si="224">BH89/((1+$B$4)^($AX89-1))</f>
        <v>-134.90384615384616</v>
      </c>
      <c r="BN89" s="1013">
        <f t="shared" ref="BN89:BN103" si="225">BI89/((1+$B$4)^($AX89-1))</f>
        <v>76.634615384615373</v>
      </c>
      <c r="BO89" s="196">
        <f>BO88+BJ89</f>
        <v>0</v>
      </c>
      <c r="BP89" s="197">
        <f t="shared" ref="BP89:BS103" si="226">BP88+BK89</f>
        <v>431.53846153846155</v>
      </c>
      <c r="BQ89" s="197">
        <f t="shared" si="226"/>
        <v>1777.3088461538459</v>
      </c>
      <c r="BR89" s="197">
        <f t="shared" si="226"/>
        <v>-1777.3088461538459</v>
      </c>
      <c r="BS89" s="199">
        <f t="shared" si="226"/>
        <v>-1345.7703846153843</v>
      </c>
      <c r="BV89" s="204">
        <v>2</v>
      </c>
      <c r="BW89" s="746">
        <f>'Energy NPV'!$D14*$BX$84</f>
        <v>0</v>
      </c>
      <c r="BX89" s="197">
        <f>'Energy margins'!$E$12</f>
        <v>55</v>
      </c>
      <c r="BY89" s="197">
        <f>BW89*BX89</f>
        <v>0</v>
      </c>
      <c r="BZ89" s="197">
        <f>'Margins summary'!$Q$14</f>
        <v>220</v>
      </c>
      <c r="CA89" s="197">
        <f t="shared" ref="CA89:CA103" si="227">BY89+BZ89</f>
        <v>220</v>
      </c>
      <c r="CB89" s="197"/>
      <c r="CC89" s="897">
        <f>'Energy NPV'!U14</f>
        <v>140.30000000000001</v>
      </c>
      <c r="CD89" s="197"/>
      <c r="CE89" s="197">
        <f t="shared" si="203"/>
        <v>140.30000000000001</v>
      </c>
      <c r="CF89" s="197">
        <f t="shared" si="204"/>
        <v>-140.30000000000001</v>
      </c>
      <c r="CG89" s="197">
        <f t="shared" si="205"/>
        <v>79.699999999999989</v>
      </c>
      <c r="CH89" s="1008">
        <f t="shared" ref="CH89:CH102" si="228">BY89/((1+$B$4)^($BV89-1))</f>
        <v>0</v>
      </c>
      <c r="CI89" s="1011">
        <f t="shared" ref="CI89:CI102" si="229">BZ89/((1+$B$4)^($BV89-1))</f>
        <v>211.53846153846152</v>
      </c>
      <c r="CJ89" s="1011">
        <f t="shared" ref="CJ89:CJ102" si="230">CE89/((1+$B$4)^($BV89-1))</f>
        <v>134.90384615384616</v>
      </c>
      <c r="CK89" s="1011">
        <f t="shared" ref="CK89:CK102" si="231">CF89/((1+$B$4)^($BV89-1))</f>
        <v>-134.90384615384616</v>
      </c>
      <c r="CL89" s="1013">
        <f t="shared" ref="CL89:CL102" si="232">CG89/((1+$B$4)^($BV89-1))</f>
        <v>76.634615384615373</v>
      </c>
      <c r="CM89" s="196">
        <f>CM88+CH89</f>
        <v>0</v>
      </c>
      <c r="CN89" s="197">
        <f t="shared" ref="CN89:CQ103" si="233">CN88+CI89</f>
        <v>431.53846153846155</v>
      </c>
      <c r="CO89" s="197">
        <f t="shared" si="233"/>
        <v>1777.3088461538459</v>
      </c>
      <c r="CP89" s="197">
        <f t="shared" si="233"/>
        <v>-1777.3088461538459</v>
      </c>
      <c r="CQ89" s="199">
        <f t="shared" si="233"/>
        <v>-1345.7703846153843</v>
      </c>
      <c r="CT89" s="204">
        <v>2</v>
      </c>
      <c r="CU89" s="746">
        <f>'Energy NPV'!$D14*$CV$84</f>
        <v>0</v>
      </c>
      <c r="CV89" s="197">
        <f>'Energy margins'!$E$12</f>
        <v>55</v>
      </c>
      <c r="CW89" s="197">
        <f>CU89*CV89</f>
        <v>0</v>
      </c>
      <c r="CX89" s="197">
        <f>'Margins summary'!$Q$14</f>
        <v>220</v>
      </c>
      <c r="CY89" s="197">
        <f t="shared" ref="CY89:CY103" si="234">CW89+CX89</f>
        <v>220</v>
      </c>
      <c r="CZ89" s="197"/>
      <c r="DA89" s="897">
        <f>'Energy NPV'!U14</f>
        <v>140.30000000000001</v>
      </c>
      <c r="DB89" s="197"/>
      <c r="DC89" s="197">
        <f t="shared" si="206"/>
        <v>140.30000000000001</v>
      </c>
      <c r="DD89" s="197">
        <f t="shared" si="207"/>
        <v>-140.30000000000001</v>
      </c>
      <c r="DE89" s="197">
        <f t="shared" si="208"/>
        <v>79.699999999999989</v>
      </c>
      <c r="DF89" s="1008">
        <f t="shared" ref="DF89:DF103" si="235">CW89/((1+$B$4)^($CT89-1))</f>
        <v>0</v>
      </c>
      <c r="DG89" s="1011">
        <f t="shared" ref="DG89:DG103" si="236">CX89/((1+$B$4)^($CT89-1))</f>
        <v>211.53846153846152</v>
      </c>
      <c r="DH89" s="1011">
        <f t="shared" ref="DH89:DH103" si="237">DC89/((1+$B$4)^($CT89-1))</f>
        <v>134.90384615384616</v>
      </c>
      <c r="DI89" s="1011">
        <f t="shared" ref="DI89:DI103" si="238">DD89/((1+$B$4)^($CT89-1))</f>
        <v>-134.90384615384616</v>
      </c>
      <c r="DJ89" s="1013">
        <f t="shared" ref="DJ89:DJ103" si="239">DE89/((1+$B$4)^($CT89-1))</f>
        <v>76.634615384615373</v>
      </c>
      <c r="DK89" s="196">
        <f>DK88+DF89</f>
        <v>0</v>
      </c>
      <c r="DL89" s="197">
        <f t="shared" ref="DL89:DO103" si="240">DL88+DG89</f>
        <v>431.53846153846155</v>
      </c>
      <c r="DM89" s="197">
        <f t="shared" si="240"/>
        <v>1777.3088461538459</v>
      </c>
      <c r="DN89" s="197">
        <f t="shared" si="240"/>
        <v>-1777.3088461538459</v>
      </c>
      <c r="DO89" s="199">
        <f t="shared" si="240"/>
        <v>-1345.7703846153843</v>
      </c>
    </row>
    <row r="90" spans="2:175" x14ac:dyDescent="0.3">
      <c r="B90" s="204">
        <f t="shared" ref="B90:B103" si="241">B89+1</f>
        <v>3</v>
      </c>
      <c r="C90" s="746">
        <f>'Energy NPV'!$D15*$E$84</f>
        <v>0</v>
      </c>
      <c r="D90" s="197">
        <f>'Energy margins'!$E$12</f>
        <v>55</v>
      </c>
      <c r="E90" s="197">
        <f t="shared" ref="E90:E103" si="242">C90*D90</f>
        <v>0</v>
      </c>
      <c r="F90" s="197">
        <f>'Margins summary'!$Q$14</f>
        <v>220</v>
      </c>
      <c r="G90" s="197">
        <f t="shared" si="209"/>
        <v>220</v>
      </c>
      <c r="H90" s="197"/>
      <c r="I90" s="897">
        <f>'Energy NPV'!U15</f>
        <v>140.30000000000001</v>
      </c>
      <c r="J90" s="197"/>
      <c r="K90" s="197">
        <f t="shared" si="194"/>
        <v>140.30000000000001</v>
      </c>
      <c r="L90" s="197">
        <f t="shared" si="195"/>
        <v>-140.30000000000001</v>
      </c>
      <c r="M90" s="197">
        <f t="shared" si="196"/>
        <v>79.699999999999989</v>
      </c>
      <c r="N90" s="1008">
        <f t="shared" si="210"/>
        <v>0</v>
      </c>
      <c r="O90" s="1011">
        <f t="shared" si="210"/>
        <v>203.40236686390531</v>
      </c>
      <c r="P90" s="1011">
        <f t="shared" si="211"/>
        <v>129.71523668639054</v>
      </c>
      <c r="Q90" s="1011">
        <f t="shared" si="211"/>
        <v>-129.71523668639054</v>
      </c>
      <c r="R90" s="1013">
        <f t="shared" si="211"/>
        <v>73.687130177514774</v>
      </c>
      <c r="S90" s="196">
        <f t="shared" ref="S90:S103" si="243">S89+N90</f>
        <v>0</v>
      </c>
      <c r="T90" s="197">
        <f t="shared" si="212"/>
        <v>634.94082840236683</v>
      </c>
      <c r="U90" s="197">
        <f t="shared" si="212"/>
        <v>1907.0240828402366</v>
      </c>
      <c r="V90" s="197">
        <f t="shared" si="212"/>
        <v>-1907.0240828402366</v>
      </c>
      <c r="W90" s="199">
        <f t="shared" si="212"/>
        <v>-1272.0832544378695</v>
      </c>
      <c r="Z90" s="204">
        <f t="shared" ref="Z90:Z103" si="244">Z89+1</f>
        <v>3</v>
      </c>
      <c r="AA90" s="746">
        <f>'Energy NPV'!$D15*$AB$84</f>
        <v>0</v>
      </c>
      <c r="AB90" s="197">
        <f>'Energy margins'!$E$12</f>
        <v>55</v>
      </c>
      <c r="AC90" s="197">
        <f t="shared" ref="AC90:AC103" si="245">AA90*AB90</f>
        <v>0</v>
      </c>
      <c r="AD90" s="197">
        <f>'Margins summary'!$Q$14</f>
        <v>220</v>
      </c>
      <c r="AE90" s="197">
        <f t="shared" si="213"/>
        <v>220</v>
      </c>
      <c r="AF90" s="197"/>
      <c r="AG90" s="897">
        <f>'Energy NPV'!U15</f>
        <v>140.30000000000001</v>
      </c>
      <c r="AH90" s="197"/>
      <c r="AI90" s="197">
        <f t="shared" si="197"/>
        <v>140.30000000000001</v>
      </c>
      <c r="AJ90" s="197">
        <f t="shared" si="198"/>
        <v>-140.30000000000001</v>
      </c>
      <c r="AK90" s="197">
        <f t="shared" si="199"/>
        <v>79.699999999999989</v>
      </c>
      <c r="AL90" s="1008">
        <f t="shared" si="214"/>
        <v>0</v>
      </c>
      <c r="AM90" s="1011">
        <f t="shared" si="215"/>
        <v>203.40236686390531</v>
      </c>
      <c r="AN90" s="1011">
        <f t="shared" si="216"/>
        <v>129.71523668639054</v>
      </c>
      <c r="AO90" s="1011">
        <f t="shared" si="217"/>
        <v>-129.71523668639054</v>
      </c>
      <c r="AP90" s="1013">
        <f t="shared" si="218"/>
        <v>73.687130177514774</v>
      </c>
      <c r="AQ90" s="196">
        <f t="shared" ref="AQ90:AQ102" si="246">AQ89+AL90</f>
        <v>0</v>
      </c>
      <c r="AR90" s="197">
        <f t="shared" si="219"/>
        <v>634.94082840236683</v>
      </c>
      <c r="AS90" s="197">
        <f t="shared" si="219"/>
        <v>1907.0240828402366</v>
      </c>
      <c r="AT90" s="197">
        <f t="shared" si="219"/>
        <v>-1907.0240828402366</v>
      </c>
      <c r="AU90" s="199">
        <f t="shared" si="219"/>
        <v>-1272.0832544378695</v>
      </c>
      <c r="AX90" s="204">
        <f t="shared" ref="AX90:AX103" si="247">AX89+1</f>
        <v>3</v>
      </c>
      <c r="AY90" s="746">
        <f>'Energy NPV'!$D15*$AZ$84</f>
        <v>0</v>
      </c>
      <c r="AZ90" s="197">
        <f>'Energy margins'!$E$12</f>
        <v>55</v>
      </c>
      <c r="BA90" s="197">
        <f t="shared" ref="BA90:BA103" si="248">AY90*AZ90</f>
        <v>0</v>
      </c>
      <c r="BB90" s="197">
        <f>'Margins summary'!$Q$14</f>
        <v>220</v>
      </c>
      <c r="BC90" s="197">
        <f t="shared" si="220"/>
        <v>220</v>
      </c>
      <c r="BD90" s="197"/>
      <c r="BE90" s="897">
        <f>'Energy NPV'!U15</f>
        <v>140.30000000000001</v>
      </c>
      <c r="BF90" s="197"/>
      <c r="BG90" s="197">
        <f t="shared" si="200"/>
        <v>140.30000000000001</v>
      </c>
      <c r="BH90" s="197">
        <f t="shared" si="201"/>
        <v>-140.30000000000001</v>
      </c>
      <c r="BI90" s="197">
        <f t="shared" si="202"/>
        <v>79.699999999999989</v>
      </c>
      <c r="BJ90" s="1008">
        <f t="shared" si="221"/>
        <v>0</v>
      </c>
      <c r="BK90" s="1011">
        <f t="shared" si="222"/>
        <v>203.40236686390531</v>
      </c>
      <c r="BL90" s="1011">
        <f t="shared" si="223"/>
        <v>129.71523668639054</v>
      </c>
      <c r="BM90" s="1011">
        <f t="shared" si="224"/>
        <v>-129.71523668639054</v>
      </c>
      <c r="BN90" s="1013">
        <f t="shared" si="225"/>
        <v>73.687130177514774</v>
      </c>
      <c r="BO90" s="196">
        <f t="shared" ref="BO90:BO103" si="249">BO89+BJ90</f>
        <v>0</v>
      </c>
      <c r="BP90" s="197">
        <f t="shared" si="226"/>
        <v>634.94082840236683</v>
      </c>
      <c r="BQ90" s="197">
        <f t="shared" si="226"/>
        <v>1907.0240828402366</v>
      </c>
      <c r="BR90" s="197">
        <f t="shared" si="226"/>
        <v>-1907.0240828402366</v>
      </c>
      <c r="BS90" s="199">
        <f t="shared" si="226"/>
        <v>-1272.0832544378695</v>
      </c>
      <c r="BV90" s="204">
        <f t="shared" ref="BV90:BV103" si="250">BV89+1</f>
        <v>3</v>
      </c>
      <c r="BW90" s="746">
        <f>'Energy NPV'!$D15*$BX$84</f>
        <v>0</v>
      </c>
      <c r="BX90" s="197">
        <f>'Energy margins'!$E$12</f>
        <v>55</v>
      </c>
      <c r="BY90" s="197">
        <f t="shared" ref="BY90:BY103" si="251">BW90*BX90</f>
        <v>0</v>
      </c>
      <c r="BZ90" s="197">
        <f>'Margins summary'!$Q$14</f>
        <v>220</v>
      </c>
      <c r="CA90" s="197">
        <f t="shared" si="227"/>
        <v>220</v>
      </c>
      <c r="CB90" s="197"/>
      <c r="CC90" s="897">
        <f>'Energy NPV'!U15</f>
        <v>140.30000000000001</v>
      </c>
      <c r="CD90" s="197"/>
      <c r="CE90" s="197">
        <f t="shared" si="203"/>
        <v>140.30000000000001</v>
      </c>
      <c r="CF90" s="197">
        <f t="shared" si="204"/>
        <v>-140.30000000000001</v>
      </c>
      <c r="CG90" s="197">
        <f t="shared" si="205"/>
        <v>79.699999999999989</v>
      </c>
      <c r="CH90" s="1008">
        <f t="shared" si="228"/>
        <v>0</v>
      </c>
      <c r="CI90" s="1011">
        <f t="shared" si="229"/>
        <v>203.40236686390531</v>
      </c>
      <c r="CJ90" s="1011">
        <f t="shared" si="230"/>
        <v>129.71523668639054</v>
      </c>
      <c r="CK90" s="1011">
        <f t="shared" si="231"/>
        <v>-129.71523668639054</v>
      </c>
      <c r="CL90" s="1013">
        <f t="shared" si="232"/>
        <v>73.687130177514774</v>
      </c>
      <c r="CM90" s="196">
        <f t="shared" ref="CM90:CM103" si="252">CM89+CH90</f>
        <v>0</v>
      </c>
      <c r="CN90" s="197">
        <f t="shared" si="233"/>
        <v>634.94082840236683</v>
      </c>
      <c r="CO90" s="197">
        <f t="shared" si="233"/>
        <v>1907.0240828402366</v>
      </c>
      <c r="CP90" s="197">
        <f t="shared" si="233"/>
        <v>-1907.0240828402366</v>
      </c>
      <c r="CQ90" s="199">
        <f t="shared" si="233"/>
        <v>-1272.0832544378695</v>
      </c>
      <c r="CT90" s="204">
        <f t="shared" ref="CT90:CT103" si="253">CT89+1</f>
        <v>3</v>
      </c>
      <c r="CU90" s="746">
        <f>'Energy NPV'!$D15*$CV$84</f>
        <v>0</v>
      </c>
      <c r="CV90" s="197">
        <f>'Energy margins'!$E$12</f>
        <v>55</v>
      </c>
      <c r="CW90" s="197">
        <f t="shared" ref="CW90:CW103" si="254">CU90*CV90</f>
        <v>0</v>
      </c>
      <c r="CX90" s="197">
        <f>'Margins summary'!$Q$14</f>
        <v>220</v>
      </c>
      <c r="CY90" s="197">
        <f t="shared" si="234"/>
        <v>220</v>
      </c>
      <c r="CZ90" s="197"/>
      <c r="DA90" s="897">
        <f>'Energy NPV'!U15</f>
        <v>140.30000000000001</v>
      </c>
      <c r="DB90" s="197"/>
      <c r="DC90" s="197">
        <f t="shared" si="206"/>
        <v>140.30000000000001</v>
      </c>
      <c r="DD90" s="197">
        <f t="shared" si="207"/>
        <v>-140.30000000000001</v>
      </c>
      <c r="DE90" s="197">
        <f t="shared" si="208"/>
        <v>79.699999999999989</v>
      </c>
      <c r="DF90" s="1008">
        <f t="shared" si="235"/>
        <v>0</v>
      </c>
      <c r="DG90" s="1011">
        <f t="shared" si="236"/>
        <v>203.40236686390531</v>
      </c>
      <c r="DH90" s="1011">
        <f t="shared" si="237"/>
        <v>129.71523668639054</v>
      </c>
      <c r="DI90" s="1011">
        <f t="shared" si="238"/>
        <v>-129.71523668639054</v>
      </c>
      <c r="DJ90" s="1013">
        <f t="shared" si="239"/>
        <v>73.687130177514774</v>
      </c>
      <c r="DK90" s="196">
        <f t="shared" ref="DK90:DK103" si="255">DK89+DF90</f>
        <v>0</v>
      </c>
      <c r="DL90" s="197">
        <f t="shared" si="240"/>
        <v>634.94082840236683</v>
      </c>
      <c r="DM90" s="197">
        <f t="shared" si="240"/>
        <v>1907.0240828402366</v>
      </c>
      <c r="DN90" s="197">
        <f t="shared" si="240"/>
        <v>-1907.0240828402366</v>
      </c>
      <c r="DO90" s="199">
        <f t="shared" si="240"/>
        <v>-1272.0832544378695</v>
      </c>
    </row>
    <row r="91" spans="2:175" x14ac:dyDescent="0.3">
      <c r="B91" s="204">
        <f t="shared" si="241"/>
        <v>4</v>
      </c>
      <c r="C91" s="746">
        <f>'Energy NPV'!$D16*$E$84</f>
        <v>30</v>
      </c>
      <c r="D91" s="197">
        <f>'Energy margins'!$E$12</f>
        <v>55</v>
      </c>
      <c r="E91" s="197">
        <f t="shared" si="242"/>
        <v>1650</v>
      </c>
      <c r="F91" s="197">
        <f>'Margins summary'!$Q$14</f>
        <v>220</v>
      </c>
      <c r="G91" s="197">
        <f t="shared" si="209"/>
        <v>1870</v>
      </c>
      <c r="H91" s="197"/>
      <c r="I91" s="897">
        <f>'Energy NPV'!U16</f>
        <v>592.40499999999997</v>
      </c>
      <c r="J91" s="197"/>
      <c r="K91" s="197">
        <f t="shared" si="194"/>
        <v>592.40499999999997</v>
      </c>
      <c r="L91" s="197">
        <f t="shared" si="195"/>
        <v>1057.595</v>
      </c>
      <c r="M91" s="197">
        <f t="shared" si="196"/>
        <v>1277.595</v>
      </c>
      <c r="N91" s="1008">
        <f>E91/((1+$B$4)^($B91-1))</f>
        <v>1466.8439918070094</v>
      </c>
      <c r="O91" s="1011">
        <f t="shared" si="210"/>
        <v>195.57919890760127</v>
      </c>
      <c r="P91" s="1011">
        <f t="shared" si="211"/>
        <v>526.6458878584433</v>
      </c>
      <c r="Q91" s="1011">
        <f t="shared" si="211"/>
        <v>940.1981039485662</v>
      </c>
      <c r="R91" s="1013">
        <f t="shared" si="211"/>
        <v>1135.7773028561674</v>
      </c>
      <c r="S91" s="196">
        <f t="shared" si="243"/>
        <v>1466.8439918070094</v>
      </c>
      <c r="T91" s="197">
        <f t="shared" si="212"/>
        <v>830.5200273099681</v>
      </c>
      <c r="U91" s="197">
        <f t="shared" si="212"/>
        <v>2433.6699706986801</v>
      </c>
      <c r="V91" s="197">
        <f t="shared" si="212"/>
        <v>-966.82597889167039</v>
      </c>
      <c r="W91" s="199">
        <f t="shared" si="212"/>
        <v>-136.30595158170217</v>
      </c>
      <c r="Z91" s="204">
        <f t="shared" si="244"/>
        <v>4</v>
      </c>
      <c r="AA91" s="746">
        <f>'Energy NPV'!$D16*$AB$84</f>
        <v>45</v>
      </c>
      <c r="AB91" s="197">
        <f>'Energy margins'!$E$12</f>
        <v>55</v>
      </c>
      <c r="AC91" s="197">
        <f t="shared" si="245"/>
        <v>2475</v>
      </c>
      <c r="AD91" s="197">
        <f>'Margins summary'!$Q$14</f>
        <v>220</v>
      </c>
      <c r="AE91" s="197">
        <f t="shared" si="213"/>
        <v>2695</v>
      </c>
      <c r="AF91" s="197"/>
      <c r="AG91" s="897">
        <f>'Energy NPV'!U16</f>
        <v>592.40499999999997</v>
      </c>
      <c r="AH91" s="197"/>
      <c r="AI91" s="197">
        <f t="shared" si="197"/>
        <v>592.40499999999997</v>
      </c>
      <c r="AJ91" s="197">
        <f t="shared" si="198"/>
        <v>1882.595</v>
      </c>
      <c r="AK91" s="197">
        <f t="shared" si="199"/>
        <v>2102.5950000000003</v>
      </c>
      <c r="AL91" s="1008">
        <f t="shared" si="214"/>
        <v>2200.2659877105143</v>
      </c>
      <c r="AM91" s="1011">
        <f t="shared" si="215"/>
        <v>195.57919890760127</v>
      </c>
      <c r="AN91" s="1011">
        <f t="shared" si="216"/>
        <v>526.6458878584433</v>
      </c>
      <c r="AO91" s="1011">
        <f t="shared" si="217"/>
        <v>1673.620099852071</v>
      </c>
      <c r="AP91" s="1013">
        <f t="shared" si="218"/>
        <v>1869.1992987596723</v>
      </c>
      <c r="AQ91" s="196">
        <f t="shared" si="246"/>
        <v>2200.2659877105143</v>
      </c>
      <c r="AR91" s="197">
        <f t="shared" si="219"/>
        <v>830.5200273099681</v>
      </c>
      <c r="AS91" s="197">
        <f t="shared" si="219"/>
        <v>2433.6699706986801</v>
      </c>
      <c r="AT91" s="197">
        <f t="shared" si="219"/>
        <v>-233.40398298816558</v>
      </c>
      <c r="AU91" s="199">
        <f t="shared" si="219"/>
        <v>597.11604432180275</v>
      </c>
      <c r="AX91" s="204">
        <f t="shared" si="247"/>
        <v>4</v>
      </c>
      <c r="AY91" s="746">
        <f>'Energy NPV'!$D16*$AZ$84</f>
        <v>15</v>
      </c>
      <c r="AZ91" s="197">
        <f>'Energy margins'!$E$12</f>
        <v>55</v>
      </c>
      <c r="BA91" s="197">
        <f t="shared" si="248"/>
        <v>825</v>
      </c>
      <c r="BB91" s="197">
        <f>'Margins summary'!$Q$14</f>
        <v>220</v>
      </c>
      <c r="BC91" s="197">
        <f t="shared" si="220"/>
        <v>1045</v>
      </c>
      <c r="BD91" s="197"/>
      <c r="BE91" s="897">
        <f>'Energy NPV'!U16</f>
        <v>592.40499999999997</v>
      </c>
      <c r="BF91" s="197"/>
      <c r="BG91" s="197">
        <f t="shared" si="200"/>
        <v>592.40499999999997</v>
      </c>
      <c r="BH91" s="197">
        <f t="shared" si="201"/>
        <v>232.59500000000003</v>
      </c>
      <c r="BI91" s="197">
        <f t="shared" si="202"/>
        <v>452.59500000000003</v>
      </c>
      <c r="BJ91" s="1008">
        <f t="shared" si="221"/>
        <v>733.42199590350469</v>
      </c>
      <c r="BK91" s="1011">
        <f t="shared" si="222"/>
        <v>195.57919890760127</v>
      </c>
      <c r="BL91" s="1011">
        <f t="shared" si="223"/>
        <v>526.6458878584433</v>
      </c>
      <c r="BM91" s="1011">
        <f t="shared" si="224"/>
        <v>206.77610804506145</v>
      </c>
      <c r="BN91" s="1013">
        <f t="shared" si="225"/>
        <v>402.35530695266272</v>
      </c>
      <c r="BO91" s="196">
        <f t="shared" si="249"/>
        <v>733.42199590350469</v>
      </c>
      <c r="BP91" s="197">
        <f t="shared" si="226"/>
        <v>830.5200273099681</v>
      </c>
      <c r="BQ91" s="197">
        <f t="shared" si="226"/>
        <v>2433.6699706986801</v>
      </c>
      <c r="BR91" s="197">
        <f t="shared" si="226"/>
        <v>-1700.2479747951752</v>
      </c>
      <c r="BS91" s="199">
        <f t="shared" si="226"/>
        <v>-869.72794748520687</v>
      </c>
      <c r="BV91" s="204">
        <f t="shared" si="250"/>
        <v>4</v>
      </c>
      <c r="BW91" s="746">
        <f>'Energy NPV'!$D16*$BX$84</f>
        <v>60</v>
      </c>
      <c r="BX91" s="197">
        <f>'Energy margins'!$E$12</f>
        <v>55</v>
      </c>
      <c r="BY91" s="197">
        <f t="shared" si="251"/>
        <v>3300</v>
      </c>
      <c r="BZ91" s="197">
        <f>'Margins summary'!$Q$14</f>
        <v>220</v>
      </c>
      <c r="CA91" s="197">
        <f t="shared" si="227"/>
        <v>3520</v>
      </c>
      <c r="CB91" s="197"/>
      <c r="CC91" s="897">
        <f>'Energy NPV'!U16</f>
        <v>592.40499999999997</v>
      </c>
      <c r="CD91" s="197"/>
      <c r="CE91" s="197">
        <f t="shared" si="203"/>
        <v>592.40499999999997</v>
      </c>
      <c r="CF91" s="197">
        <f t="shared" si="204"/>
        <v>2707.5950000000003</v>
      </c>
      <c r="CG91" s="197">
        <f t="shared" si="205"/>
        <v>2927.5950000000003</v>
      </c>
      <c r="CH91" s="1008">
        <f t="shared" si="228"/>
        <v>2933.6879836140188</v>
      </c>
      <c r="CI91" s="1011">
        <f t="shared" si="229"/>
        <v>195.57919890760127</v>
      </c>
      <c r="CJ91" s="1011">
        <f t="shared" si="230"/>
        <v>526.6458878584433</v>
      </c>
      <c r="CK91" s="1011">
        <f t="shared" si="231"/>
        <v>2407.0420957555757</v>
      </c>
      <c r="CL91" s="1013">
        <f t="shared" si="232"/>
        <v>2602.6212946631772</v>
      </c>
      <c r="CM91" s="196">
        <f t="shared" si="252"/>
        <v>2933.6879836140188</v>
      </c>
      <c r="CN91" s="197">
        <f t="shared" si="233"/>
        <v>830.5200273099681</v>
      </c>
      <c r="CO91" s="197">
        <f t="shared" si="233"/>
        <v>2433.6699706986801</v>
      </c>
      <c r="CP91" s="197">
        <f t="shared" si="233"/>
        <v>500.01801291533911</v>
      </c>
      <c r="CQ91" s="199">
        <f t="shared" si="233"/>
        <v>1330.5380402253077</v>
      </c>
      <c r="CT91" s="204">
        <f t="shared" si="253"/>
        <v>4</v>
      </c>
      <c r="CU91" s="746">
        <f>'Energy NPV'!$D16*$CV$84</f>
        <v>0</v>
      </c>
      <c r="CV91" s="197">
        <f>'Energy margins'!$E$12</f>
        <v>55</v>
      </c>
      <c r="CW91" s="197">
        <f t="shared" si="254"/>
        <v>0</v>
      </c>
      <c r="CX91" s="197">
        <f>'Margins summary'!$Q$14</f>
        <v>220</v>
      </c>
      <c r="CY91" s="197">
        <f t="shared" si="234"/>
        <v>220</v>
      </c>
      <c r="CZ91" s="197"/>
      <c r="DA91" s="897">
        <f>'Energy NPV'!U16</f>
        <v>592.40499999999997</v>
      </c>
      <c r="DB91" s="197"/>
      <c r="DC91" s="197">
        <f t="shared" si="206"/>
        <v>592.40499999999997</v>
      </c>
      <c r="DD91" s="197">
        <f t="shared" si="207"/>
        <v>-592.40499999999997</v>
      </c>
      <c r="DE91" s="197">
        <f t="shared" si="208"/>
        <v>-372.40499999999997</v>
      </c>
      <c r="DF91" s="1008">
        <f t="shared" si="235"/>
        <v>0</v>
      </c>
      <c r="DG91" s="1011">
        <f t="shared" si="236"/>
        <v>195.57919890760127</v>
      </c>
      <c r="DH91" s="1011">
        <f t="shared" si="237"/>
        <v>526.6458878584433</v>
      </c>
      <c r="DI91" s="1011">
        <f t="shared" si="238"/>
        <v>-526.6458878584433</v>
      </c>
      <c r="DJ91" s="1013">
        <f t="shared" si="239"/>
        <v>-331.06668895084204</v>
      </c>
      <c r="DK91" s="196">
        <f t="shared" si="255"/>
        <v>0</v>
      </c>
      <c r="DL91" s="197">
        <f t="shared" si="240"/>
        <v>830.5200273099681</v>
      </c>
      <c r="DM91" s="197">
        <f t="shared" si="240"/>
        <v>2433.6699706986801</v>
      </c>
      <c r="DN91" s="197">
        <f t="shared" si="240"/>
        <v>-2433.6699706986801</v>
      </c>
      <c r="DO91" s="199">
        <f t="shared" si="240"/>
        <v>-1603.1499433887116</v>
      </c>
    </row>
    <row r="92" spans="2:175" x14ac:dyDescent="0.3">
      <c r="B92" s="204">
        <f t="shared" si="241"/>
        <v>5</v>
      </c>
      <c r="C92" s="746">
        <f>'Energy NPV'!$D17*$E$84</f>
        <v>0</v>
      </c>
      <c r="D92" s="197">
        <f>'Energy margins'!$E$12</f>
        <v>55</v>
      </c>
      <c r="E92" s="197">
        <f t="shared" si="242"/>
        <v>0</v>
      </c>
      <c r="F92" s="197">
        <f>'Margins summary'!$Q$14</f>
        <v>220</v>
      </c>
      <c r="G92" s="197">
        <f t="shared" si="209"/>
        <v>220</v>
      </c>
      <c r="H92" s="197"/>
      <c r="I92" s="897">
        <f>'Energy NPV'!U17</f>
        <v>0</v>
      </c>
      <c r="J92" s="197"/>
      <c r="K92" s="197">
        <f t="shared" si="194"/>
        <v>0</v>
      </c>
      <c r="L92" s="197">
        <f t="shared" si="195"/>
        <v>0</v>
      </c>
      <c r="M92" s="197">
        <f t="shared" si="196"/>
        <v>220</v>
      </c>
      <c r="N92" s="1008">
        <f>E92/((1+$B$4)^($B92-1))</f>
        <v>0</v>
      </c>
      <c r="O92" s="1011">
        <f t="shared" si="210"/>
        <v>188.05692202653967</v>
      </c>
      <c r="P92" s="1011">
        <f t="shared" si="211"/>
        <v>0</v>
      </c>
      <c r="Q92" s="1011">
        <f t="shared" si="211"/>
        <v>0</v>
      </c>
      <c r="R92" s="1013">
        <f t="shared" si="211"/>
        <v>188.05692202653967</v>
      </c>
      <c r="S92" s="196">
        <f t="shared" si="243"/>
        <v>1466.8439918070094</v>
      </c>
      <c r="T92" s="197">
        <f t="shared" si="212"/>
        <v>1018.5769493365078</v>
      </c>
      <c r="U92" s="197">
        <f t="shared" si="212"/>
        <v>2433.6699706986801</v>
      </c>
      <c r="V92" s="197">
        <f t="shared" si="212"/>
        <v>-966.82597889167039</v>
      </c>
      <c r="W92" s="199">
        <f t="shared" si="212"/>
        <v>51.750970444837492</v>
      </c>
      <c r="Z92" s="204">
        <f t="shared" si="244"/>
        <v>5</v>
      </c>
      <c r="AA92" s="746">
        <f>'Energy NPV'!$D17*$AB$84</f>
        <v>0</v>
      </c>
      <c r="AB92" s="197">
        <f>'Energy margins'!$E$12</f>
        <v>55</v>
      </c>
      <c r="AC92" s="197">
        <f t="shared" si="245"/>
        <v>0</v>
      </c>
      <c r="AD92" s="197">
        <f>'Margins summary'!$Q$14</f>
        <v>220</v>
      </c>
      <c r="AE92" s="197">
        <f t="shared" si="213"/>
        <v>220</v>
      </c>
      <c r="AF92" s="197"/>
      <c r="AG92" s="897">
        <f>'Energy NPV'!U17</f>
        <v>0</v>
      </c>
      <c r="AH92" s="197"/>
      <c r="AI92" s="197">
        <f t="shared" si="197"/>
        <v>0</v>
      </c>
      <c r="AJ92" s="197">
        <f t="shared" si="198"/>
        <v>0</v>
      </c>
      <c r="AK92" s="197">
        <f t="shared" si="199"/>
        <v>220</v>
      </c>
      <c r="AL92" s="1008">
        <f t="shared" si="214"/>
        <v>0</v>
      </c>
      <c r="AM92" s="1011">
        <f t="shared" si="215"/>
        <v>188.05692202653967</v>
      </c>
      <c r="AN92" s="1011">
        <f t="shared" si="216"/>
        <v>0</v>
      </c>
      <c r="AO92" s="1011">
        <f t="shared" si="217"/>
        <v>0</v>
      </c>
      <c r="AP92" s="1013">
        <f t="shared" si="218"/>
        <v>188.05692202653967</v>
      </c>
      <c r="AQ92" s="196">
        <f t="shared" si="246"/>
        <v>2200.2659877105143</v>
      </c>
      <c r="AR92" s="197">
        <f t="shared" si="219"/>
        <v>1018.5769493365078</v>
      </c>
      <c r="AS92" s="197">
        <f t="shared" si="219"/>
        <v>2433.6699706986801</v>
      </c>
      <c r="AT92" s="197">
        <f t="shared" si="219"/>
        <v>-233.40398298816558</v>
      </c>
      <c r="AU92" s="199">
        <f t="shared" si="219"/>
        <v>785.17296634834247</v>
      </c>
      <c r="AX92" s="204">
        <f t="shared" si="247"/>
        <v>5</v>
      </c>
      <c r="AY92" s="746">
        <f>'Energy NPV'!$D17*$AZ$84</f>
        <v>0</v>
      </c>
      <c r="AZ92" s="197">
        <f>'Energy margins'!$E$12</f>
        <v>55</v>
      </c>
      <c r="BA92" s="197">
        <f t="shared" si="248"/>
        <v>0</v>
      </c>
      <c r="BB92" s="197">
        <f>'Margins summary'!$Q$14</f>
        <v>220</v>
      </c>
      <c r="BC92" s="197">
        <f t="shared" si="220"/>
        <v>220</v>
      </c>
      <c r="BD92" s="197"/>
      <c r="BE92" s="897">
        <f>'Energy NPV'!U17</f>
        <v>0</v>
      </c>
      <c r="BF92" s="197"/>
      <c r="BG92" s="197">
        <f t="shared" si="200"/>
        <v>0</v>
      </c>
      <c r="BH92" s="197">
        <f t="shared" si="201"/>
        <v>0</v>
      </c>
      <c r="BI92" s="197">
        <f t="shared" si="202"/>
        <v>220</v>
      </c>
      <c r="BJ92" s="1008">
        <f t="shared" si="221"/>
        <v>0</v>
      </c>
      <c r="BK92" s="1011">
        <f t="shared" si="222"/>
        <v>188.05692202653967</v>
      </c>
      <c r="BL92" s="1011">
        <f t="shared" si="223"/>
        <v>0</v>
      </c>
      <c r="BM92" s="1011">
        <f t="shared" si="224"/>
        <v>0</v>
      </c>
      <c r="BN92" s="1013">
        <f t="shared" si="225"/>
        <v>188.05692202653967</v>
      </c>
      <c r="BO92" s="196">
        <f t="shared" si="249"/>
        <v>733.42199590350469</v>
      </c>
      <c r="BP92" s="197">
        <f t="shared" si="226"/>
        <v>1018.5769493365078</v>
      </c>
      <c r="BQ92" s="197">
        <f t="shared" si="226"/>
        <v>2433.6699706986801</v>
      </c>
      <c r="BR92" s="197">
        <f t="shared" si="226"/>
        <v>-1700.2479747951752</v>
      </c>
      <c r="BS92" s="199">
        <f t="shared" si="226"/>
        <v>-681.67102545866715</v>
      </c>
      <c r="BV92" s="204">
        <f t="shared" si="250"/>
        <v>5</v>
      </c>
      <c r="BW92" s="746">
        <f>'Energy NPV'!$D17*$BX$84</f>
        <v>0</v>
      </c>
      <c r="BX92" s="197">
        <f>'Energy margins'!$E$12</f>
        <v>55</v>
      </c>
      <c r="BY92" s="197">
        <f t="shared" si="251"/>
        <v>0</v>
      </c>
      <c r="BZ92" s="197">
        <f>'Margins summary'!$Q$14</f>
        <v>220</v>
      </c>
      <c r="CA92" s="197">
        <f t="shared" si="227"/>
        <v>220</v>
      </c>
      <c r="CB92" s="197"/>
      <c r="CC92" s="897">
        <f>'Energy NPV'!U17</f>
        <v>0</v>
      </c>
      <c r="CD92" s="197"/>
      <c r="CE92" s="197">
        <f t="shared" si="203"/>
        <v>0</v>
      </c>
      <c r="CF92" s="197">
        <f t="shared" si="204"/>
        <v>0</v>
      </c>
      <c r="CG92" s="197">
        <f t="shared" si="205"/>
        <v>220</v>
      </c>
      <c r="CH92" s="1008">
        <f t="shared" si="228"/>
        <v>0</v>
      </c>
      <c r="CI92" s="1011">
        <f t="shared" si="229"/>
        <v>188.05692202653967</v>
      </c>
      <c r="CJ92" s="1011">
        <f t="shared" si="230"/>
        <v>0</v>
      </c>
      <c r="CK92" s="1011">
        <f t="shared" si="231"/>
        <v>0</v>
      </c>
      <c r="CL92" s="1013">
        <f t="shared" si="232"/>
        <v>188.05692202653967</v>
      </c>
      <c r="CM92" s="196">
        <f t="shared" si="252"/>
        <v>2933.6879836140188</v>
      </c>
      <c r="CN92" s="197">
        <f t="shared" si="233"/>
        <v>1018.5769493365078</v>
      </c>
      <c r="CO92" s="197">
        <f t="shared" si="233"/>
        <v>2433.6699706986801</v>
      </c>
      <c r="CP92" s="197">
        <f t="shared" si="233"/>
        <v>500.01801291533911</v>
      </c>
      <c r="CQ92" s="199">
        <f t="shared" si="233"/>
        <v>1518.5949622518474</v>
      </c>
      <c r="CT92" s="204">
        <f t="shared" si="253"/>
        <v>5</v>
      </c>
      <c r="CU92" s="746">
        <f>'Energy NPV'!$D17*$CV$84</f>
        <v>0</v>
      </c>
      <c r="CV92" s="197">
        <f>'Energy margins'!$E$12</f>
        <v>55</v>
      </c>
      <c r="CW92" s="197">
        <f t="shared" si="254"/>
        <v>0</v>
      </c>
      <c r="CX92" s="197">
        <f>'Margins summary'!$Q$14</f>
        <v>220</v>
      </c>
      <c r="CY92" s="197">
        <f t="shared" si="234"/>
        <v>220</v>
      </c>
      <c r="CZ92" s="197"/>
      <c r="DA92" s="897">
        <f>'Energy NPV'!U17</f>
        <v>0</v>
      </c>
      <c r="DB92" s="197"/>
      <c r="DC92" s="197">
        <f t="shared" si="206"/>
        <v>0</v>
      </c>
      <c r="DD92" s="197">
        <f t="shared" si="207"/>
        <v>0</v>
      </c>
      <c r="DE92" s="197">
        <f t="shared" si="208"/>
        <v>220</v>
      </c>
      <c r="DF92" s="1008">
        <f t="shared" si="235"/>
        <v>0</v>
      </c>
      <c r="DG92" s="1011">
        <f t="shared" si="236"/>
        <v>188.05692202653967</v>
      </c>
      <c r="DH92" s="1011">
        <f t="shared" si="237"/>
        <v>0</v>
      </c>
      <c r="DI92" s="1011">
        <f t="shared" si="238"/>
        <v>0</v>
      </c>
      <c r="DJ92" s="1013">
        <f t="shared" si="239"/>
        <v>188.05692202653967</v>
      </c>
      <c r="DK92" s="196">
        <f t="shared" si="255"/>
        <v>0</v>
      </c>
      <c r="DL92" s="197">
        <f t="shared" si="240"/>
        <v>1018.5769493365078</v>
      </c>
      <c r="DM92" s="197">
        <f t="shared" si="240"/>
        <v>2433.6699706986801</v>
      </c>
      <c r="DN92" s="197">
        <f t="shared" si="240"/>
        <v>-2433.6699706986801</v>
      </c>
      <c r="DO92" s="199">
        <f t="shared" si="240"/>
        <v>-1415.0930213621718</v>
      </c>
    </row>
    <row r="93" spans="2:175" x14ac:dyDescent="0.3">
      <c r="B93" s="204">
        <f t="shared" si="241"/>
        <v>6</v>
      </c>
      <c r="C93" s="746">
        <f>'Energy NPV'!$D18*$E$84</f>
        <v>0</v>
      </c>
      <c r="D93" s="197">
        <f>'Energy margins'!$E$12</f>
        <v>55</v>
      </c>
      <c r="E93" s="197">
        <f t="shared" si="242"/>
        <v>0</v>
      </c>
      <c r="F93" s="197">
        <f>'Margins summary'!$Q$14</f>
        <v>220</v>
      </c>
      <c r="G93" s="197">
        <f t="shared" si="209"/>
        <v>220</v>
      </c>
      <c r="H93" s="197"/>
      <c r="I93" s="897">
        <f>'Energy NPV'!U18</f>
        <v>0</v>
      </c>
      <c r="J93" s="197"/>
      <c r="K93" s="197">
        <f t="shared" si="194"/>
        <v>0</v>
      </c>
      <c r="L93" s="197">
        <f t="shared" si="195"/>
        <v>0</v>
      </c>
      <c r="M93" s="197">
        <f t="shared" si="196"/>
        <v>220</v>
      </c>
      <c r="N93" s="1008">
        <f t="shared" si="210"/>
        <v>0</v>
      </c>
      <c r="O93" s="1011">
        <f t="shared" si="210"/>
        <v>180.82396348705734</v>
      </c>
      <c r="P93" s="1011">
        <f t="shared" si="211"/>
        <v>0</v>
      </c>
      <c r="Q93" s="1011">
        <f t="shared" si="211"/>
        <v>0</v>
      </c>
      <c r="R93" s="1013">
        <f t="shared" si="211"/>
        <v>180.82396348705734</v>
      </c>
      <c r="S93" s="196">
        <f t="shared" si="243"/>
        <v>1466.8439918070094</v>
      </c>
      <c r="T93" s="197">
        <f t="shared" si="212"/>
        <v>1199.4009128235652</v>
      </c>
      <c r="U93" s="197">
        <f t="shared" si="212"/>
        <v>2433.6699706986801</v>
      </c>
      <c r="V93" s="197">
        <f t="shared" si="212"/>
        <v>-966.82597889167039</v>
      </c>
      <c r="W93" s="199">
        <f t="shared" si="212"/>
        <v>232.57493393189483</v>
      </c>
      <c r="Z93" s="204">
        <f t="shared" si="244"/>
        <v>6</v>
      </c>
      <c r="AA93" s="746">
        <f>'Energy NPV'!$D18*$AB$84</f>
        <v>0</v>
      </c>
      <c r="AB93" s="197">
        <f>'Energy margins'!$E$12</f>
        <v>55</v>
      </c>
      <c r="AC93" s="197">
        <f t="shared" si="245"/>
        <v>0</v>
      </c>
      <c r="AD93" s="197">
        <f>'Margins summary'!$Q$14</f>
        <v>220</v>
      </c>
      <c r="AE93" s="197">
        <f t="shared" si="213"/>
        <v>220</v>
      </c>
      <c r="AF93" s="197"/>
      <c r="AG93" s="897">
        <f>'Energy NPV'!U18</f>
        <v>0</v>
      </c>
      <c r="AH93" s="197"/>
      <c r="AI93" s="197">
        <f t="shared" si="197"/>
        <v>0</v>
      </c>
      <c r="AJ93" s="197">
        <f t="shared" si="198"/>
        <v>0</v>
      </c>
      <c r="AK93" s="197">
        <f t="shared" si="199"/>
        <v>220</v>
      </c>
      <c r="AL93" s="1008">
        <f t="shared" si="214"/>
        <v>0</v>
      </c>
      <c r="AM93" s="1011">
        <f t="shared" si="215"/>
        <v>180.82396348705734</v>
      </c>
      <c r="AN93" s="1011">
        <f t="shared" si="216"/>
        <v>0</v>
      </c>
      <c r="AO93" s="1011">
        <f t="shared" si="217"/>
        <v>0</v>
      </c>
      <c r="AP93" s="1013">
        <f t="shared" si="218"/>
        <v>180.82396348705734</v>
      </c>
      <c r="AQ93" s="196">
        <f t="shared" si="246"/>
        <v>2200.2659877105143</v>
      </c>
      <c r="AR93" s="197">
        <f t="shared" si="219"/>
        <v>1199.4009128235652</v>
      </c>
      <c r="AS93" s="197">
        <f t="shared" si="219"/>
        <v>2433.6699706986801</v>
      </c>
      <c r="AT93" s="197">
        <f t="shared" si="219"/>
        <v>-233.40398298816558</v>
      </c>
      <c r="AU93" s="199">
        <f t="shared" si="219"/>
        <v>965.99692983539978</v>
      </c>
      <c r="AX93" s="204">
        <f t="shared" si="247"/>
        <v>6</v>
      </c>
      <c r="AY93" s="746">
        <f>'Energy NPV'!$D18*$AZ$84</f>
        <v>0</v>
      </c>
      <c r="AZ93" s="197">
        <f>'Energy margins'!$E$12</f>
        <v>55</v>
      </c>
      <c r="BA93" s="197">
        <f t="shared" si="248"/>
        <v>0</v>
      </c>
      <c r="BB93" s="197">
        <f>'Margins summary'!$Q$14</f>
        <v>220</v>
      </c>
      <c r="BC93" s="197">
        <f t="shared" si="220"/>
        <v>220</v>
      </c>
      <c r="BD93" s="197"/>
      <c r="BE93" s="897">
        <f>'Energy NPV'!U18</f>
        <v>0</v>
      </c>
      <c r="BF93" s="197"/>
      <c r="BG93" s="197">
        <f t="shared" si="200"/>
        <v>0</v>
      </c>
      <c r="BH93" s="197">
        <f t="shared" si="201"/>
        <v>0</v>
      </c>
      <c r="BI93" s="197">
        <f t="shared" si="202"/>
        <v>220</v>
      </c>
      <c r="BJ93" s="1008">
        <f t="shared" si="221"/>
        <v>0</v>
      </c>
      <c r="BK93" s="1011">
        <f t="shared" si="222"/>
        <v>180.82396348705734</v>
      </c>
      <c r="BL93" s="1011">
        <f t="shared" si="223"/>
        <v>0</v>
      </c>
      <c r="BM93" s="1011">
        <f t="shared" si="224"/>
        <v>0</v>
      </c>
      <c r="BN93" s="1013">
        <f t="shared" si="225"/>
        <v>180.82396348705734</v>
      </c>
      <c r="BO93" s="196">
        <f t="shared" si="249"/>
        <v>733.42199590350469</v>
      </c>
      <c r="BP93" s="197">
        <f t="shared" si="226"/>
        <v>1199.4009128235652</v>
      </c>
      <c r="BQ93" s="197">
        <f t="shared" si="226"/>
        <v>2433.6699706986801</v>
      </c>
      <c r="BR93" s="197">
        <f t="shared" si="226"/>
        <v>-1700.2479747951752</v>
      </c>
      <c r="BS93" s="199">
        <f t="shared" si="226"/>
        <v>-500.84706197160983</v>
      </c>
      <c r="BV93" s="204">
        <f t="shared" si="250"/>
        <v>6</v>
      </c>
      <c r="BW93" s="746">
        <f>'Energy NPV'!$D18*$BX$84</f>
        <v>0</v>
      </c>
      <c r="BX93" s="197">
        <f>'Energy margins'!$E$12</f>
        <v>55</v>
      </c>
      <c r="BY93" s="197">
        <f t="shared" si="251"/>
        <v>0</v>
      </c>
      <c r="BZ93" s="197">
        <f>'Margins summary'!$Q$14</f>
        <v>220</v>
      </c>
      <c r="CA93" s="197">
        <f t="shared" si="227"/>
        <v>220</v>
      </c>
      <c r="CB93" s="197"/>
      <c r="CC93" s="897">
        <f>'Energy NPV'!U18</f>
        <v>0</v>
      </c>
      <c r="CD93" s="197"/>
      <c r="CE93" s="197">
        <f t="shared" si="203"/>
        <v>0</v>
      </c>
      <c r="CF93" s="197">
        <f t="shared" si="204"/>
        <v>0</v>
      </c>
      <c r="CG93" s="197">
        <f t="shared" si="205"/>
        <v>220</v>
      </c>
      <c r="CH93" s="1008">
        <f t="shared" si="228"/>
        <v>0</v>
      </c>
      <c r="CI93" s="1011">
        <f t="shared" si="229"/>
        <v>180.82396348705734</v>
      </c>
      <c r="CJ93" s="1011">
        <f t="shared" si="230"/>
        <v>0</v>
      </c>
      <c r="CK93" s="1011">
        <f t="shared" si="231"/>
        <v>0</v>
      </c>
      <c r="CL93" s="1013">
        <f t="shared" si="232"/>
        <v>180.82396348705734</v>
      </c>
      <c r="CM93" s="196">
        <f t="shared" si="252"/>
        <v>2933.6879836140188</v>
      </c>
      <c r="CN93" s="197">
        <f t="shared" si="233"/>
        <v>1199.4009128235652</v>
      </c>
      <c r="CO93" s="197">
        <f t="shared" si="233"/>
        <v>2433.6699706986801</v>
      </c>
      <c r="CP93" s="197">
        <f t="shared" si="233"/>
        <v>500.01801291533911</v>
      </c>
      <c r="CQ93" s="199">
        <f t="shared" si="233"/>
        <v>1699.4189257389048</v>
      </c>
      <c r="CT93" s="204">
        <f t="shared" si="253"/>
        <v>6</v>
      </c>
      <c r="CU93" s="746">
        <f>'Energy NPV'!$D18*$CV$84</f>
        <v>0</v>
      </c>
      <c r="CV93" s="197">
        <f>'Energy margins'!$E$12</f>
        <v>55</v>
      </c>
      <c r="CW93" s="197">
        <f t="shared" si="254"/>
        <v>0</v>
      </c>
      <c r="CX93" s="197">
        <f>'Margins summary'!$Q$14</f>
        <v>220</v>
      </c>
      <c r="CY93" s="197">
        <f t="shared" si="234"/>
        <v>220</v>
      </c>
      <c r="CZ93" s="197"/>
      <c r="DA93" s="897">
        <f>'Energy NPV'!U18</f>
        <v>0</v>
      </c>
      <c r="DB93" s="197"/>
      <c r="DC93" s="197">
        <f t="shared" si="206"/>
        <v>0</v>
      </c>
      <c r="DD93" s="197">
        <f t="shared" si="207"/>
        <v>0</v>
      </c>
      <c r="DE93" s="197">
        <f t="shared" si="208"/>
        <v>220</v>
      </c>
      <c r="DF93" s="1008">
        <f t="shared" si="235"/>
        <v>0</v>
      </c>
      <c r="DG93" s="1011">
        <f t="shared" si="236"/>
        <v>180.82396348705734</v>
      </c>
      <c r="DH93" s="1011">
        <f t="shared" si="237"/>
        <v>0</v>
      </c>
      <c r="DI93" s="1011">
        <f t="shared" si="238"/>
        <v>0</v>
      </c>
      <c r="DJ93" s="1013">
        <f t="shared" si="239"/>
        <v>180.82396348705734</v>
      </c>
      <c r="DK93" s="196">
        <f t="shared" si="255"/>
        <v>0</v>
      </c>
      <c r="DL93" s="197">
        <f t="shared" si="240"/>
        <v>1199.4009128235652</v>
      </c>
      <c r="DM93" s="197">
        <f t="shared" si="240"/>
        <v>2433.6699706986801</v>
      </c>
      <c r="DN93" s="197">
        <f t="shared" si="240"/>
        <v>-2433.6699706986801</v>
      </c>
      <c r="DO93" s="199">
        <f t="shared" si="240"/>
        <v>-1234.2690578751144</v>
      </c>
    </row>
    <row r="94" spans="2:175" x14ac:dyDescent="0.3">
      <c r="B94" s="204">
        <f t="shared" si="241"/>
        <v>7</v>
      </c>
      <c r="C94" s="746">
        <f>'Energy NPV'!$D19*$E$84</f>
        <v>30</v>
      </c>
      <c r="D94" s="197">
        <f>'Energy margins'!$E$12</f>
        <v>55</v>
      </c>
      <c r="E94" s="197">
        <f t="shared" si="242"/>
        <v>1650</v>
      </c>
      <c r="F94" s="197">
        <f>'Margins summary'!$Q$14</f>
        <v>220</v>
      </c>
      <c r="G94" s="197">
        <f t="shared" si="209"/>
        <v>1870</v>
      </c>
      <c r="H94" s="197"/>
      <c r="I94" s="897">
        <f>'Energy NPV'!U19</f>
        <v>592.40499999999997</v>
      </c>
      <c r="J94" s="197"/>
      <c r="K94" s="197">
        <f t="shared" si="194"/>
        <v>592.40499999999997</v>
      </c>
      <c r="L94" s="197">
        <f t="shared" si="195"/>
        <v>1057.595</v>
      </c>
      <c r="M94" s="197">
        <f t="shared" si="196"/>
        <v>1277.595</v>
      </c>
      <c r="N94" s="1008">
        <f t="shared" si="210"/>
        <v>1304.0189674547405</v>
      </c>
      <c r="O94" s="1011">
        <f t="shared" si="210"/>
        <v>173.86919566063204</v>
      </c>
      <c r="P94" s="1011">
        <f t="shared" si="211"/>
        <v>468.18627661516695</v>
      </c>
      <c r="Q94" s="1011">
        <f t="shared" si="211"/>
        <v>835.8326908395735</v>
      </c>
      <c r="R94" s="1013">
        <f t="shared" si="211"/>
        <v>1009.7018865002055</v>
      </c>
      <c r="S94" s="196">
        <f t="shared" si="243"/>
        <v>2770.8629592617499</v>
      </c>
      <c r="T94" s="197">
        <f t="shared" si="212"/>
        <v>1373.2701084841974</v>
      </c>
      <c r="U94" s="197">
        <f t="shared" si="212"/>
        <v>2901.8562473138472</v>
      </c>
      <c r="V94" s="197">
        <f t="shared" si="212"/>
        <v>-130.99328805209689</v>
      </c>
      <c r="W94" s="199">
        <f t="shared" si="212"/>
        <v>1242.2768204321003</v>
      </c>
      <c r="Z94" s="204">
        <f t="shared" si="244"/>
        <v>7</v>
      </c>
      <c r="AA94" s="746">
        <f>'Energy NPV'!$D19*$AB$84</f>
        <v>45</v>
      </c>
      <c r="AB94" s="197">
        <f>'Energy margins'!$E$12</f>
        <v>55</v>
      </c>
      <c r="AC94" s="197">
        <f t="shared" si="245"/>
        <v>2475</v>
      </c>
      <c r="AD94" s="197">
        <f>'Margins summary'!$Q$14</f>
        <v>220</v>
      </c>
      <c r="AE94" s="197">
        <f t="shared" si="213"/>
        <v>2695</v>
      </c>
      <c r="AF94" s="197"/>
      <c r="AG94" s="897">
        <f>'Energy NPV'!U19</f>
        <v>592.40499999999997</v>
      </c>
      <c r="AH94" s="197"/>
      <c r="AI94" s="197">
        <f t="shared" si="197"/>
        <v>592.40499999999997</v>
      </c>
      <c r="AJ94" s="197">
        <f t="shared" si="198"/>
        <v>1882.595</v>
      </c>
      <c r="AK94" s="197">
        <f t="shared" si="199"/>
        <v>2102.5950000000003</v>
      </c>
      <c r="AL94" s="1008">
        <f t="shared" si="214"/>
        <v>1956.0284511821105</v>
      </c>
      <c r="AM94" s="1011">
        <f t="shared" si="215"/>
        <v>173.86919566063204</v>
      </c>
      <c r="AN94" s="1011">
        <f t="shared" si="216"/>
        <v>468.18627661516695</v>
      </c>
      <c r="AO94" s="1011">
        <f t="shared" si="217"/>
        <v>1487.8421745669436</v>
      </c>
      <c r="AP94" s="1013">
        <f t="shared" si="218"/>
        <v>1661.711370227576</v>
      </c>
      <c r="AQ94" s="196">
        <f t="shared" si="246"/>
        <v>4156.2944388926244</v>
      </c>
      <c r="AR94" s="197">
        <f t="shared" si="219"/>
        <v>1373.2701084841974</v>
      </c>
      <c r="AS94" s="197">
        <f t="shared" si="219"/>
        <v>2901.8562473138472</v>
      </c>
      <c r="AT94" s="197">
        <f t="shared" si="219"/>
        <v>1254.4381915787781</v>
      </c>
      <c r="AU94" s="199">
        <f t="shared" si="219"/>
        <v>2627.7083000629759</v>
      </c>
      <c r="AX94" s="204">
        <f t="shared" si="247"/>
        <v>7</v>
      </c>
      <c r="AY94" s="746">
        <f>'Energy NPV'!$D19*$AZ$84</f>
        <v>15</v>
      </c>
      <c r="AZ94" s="197">
        <f>'Energy margins'!$E$12</f>
        <v>55</v>
      </c>
      <c r="BA94" s="197">
        <f t="shared" si="248"/>
        <v>825</v>
      </c>
      <c r="BB94" s="197">
        <f>'Margins summary'!$Q$14</f>
        <v>220</v>
      </c>
      <c r="BC94" s="197">
        <f t="shared" si="220"/>
        <v>1045</v>
      </c>
      <c r="BD94" s="197"/>
      <c r="BE94" s="897">
        <f>'Energy NPV'!U19</f>
        <v>592.40499999999997</v>
      </c>
      <c r="BF94" s="197"/>
      <c r="BG94" s="197">
        <f t="shared" si="200"/>
        <v>592.40499999999997</v>
      </c>
      <c r="BH94" s="197">
        <f t="shared" si="201"/>
        <v>232.59500000000003</v>
      </c>
      <c r="BI94" s="197">
        <f t="shared" si="202"/>
        <v>452.59500000000003</v>
      </c>
      <c r="BJ94" s="1008">
        <f t="shared" si="221"/>
        <v>652.00948372737025</v>
      </c>
      <c r="BK94" s="1011">
        <f t="shared" si="222"/>
        <v>173.86919566063204</v>
      </c>
      <c r="BL94" s="1011">
        <f t="shared" si="223"/>
        <v>468.18627661516695</v>
      </c>
      <c r="BM94" s="1011">
        <f t="shared" si="224"/>
        <v>183.82320711220325</v>
      </c>
      <c r="BN94" s="1013">
        <f t="shared" si="225"/>
        <v>357.69240277283529</v>
      </c>
      <c r="BO94" s="196">
        <f t="shared" si="249"/>
        <v>1385.4314796308749</v>
      </c>
      <c r="BP94" s="197">
        <f t="shared" si="226"/>
        <v>1373.2701084841974</v>
      </c>
      <c r="BQ94" s="197">
        <f t="shared" si="226"/>
        <v>2901.8562473138472</v>
      </c>
      <c r="BR94" s="197">
        <f t="shared" si="226"/>
        <v>-1516.4247676829718</v>
      </c>
      <c r="BS94" s="199">
        <f t="shared" si="226"/>
        <v>-143.15465919877454</v>
      </c>
      <c r="BV94" s="204">
        <f t="shared" si="250"/>
        <v>7</v>
      </c>
      <c r="BW94" s="746">
        <f>'Energy NPV'!$D19*$BX$84</f>
        <v>60</v>
      </c>
      <c r="BX94" s="197">
        <f>'Energy margins'!$E$12</f>
        <v>55</v>
      </c>
      <c r="BY94" s="197">
        <f t="shared" si="251"/>
        <v>3300</v>
      </c>
      <c r="BZ94" s="197">
        <f>'Margins summary'!$Q$14</f>
        <v>220</v>
      </c>
      <c r="CA94" s="197">
        <f t="shared" si="227"/>
        <v>3520</v>
      </c>
      <c r="CB94" s="197"/>
      <c r="CC94" s="897">
        <f>'Energy NPV'!U19</f>
        <v>592.40499999999997</v>
      </c>
      <c r="CD94" s="197"/>
      <c r="CE94" s="197">
        <f t="shared" si="203"/>
        <v>592.40499999999997</v>
      </c>
      <c r="CF94" s="197">
        <f t="shared" si="204"/>
        <v>2707.5950000000003</v>
      </c>
      <c r="CG94" s="197">
        <f t="shared" si="205"/>
        <v>2927.5950000000003</v>
      </c>
      <c r="CH94" s="1008">
        <f t="shared" si="228"/>
        <v>2608.037934909481</v>
      </c>
      <c r="CI94" s="1011">
        <f t="shared" si="229"/>
        <v>173.86919566063204</v>
      </c>
      <c r="CJ94" s="1011">
        <f t="shared" si="230"/>
        <v>468.18627661516695</v>
      </c>
      <c r="CK94" s="1011">
        <f t="shared" si="231"/>
        <v>2139.8516582943139</v>
      </c>
      <c r="CL94" s="1013">
        <f t="shared" si="232"/>
        <v>2313.7208539549461</v>
      </c>
      <c r="CM94" s="196">
        <f t="shared" si="252"/>
        <v>5541.7259185234998</v>
      </c>
      <c r="CN94" s="197">
        <f t="shared" si="233"/>
        <v>1373.2701084841974</v>
      </c>
      <c r="CO94" s="197">
        <f t="shared" si="233"/>
        <v>2901.8562473138472</v>
      </c>
      <c r="CP94" s="197">
        <f t="shared" si="233"/>
        <v>2639.869671209653</v>
      </c>
      <c r="CQ94" s="199">
        <f t="shared" si="233"/>
        <v>4013.1397796938509</v>
      </c>
      <c r="CT94" s="204">
        <f t="shared" si="253"/>
        <v>7</v>
      </c>
      <c r="CU94" s="746">
        <f>'Energy NPV'!$D19*$CV$84</f>
        <v>0</v>
      </c>
      <c r="CV94" s="197">
        <f>'Energy margins'!$E$12</f>
        <v>55</v>
      </c>
      <c r="CW94" s="197">
        <f t="shared" si="254"/>
        <v>0</v>
      </c>
      <c r="CX94" s="197">
        <f>'Margins summary'!$Q$14</f>
        <v>220</v>
      </c>
      <c r="CY94" s="197">
        <f t="shared" si="234"/>
        <v>220</v>
      </c>
      <c r="CZ94" s="197"/>
      <c r="DA94" s="897">
        <f>'Energy NPV'!U19</f>
        <v>592.40499999999997</v>
      </c>
      <c r="DB94" s="197"/>
      <c r="DC94" s="197">
        <f t="shared" si="206"/>
        <v>592.40499999999997</v>
      </c>
      <c r="DD94" s="197">
        <f t="shared" si="207"/>
        <v>-592.40499999999997</v>
      </c>
      <c r="DE94" s="197">
        <f t="shared" si="208"/>
        <v>-372.40499999999997</v>
      </c>
      <c r="DF94" s="1008">
        <f t="shared" si="235"/>
        <v>0</v>
      </c>
      <c r="DG94" s="1011">
        <f t="shared" si="236"/>
        <v>173.86919566063204</v>
      </c>
      <c r="DH94" s="1011">
        <f t="shared" si="237"/>
        <v>468.18627661516695</v>
      </c>
      <c r="DI94" s="1011">
        <f t="shared" si="238"/>
        <v>-468.18627661516695</v>
      </c>
      <c r="DJ94" s="1013">
        <f t="shared" si="239"/>
        <v>-294.3170809545349</v>
      </c>
      <c r="DK94" s="196">
        <f t="shared" si="255"/>
        <v>0</v>
      </c>
      <c r="DL94" s="197">
        <f t="shared" si="240"/>
        <v>1373.2701084841974</v>
      </c>
      <c r="DM94" s="197">
        <f t="shared" si="240"/>
        <v>2901.8562473138472</v>
      </c>
      <c r="DN94" s="197">
        <f t="shared" si="240"/>
        <v>-2901.8562473138472</v>
      </c>
      <c r="DO94" s="199">
        <f t="shared" si="240"/>
        <v>-1528.5861388296494</v>
      </c>
    </row>
    <row r="95" spans="2:175" x14ac:dyDescent="0.3">
      <c r="B95" s="204">
        <f t="shared" si="241"/>
        <v>8</v>
      </c>
      <c r="C95" s="746">
        <f>'Energy NPV'!$D20*$E$84</f>
        <v>0</v>
      </c>
      <c r="D95" s="197">
        <f>'Energy margins'!$E$12</f>
        <v>55</v>
      </c>
      <c r="E95" s="197">
        <f t="shared" si="242"/>
        <v>0</v>
      </c>
      <c r="F95" s="197">
        <f>'Margins summary'!$Q$14</f>
        <v>220</v>
      </c>
      <c r="G95" s="197">
        <f t="shared" si="209"/>
        <v>220</v>
      </c>
      <c r="H95" s="197"/>
      <c r="I95" s="897">
        <f>'Energy NPV'!U20</f>
        <v>0</v>
      </c>
      <c r="J95" s="197"/>
      <c r="K95" s="197">
        <f t="shared" si="194"/>
        <v>0</v>
      </c>
      <c r="L95" s="197">
        <f t="shared" si="195"/>
        <v>0</v>
      </c>
      <c r="M95" s="197">
        <f t="shared" si="196"/>
        <v>220</v>
      </c>
      <c r="N95" s="1008">
        <f t="shared" si="210"/>
        <v>0</v>
      </c>
      <c r="O95" s="1011">
        <f t="shared" si="210"/>
        <v>167.18191890445391</v>
      </c>
      <c r="P95" s="1011">
        <f t="shared" si="211"/>
        <v>0</v>
      </c>
      <c r="Q95" s="1011">
        <f t="shared" si="211"/>
        <v>0</v>
      </c>
      <c r="R95" s="1013">
        <f t="shared" si="211"/>
        <v>167.18191890445391</v>
      </c>
      <c r="S95" s="196">
        <f t="shared" si="243"/>
        <v>2770.8629592617499</v>
      </c>
      <c r="T95" s="197">
        <f t="shared" si="212"/>
        <v>1540.4520273886512</v>
      </c>
      <c r="U95" s="197">
        <f t="shared" si="212"/>
        <v>2901.8562473138472</v>
      </c>
      <c r="V95" s="197">
        <f t="shared" si="212"/>
        <v>-130.99328805209689</v>
      </c>
      <c r="W95" s="199">
        <f t="shared" si="212"/>
        <v>1409.4587393365541</v>
      </c>
      <c r="Z95" s="204">
        <f t="shared" si="244"/>
        <v>8</v>
      </c>
      <c r="AA95" s="746">
        <f>'Energy NPV'!$D20*$AB$84</f>
        <v>0</v>
      </c>
      <c r="AB95" s="197">
        <f>'Energy margins'!$E$12</f>
        <v>55</v>
      </c>
      <c r="AC95" s="197">
        <f t="shared" si="245"/>
        <v>0</v>
      </c>
      <c r="AD95" s="197">
        <f>'Margins summary'!$Q$14</f>
        <v>220</v>
      </c>
      <c r="AE95" s="197">
        <f t="shared" si="213"/>
        <v>220</v>
      </c>
      <c r="AF95" s="197"/>
      <c r="AG95" s="897">
        <f>'Energy NPV'!U20</f>
        <v>0</v>
      </c>
      <c r="AH95" s="197"/>
      <c r="AI95" s="197">
        <f t="shared" si="197"/>
        <v>0</v>
      </c>
      <c r="AJ95" s="197">
        <f t="shared" si="198"/>
        <v>0</v>
      </c>
      <c r="AK95" s="197">
        <f t="shared" si="199"/>
        <v>220</v>
      </c>
      <c r="AL95" s="1008">
        <f t="shared" si="214"/>
        <v>0</v>
      </c>
      <c r="AM95" s="1011">
        <f t="shared" si="215"/>
        <v>167.18191890445391</v>
      </c>
      <c r="AN95" s="1011">
        <f t="shared" si="216"/>
        <v>0</v>
      </c>
      <c r="AO95" s="1011">
        <f t="shared" si="217"/>
        <v>0</v>
      </c>
      <c r="AP95" s="1013">
        <f t="shared" si="218"/>
        <v>167.18191890445391</v>
      </c>
      <c r="AQ95" s="196">
        <f t="shared" si="246"/>
        <v>4156.2944388926244</v>
      </c>
      <c r="AR95" s="197">
        <f t="shared" si="219"/>
        <v>1540.4520273886512</v>
      </c>
      <c r="AS95" s="197">
        <f t="shared" si="219"/>
        <v>2901.8562473138472</v>
      </c>
      <c r="AT95" s="197">
        <f t="shared" si="219"/>
        <v>1254.4381915787781</v>
      </c>
      <c r="AU95" s="199">
        <f t="shared" si="219"/>
        <v>2794.89021896743</v>
      </c>
      <c r="AX95" s="204">
        <f t="shared" si="247"/>
        <v>8</v>
      </c>
      <c r="AY95" s="746">
        <f>'Energy NPV'!$D20*$AZ$84</f>
        <v>0</v>
      </c>
      <c r="AZ95" s="197">
        <f>'Energy margins'!$E$12</f>
        <v>55</v>
      </c>
      <c r="BA95" s="197">
        <f t="shared" si="248"/>
        <v>0</v>
      </c>
      <c r="BB95" s="197">
        <f>'Margins summary'!$Q$14</f>
        <v>220</v>
      </c>
      <c r="BC95" s="197">
        <f t="shared" si="220"/>
        <v>220</v>
      </c>
      <c r="BD95" s="197"/>
      <c r="BE95" s="897">
        <f>'Energy NPV'!U20</f>
        <v>0</v>
      </c>
      <c r="BF95" s="197"/>
      <c r="BG95" s="197">
        <f t="shared" si="200"/>
        <v>0</v>
      </c>
      <c r="BH95" s="197">
        <f t="shared" si="201"/>
        <v>0</v>
      </c>
      <c r="BI95" s="197">
        <f t="shared" si="202"/>
        <v>220</v>
      </c>
      <c r="BJ95" s="1008">
        <f t="shared" si="221"/>
        <v>0</v>
      </c>
      <c r="BK95" s="1011">
        <f t="shared" si="222"/>
        <v>167.18191890445391</v>
      </c>
      <c r="BL95" s="1011">
        <f t="shared" si="223"/>
        <v>0</v>
      </c>
      <c r="BM95" s="1011">
        <f t="shared" si="224"/>
        <v>0</v>
      </c>
      <c r="BN95" s="1013">
        <f t="shared" si="225"/>
        <v>167.18191890445391</v>
      </c>
      <c r="BO95" s="196">
        <f t="shared" si="249"/>
        <v>1385.4314796308749</v>
      </c>
      <c r="BP95" s="197">
        <f t="shared" si="226"/>
        <v>1540.4520273886512</v>
      </c>
      <c r="BQ95" s="197">
        <f t="shared" si="226"/>
        <v>2901.8562473138472</v>
      </c>
      <c r="BR95" s="197">
        <f t="shared" si="226"/>
        <v>-1516.4247676829718</v>
      </c>
      <c r="BS95" s="199">
        <f t="shared" si="226"/>
        <v>24.02725970567937</v>
      </c>
      <c r="BV95" s="204">
        <f t="shared" si="250"/>
        <v>8</v>
      </c>
      <c r="BW95" s="746">
        <f>'Energy NPV'!$D20*$BX$84</f>
        <v>0</v>
      </c>
      <c r="BX95" s="197">
        <f>'Energy margins'!$E$12</f>
        <v>55</v>
      </c>
      <c r="BY95" s="197">
        <f t="shared" si="251"/>
        <v>0</v>
      </c>
      <c r="BZ95" s="197">
        <f>'Margins summary'!$Q$14</f>
        <v>220</v>
      </c>
      <c r="CA95" s="197">
        <f t="shared" si="227"/>
        <v>220</v>
      </c>
      <c r="CB95" s="197"/>
      <c r="CC95" s="897">
        <f>'Energy NPV'!U20</f>
        <v>0</v>
      </c>
      <c r="CD95" s="197"/>
      <c r="CE95" s="197">
        <f t="shared" si="203"/>
        <v>0</v>
      </c>
      <c r="CF95" s="197">
        <f t="shared" si="204"/>
        <v>0</v>
      </c>
      <c r="CG95" s="197">
        <f t="shared" si="205"/>
        <v>220</v>
      </c>
      <c r="CH95" s="1008">
        <f t="shared" si="228"/>
        <v>0</v>
      </c>
      <c r="CI95" s="1011">
        <f t="shared" si="229"/>
        <v>167.18191890445391</v>
      </c>
      <c r="CJ95" s="1011">
        <f t="shared" si="230"/>
        <v>0</v>
      </c>
      <c r="CK95" s="1011">
        <f t="shared" si="231"/>
        <v>0</v>
      </c>
      <c r="CL95" s="1013">
        <f t="shared" si="232"/>
        <v>167.18191890445391</v>
      </c>
      <c r="CM95" s="196">
        <f t="shared" si="252"/>
        <v>5541.7259185234998</v>
      </c>
      <c r="CN95" s="197">
        <f t="shared" si="233"/>
        <v>1540.4520273886512</v>
      </c>
      <c r="CO95" s="197">
        <f t="shared" si="233"/>
        <v>2901.8562473138472</v>
      </c>
      <c r="CP95" s="197">
        <f t="shared" si="233"/>
        <v>2639.869671209653</v>
      </c>
      <c r="CQ95" s="199">
        <f t="shared" si="233"/>
        <v>4180.3216985983045</v>
      </c>
      <c r="CT95" s="204">
        <f t="shared" si="253"/>
        <v>8</v>
      </c>
      <c r="CU95" s="746">
        <f>'Energy NPV'!$D20*$CV$84</f>
        <v>0</v>
      </c>
      <c r="CV95" s="197">
        <f>'Energy margins'!$E$12</f>
        <v>55</v>
      </c>
      <c r="CW95" s="197">
        <f t="shared" si="254"/>
        <v>0</v>
      </c>
      <c r="CX95" s="197">
        <f>'Margins summary'!$Q$14</f>
        <v>220</v>
      </c>
      <c r="CY95" s="197">
        <f t="shared" si="234"/>
        <v>220</v>
      </c>
      <c r="CZ95" s="197"/>
      <c r="DA95" s="897">
        <f>'Energy NPV'!U20</f>
        <v>0</v>
      </c>
      <c r="DB95" s="197"/>
      <c r="DC95" s="197">
        <f t="shared" si="206"/>
        <v>0</v>
      </c>
      <c r="DD95" s="197">
        <f t="shared" si="207"/>
        <v>0</v>
      </c>
      <c r="DE95" s="197">
        <f t="shared" si="208"/>
        <v>220</v>
      </c>
      <c r="DF95" s="1008">
        <f t="shared" si="235"/>
        <v>0</v>
      </c>
      <c r="DG95" s="1011">
        <f t="shared" si="236"/>
        <v>167.18191890445391</v>
      </c>
      <c r="DH95" s="1011">
        <f t="shared" si="237"/>
        <v>0</v>
      </c>
      <c r="DI95" s="1011">
        <f t="shared" si="238"/>
        <v>0</v>
      </c>
      <c r="DJ95" s="1013">
        <f t="shared" si="239"/>
        <v>167.18191890445391</v>
      </c>
      <c r="DK95" s="196">
        <f t="shared" si="255"/>
        <v>0</v>
      </c>
      <c r="DL95" s="197">
        <f t="shared" si="240"/>
        <v>1540.4520273886512</v>
      </c>
      <c r="DM95" s="197">
        <f t="shared" si="240"/>
        <v>2901.8562473138472</v>
      </c>
      <c r="DN95" s="197">
        <f t="shared" si="240"/>
        <v>-2901.8562473138472</v>
      </c>
      <c r="DO95" s="199">
        <f t="shared" si="240"/>
        <v>-1361.4042199251955</v>
      </c>
    </row>
    <row r="96" spans="2:175" x14ac:dyDescent="0.3">
      <c r="B96" s="204">
        <f t="shared" si="241"/>
        <v>9</v>
      </c>
      <c r="C96" s="746">
        <f>'Energy NPV'!$D21*$E$84</f>
        <v>0</v>
      </c>
      <c r="D96" s="197">
        <f>'Energy margins'!$E$12</f>
        <v>55</v>
      </c>
      <c r="E96" s="197">
        <f t="shared" si="242"/>
        <v>0</v>
      </c>
      <c r="F96" s="197">
        <f>'Margins summary'!$Q$14</f>
        <v>220</v>
      </c>
      <c r="G96" s="197">
        <f t="shared" si="209"/>
        <v>220</v>
      </c>
      <c r="H96" s="197"/>
      <c r="I96" s="897">
        <f>'Energy NPV'!U21</f>
        <v>0</v>
      </c>
      <c r="J96" s="197"/>
      <c r="K96" s="197">
        <f t="shared" si="194"/>
        <v>0</v>
      </c>
      <c r="L96" s="197">
        <f t="shared" si="195"/>
        <v>0</v>
      </c>
      <c r="M96" s="197">
        <f t="shared" si="196"/>
        <v>220</v>
      </c>
      <c r="N96" s="1008">
        <f t="shared" si="210"/>
        <v>0</v>
      </c>
      <c r="O96" s="1011">
        <f t="shared" si="210"/>
        <v>160.75184510043644</v>
      </c>
      <c r="P96" s="1011">
        <f t="shared" si="211"/>
        <v>0</v>
      </c>
      <c r="Q96" s="1011">
        <f t="shared" si="211"/>
        <v>0</v>
      </c>
      <c r="R96" s="1013">
        <f t="shared" si="211"/>
        <v>160.75184510043644</v>
      </c>
      <c r="S96" s="196">
        <f t="shared" si="243"/>
        <v>2770.8629592617499</v>
      </c>
      <c r="T96" s="197">
        <f t="shared" si="212"/>
        <v>1701.2038724890876</v>
      </c>
      <c r="U96" s="197">
        <f t="shared" si="212"/>
        <v>2901.8562473138472</v>
      </c>
      <c r="V96" s="197">
        <f t="shared" si="212"/>
        <v>-130.99328805209689</v>
      </c>
      <c r="W96" s="199">
        <f t="shared" si="212"/>
        <v>1570.2105844369905</v>
      </c>
      <c r="Z96" s="204">
        <f t="shared" si="244"/>
        <v>9</v>
      </c>
      <c r="AA96" s="746">
        <f>'Energy NPV'!$D21*$AB$84</f>
        <v>0</v>
      </c>
      <c r="AB96" s="197">
        <f>'Energy margins'!$E$12</f>
        <v>55</v>
      </c>
      <c r="AC96" s="197">
        <f t="shared" si="245"/>
        <v>0</v>
      </c>
      <c r="AD96" s="197">
        <f>'Margins summary'!$Q$14</f>
        <v>220</v>
      </c>
      <c r="AE96" s="197">
        <f t="shared" si="213"/>
        <v>220</v>
      </c>
      <c r="AF96" s="197"/>
      <c r="AG96" s="897">
        <f>'Energy NPV'!U21</f>
        <v>0</v>
      </c>
      <c r="AH96" s="197"/>
      <c r="AI96" s="197">
        <f t="shared" si="197"/>
        <v>0</v>
      </c>
      <c r="AJ96" s="197">
        <f t="shared" si="198"/>
        <v>0</v>
      </c>
      <c r="AK96" s="197">
        <f t="shared" si="199"/>
        <v>220</v>
      </c>
      <c r="AL96" s="1008">
        <f t="shared" si="214"/>
        <v>0</v>
      </c>
      <c r="AM96" s="1011">
        <f t="shared" si="215"/>
        <v>160.75184510043644</v>
      </c>
      <c r="AN96" s="1011">
        <f t="shared" si="216"/>
        <v>0</v>
      </c>
      <c r="AO96" s="1011">
        <f t="shared" si="217"/>
        <v>0</v>
      </c>
      <c r="AP96" s="1013">
        <f t="shared" si="218"/>
        <v>160.75184510043644</v>
      </c>
      <c r="AQ96" s="196">
        <f t="shared" si="246"/>
        <v>4156.2944388926244</v>
      </c>
      <c r="AR96" s="197">
        <f t="shared" si="219"/>
        <v>1701.2038724890876</v>
      </c>
      <c r="AS96" s="197">
        <f t="shared" si="219"/>
        <v>2901.8562473138472</v>
      </c>
      <c r="AT96" s="197">
        <f t="shared" si="219"/>
        <v>1254.4381915787781</v>
      </c>
      <c r="AU96" s="199">
        <f t="shared" si="219"/>
        <v>2955.6420640678666</v>
      </c>
      <c r="AX96" s="204">
        <f t="shared" si="247"/>
        <v>9</v>
      </c>
      <c r="AY96" s="746">
        <f>'Energy NPV'!$D21*$AZ$84</f>
        <v>0</v>
      </c>
      <c r="AZ96" s="197">
        <f>'Energy margins'!$E$12</f>
        <v>55</v>
      </c>
      <c r="BA96" s="197">
        <f t="shared" si="248"/>
        <v>0</v>
      </c>
      <c r="BB96" s="197">
        <f>'Margins summary'!$Q$14</f>
        <v>220</v>
      </c>
      <c r="BC96" s="197">
        <f t="shared" si="220"/>
        <v>220</v>
      </c>
      <c r="BD96" s="197"/>
      <c r="BE96" s="897">
        <f>'Energy NPV'!U21</f>
        <v>0</v>
      </c>
      <c r="BF96" s="197"/>
      <c r="BG96" s="197">
        <f t="shared" si="200"/>
        <v>0</v>
      </c>
      <c r="BH96" s="197">
        <f t="shared" si="201"/>
        <v>0</v>
      </c>
      <c r="BI96" s="197">
        <f t="shared" si="202"/>
        <v>220</v>
      </c>
      <c r="BJ96" s="1008">
        <f t="shared" si="221"/>
        <v>0</v>
      </c>
      <c r="BK96" s="1011">
        <f t="shared" si="222"/>
        <v>160.75184510043644</v>
      </c>
      <c r="BL96" s="1011">
        <f t="shared" si="223"/>
        <v>0</v>
      </c>
      <c r="BM96" s="1011">
        <f t="shared" si="224"/>
        <v>0</v>
      </c>
      <c r="BN96" s="1013">
        <f t="shared" si="225"/>
        <v>160.75184510043644</v>
      </c>
      <c r="BO96" s="196">
        <f t="shared" si="249"/>
        <v>1385.4314796308749</v>
      </c>
      <c r="BP96" s="197">
        <f t="shared" si="226"/>
        <v>1701.2038724890876</v>
      </c>
      <c r="BQ96" s="197">
        <f t="shared" si="226"/>
        <v>2901.8562473138472</v>
      </c>
      <c r="BR96" s="197">
        <f t="shared" si="226"/>
        <v>-1516.4247676829718</v>
      </c>
      <c r="BS96" s="199">
        <f t="shared" si="226"/>
        <v>184.77910480611581</v>
      </c>
      <c r="BV96" s="204">
        <f t="shared" si="250"/>
        <v>9</v>
      </c>
      <c r="BW96" s="746">
        <f>'Energy NPV'!$D21*$BX$84</f>
        <v>0</v>
      </c>
      <c r="BX96" s="197">
        <f>'Energy margins'!$E$12</f>
        <v>55</v>
      </c>
      <c r="BY96" s="197">
        <f t="shared" si="251"/>
        <v>0</v>
      </c>
      <c r="BZ96" s="197">
        <f>'Margins summary'!$Q$14</f>
        <v>220</v>
      </c>
      <c r="CA96" s="197">
        <f t="shared" si="227"/>
        <v>220</v>
      </c>
      <c r="CB96" s="197"/>
      <c r="CC96" s="897">
        <f>'Energy NPV'!U21</f>
        <v>0</v>
      </c>
      <c r="CD96" s="197"/>
      <c r="CE96" s="197">
        <f t="shared" si="203"/>
        <v>0</v>
      </c>
      <c r="CF96" s="197">
        <f t="shared" si="204"/>
        <v>0</v>
      </c>
      <c r="CG96" s="197">
        <f t="shared" si="205"/>
        <v>220</v>
      </c>
      <c r="CH96" s="1008">
        <f t="shared" si="228"/>
        <v>0</v>
      </c>
      <c r="CI96" s="1011">
        <f t="shared" si="229"/>
        <v>160.75184510043644</v>
      </c>
      <c r="CJ96" s="1011">
        <f t="shared" si="230"/>
        <v>0</v>
      </c>
      <c r="CK96" s="1011">
        <f t="shared" si="231"/>
        <v>0</v>
      </c>
      <c r="CL96" s="1013">
        <f t="shared" si="232"/>
        <v>160.75184510043644</v>
      </c>
      <c r="CM96" s="196">
        <f t="shared" si="252"/>
        <v>5541.7259185234998</v>
      </c>
      <c r="CN96" s="197">
        <f t="shared" si="233"/>
        <v>1701.2038724890876</v>
      </c>
      <c r="CO96" s="197">
        <f t="shared" si="233"/>
        <v>2901.8562473138472</v>
      </c>
      <c r="CP96" s="197">
        <f t="shared" si="233"/>
        <v>2639.869671209653</v>
      </c>
      <c r="CQ96" s="199">
        <f t="shared" si="233"/>
        <v>4341.0735436987407</v>
      </c>
      <c r="CT96" s="204">
        <f t="shared" si="253"/>
        <v>9</v>
      </c>
      <c r="CU96" s="746">
        <f>'Energy NPV'!$D21*$CV$84</f>
        <v>0</v>
      </c>
      <c r="CV96" s="197">
        <f>'Energy margins'!$E$12</f>
        <v>55</v>
      </c>
      <c r="CW96" s="197">
        <f t="shared" si="254"/>
        <v>0</v>
      </c>
      <c r="CX96" s="197">
        <f>'Margins summary'!$Q$14</f>
        <v>220</v>
      </c>
      <c r="CY96" s="197">
        <f t="shared" si="234"/>
        <v>220</v>
      </c>
      <c r="CZ96" s="197"/>
      <c r="DA96" s="897">
        <f>'Energy NPV'!U21</f>
        <v>0</v>
      </c>
      <c r="DB96" s="197"/>
      <c r="DC96" s="197">
        <f t="shared" si="206"/>
        <v>0</v>
      </c>
      <c r="DD96" s="197">
        <f t="shared" si="207"/>
        <v>0</v>
      </c>
      <c r="DE96" s="197">
        <f t="shared" si="208"/>
        <v>220</v>
      </c>
      <c r="DF96" s="1008">
        <f t="shared" si="235"/>
        <v>0</v>
      </c>
      <c r="DG96" s="1011">
        <f t="shared" si="236"/>
        <v>160.75184510043644</v>
      </c>
      <c r="DH96" s="1011">
        <f t="shared" si="237"/>
        <v>0</v>
      </c>
      <c r="DI96" s="1011">
        <f t="shared" si="238"/>
        <v>0</v>
      </c>
      <c r="DJ96" s="1013">
        <f t="shared" si="239"/>
        <v>160.75184510043644</v>
      </c>
      <c r="DK96" s="196">
        <f t="shared" si="255"/>
        <v>0</v>
      </c>
      <c r="DL96" s="197">
        <f t="shared" si="240"/>
        <v>1701.2038724890876</v>
      </c>
      <c r="DM96" s="197">
        <f t="shared" si="240"/>
        <v>2901.8562473138472</v>
      </c>
      <c r="DN96" s="197">
        <f t="shared" si="240"/>
        <v>-2901.8562473138472</v>
      </c>
      <c r="DO96" s="199">
        <f t="shared" si="240"/>
        <v>-1200.6523748247591</v>
      </c>
    </row>
    <row r="97" spans="2:175" x14ac:dyDescent="0.3">
      <c r="B97" s="204">
        <f t="shared" si="241"/>
        <v>10</v>
      </c>
      <c r="C97" s="746">
        <f>'Energy NPV'!$D22*$E$84</f>
        <v>30</v>
      </c>
      <c r="D97" s="197">
        <f>'Energy margins'!$E$12</f>
        <v>55</v>
      </c>
      <c r="E97" s="197">
        <f t="shared" si="242"/>
        <v>1650</v>
      </c>
      <c r="F97" s="197">
        <f>'Margins summary'!$Q$14</f>
        <v>220</v>
      </c>
      <c r="G97" s="197">
        <f t="shared" si="209"/>
        <v>1870</v>
      </c>
      <c r="H97" s="197"/>
      <c r="I97" s="897">
        <f>'Energy NPV'!U22</f>
        <v>592.40499999999997</v>
      </c>
      <c r="J97" s="197"/>
      <c r="K97" s="197">
        <f t="shared" si="194"/>
        <v>592.40499999999997</v>
      </c>
      <c r="L97" s="197">
        <f t="shared" si="195"/>
        <v>1057.595</v>
      </c>
      <c r="M97" s="197">
        <f t="shared" si="196"/>
        <v>1277.595</v>
      </c>
      <c r="N97" s="1008">
        <f t="shared" si="210"/>
        <v>1159.2681137050704</v>
      </c>
      <c r="O97" s="1011">
        <f t="shared" si="210"/>
        <v>154.5690818273427</v>
      </c>
      <c r="P97" s="1011">
        <f t="shared" si="211"/>
        <v>416.21589509057708</v>
      </c>
      <c r="Q97" s="1011">
        <f t="shared" si="211"/>
        <v>743.0522186144932</v>
      </c>
      <c r="R97" s="1013">
        <f t="shared" si="211"/>
        <v>897.62130044183596</v>
      </c>
      <c r="S97" s="196">
        <f t="shared" si="243"/>
        <v>3930.1310729668203</v>
      </c>
      <c r="T97" s="197">
        <f t="shared" si="212"/>
        <v>1855.7729543164303</v>
      </c>
      <c r="U97" s="197">
        <f t="shared" si="212"/>
        <v>3318.0721424044241</v>
      </c>
      <c r="V97" s="197">
        <f t="shared" si="212"/>
        <v>612.05893056239631</v>
      </c>
      <c r="W97" s="199">
        <f t="shared" si="212"/>
        <v>2467.8318848788267</v>
      </c>
      <c r="Z97" s="204">
        <f t="shared" si="244"/>
        <v>10</v>
      </c>
      <c r="AA97" s="746">
        <f>'Energy NPV'!$D22*$AB$84</f>
        <v>45</v>
      </c>
      <c r="AB97" s="197">
        <f>'Energy margins'!$E$12</f>
        <v>55</v>
      </c>
      <c r="AC97" s="197">
        <f t="shared" si="245"/>
        <v>2475</v>
      </c>
      <c r="AD97" s="197">
        <f>'Margins summary'!$Q$14</f>
        <v>220</v>
      </c>
      <c r="AE97" s="197">
        <f t="shared" si="213"/>
        <v>2695</v>
      </c>
      <c r="AF97" s="197"/>
      <c r="AG97" s="897">
        <f>'Energy NPV'!U22</f>
        <v>592.40499999999997</v>
      </c>
      <c r="AH97" s="197"/>
      <c r="AI97" s="197">
        <f t="shared" si="197"/>
        <v>592.40499999999997</v>
      </c>
      <c r="AJ97" s="197">
        <f t="shared" si="198"/>
        <v>1882.595</v>
      </c>
      <c r="AK97" s="197">
        <f t="shared" si="199"/>
        <v>2102.5950000000003</v>
      </c>
      <c r="AL97" s="1008">
        <f t="shared" si="214"/>
        <v>1738.9021705576054</v>
      </c>
      <c r="AM97" s="1011">
        <f t="shared" si="215"/>
        <v>154.5690818273427</v>
      </c>
      <c r="AN97" s="1011">
        <f t="shared" si="216"/>
        <v>416.21589509057708</v>
      </c>
      <c r="AO97" s="1011">
        <f t="shared" si="217"/>
        <v>1322.6862754670285</v>
      </c>
      <c r="AP97" s="1013">
        <f t="shared" si="218"/>
        <v>1477.2553572943714</v>
      </c>
      <c r="AQ97" s="196">
        <f t="shared" si="246"/>
        <v>5895.1966094502295</v>
      </c>
      <c r="AR97" s="197">
        <f t="shared" si="219"/>
        <v>1855.7729543164303</v>
      </c>
      <c r="AS97" s="197">
        <f t="shared" si="219"/>
        <v>3318.0721424044241</v>
      </c>
      <c r="AT97" s="197">
        <f t="shared" si="219"/>
        <v>2577.1244670458063</v>
      </c>
      <c r="AU97" s="199">
        <f t="shared" si="219"/>
        <v>4432.8974213622378</v>
      </c>
      <c r="AX97" s="204">
        <f t="shared" si="247"/>
        <v>10</v>
      </c>
      <c r="AY97" s="746">
        <f>'Energy NPV'!$D22*$AZ$84</f>
        <v>15</v>
      </c>
      <c r="AZ97" s="197">
        <f>'Energy margins'!$E$12</f>
        <v>55</v>
      </c>
      <c r="BA97" s="197">
        <f t="shared" si="248"/>
        <v>825</v>
      </c>
      <c r="BB97" s="197">
        <f>'Margins summary'!$Q$14</f>
        <v>220</v>
      </c>
      <c r="BC97" s="197">
        <f t="shared" si="220"/>
        <v>1045</v>
      </c>
      <c r="BD97" s="197"/>
      <c r="BE97" s="897">
        <f>'Energy NPV'!U22</f>
        <v>592.40499999999997</v>
      </c>
      <c r="BF97" s="197"/>
      <c r="BG97" s="197">
        <f t="shared" si="200"/>
        <v>592.40499999999997</v>
      </c>
      <c r="BH97" s="197">
        <f t="shared" si="201"/>
        <v>232.59500000000003</v>
      </c>
      <c r="BI97" s="197">
        <f t="shared" si="202"/>
        <v>452.59500000000003</v>
      </c>
      <c r="BJ97" s="1008">
        <f t="shared" si="221"/>
        <v>579.6340568525352</v>
      </c>
      <c r="BK97" s="1011">
        <f t="shared" si="222"/>
        <v>154.5690818273427</v>
      </c>
      <c r="BL97" s="1011">
        <f t="shared" si="223"/>
        <v>416.21589509057708</v>
      </c>
      <c r="BM97" s="1011">
        <f t="shared" si="224"/>
        <v>163.41816176195809</v>
      </c>
      <c r="BN97" s="1013">
        <f t="shared" si="225"/>
        <v>317.98724358930082</v>
      </c>
      <c r="BO97" s="196">
        <f t="shared" si="249"/>
        <v>1965.0655364834101</v>
      </c>
      <c r="BP97" s="197">
        <f t="shared" si="226"/>
        <v>1855.7729543164303</v>
      </c>
      <c r="BQ97" s="197">
        <f t="shared" si="226"/>
        <v>3318.0721424044241</v>
      </c>
      <c r="BR97" s="197">
        <f t="shared" si="226"/>
        <v>-1353.0066059210137</v>
      </c>
      <c r="BS97" s="199">
        <f t="shared" si="226"/>
        <v>502.76634839541663</v>
      </c>
      <c r="BV97" s="204">
        <f t="shared" si="250"/>
        <v>10</v>
      </c>
      <c r="BW97" s="746">
        <f>'Energy NPV'!$D22*$BX$84</f>
        <v>60</v>
      </c>
      <c r="BX97" s="197">
        <f>'Energy margins'!$E$12</f>
        <v>55</v>
      </c>
      <c r="BY97" s="197">
        <f t="shared" si="251"/>
        <v>3300</v>
      </c>
      <c r="BZ97" s="197">
        <f>'Margins summary'!$Q$14</f>
        <v>220</v>
      </c>
      <c r="CA97" s="197">
        <f t="shared" si="227"/>
        <v>3520</v>
      </c>
      <c r="CB97" s="197"/>
      <c r="CC97" s="897">
        <f>'Energy NPV'!U22</f>
        <v>592.40499999999997</v>
      </c>
      <c r="CD97" s="197"/>
      <c r="CE97" s="197">
        <f t="shared" si="203"/>
        <v>592.40499999999997</v>
      </c>
      <c r="CF97" s="197">
        <f t="shared" si="204"/>
        <v>2707.5950000000003</v>
      </c>
      <c r="CG97" s="197">
        <f t="shared" si="205"/>
        <v>2927.5950000000003</v>
      </c>
      <c r="CH97" s="1008">
        <f t="shared" si="228"/>
        <v>2318.5362274101408</v>
      </c>
      <c r="CI97" s="1011">
        <f t="shared" si="229"/>
        <v>154.5690818273427</v>
      </c>
      <c r="CJ97" s="1011">
        <f t="shared" si="230"/>
        <v>416.21589509057708</v>
      </c>
      <c r="CK97" s="1011">
        <f t="shared" si="231"/>
        <v>1902.3203323195637</v>
      </c>
      <c r="CL97" s="1013">
        <f t="shared" si="232"/>
        <v>2056.8894141469063</v>
      </c>
      <c r="CM97" s="196">
        <f t="shared" si="252"/>
        <v>7860.2621459336406</v>
      </c>
      <c r="CN97" s="197">
        <f t="shared" si="233"/>
        <v>1855.7729543164303</v>
      </c>
      <c r="CO97" s="197">
        <f t="shared" si="233"/>
        <v>3318.0721424044241</v>
      </c>
      <c r="CP97" s="197">
        <f t="shared" si="233"/>
        <v>4542.1900035292165</v>
      </c>
      <c r="CQ97" s="199">
        <f t="shared" si="233"/>
        <v>6397.962957845647</v>
      </c>
      <c r="CT97" s="204">
        <f t="shared" si="253"/>
        <v>10</v>
      </c>
      <c r="CU97" s="746">
        <f>'Energy NPV'!$D22*$CV$84</f>
        <v>0</v>
      </c>
      <c r="CV97" s="197">
        <f>'Energy margins'!$E$12</f>
        <v>55</v>
      </c>
      <c r="CW97" s="197">
        <f t="shared" si="254"/>
        <v>0</v>
      </c>
      <c r="CX97" s="197">
        <f>'Margins summary'!$Q$14</f>
        <v>220</v>
      </c>
      <c r="CY97" s="197">
        <f t="shared" si="234"/>
        <v>220</v>
      </c>
      <c r="CZ97" s="197"/>
      <c r="DA97" s="897">
        <f>'Energy NPV'!U22</f>
        <v>592.40499999999997</v>
      </c>
      <c r="DB97" s="197"/>
      <c r="DC97" s="197">
        <f t="shared" si="206"/>
        <v>592.40499999999997</v>
      </c>
      <c r="DD97" s="197">
        <f t="shared" si="207"/>
        <v>-592.40499999999997</v>
      </c>
      <c r="DE97" s="197">
        <f t="shared" si="208"/>
        <v>-372.40499999999997</v>
      </c>
      <c r="DF97" s="1008">
        <f t="shared" si="235"/>
        <v>0</v>
      </c>
      <c r="DG97" s="1011">
        <f t="shared" si="236"/>
        <v>154.5690818273427</v>
      </c>
      <c r="DH97" s="1011">
        <f t="shared" si="237"/>
        <v>416.21589509057708</v>
      </c>
      <c r="DI97" s="1011">
        <f t="shared" si="238"/>
        <v>-416.21589509057708</v>
      </c>
      <c r="DJ97" s="1013">
        <f t="shared" si="239"/>
        <v>-261.64681326323438</v>
      </c>
      <c r="DK97" s="196">
        <f t="shared" si="255"/>
        <v>0</v>
      </c>
      <c r="DL97" s="197">
        <f t="shared" si="240"/>
        <v>1855.7729543164303</v>
      </c>
      <c r="DM97" s="197">
        <f t="shared" si="240"/>
        <v>3318.0721424044241</v>
      </c>
      <c r="DN97" s="197">
        <f t="shared" si="240"/>
        <v>-3318.0721424044241</v>
      </c>
      <c r="DO97" s="199">
        <f t="shared" si="240"/>
        <v>-1462.2991880879936</v>
      </c>
    </row>
    <row r="98" spans="2:175" x14ac:dyDescent="0.3">
      <c r="B98" s="204">
        <f t="shared" si="241"/>
        <v>11</v>
      </c>
      <c r="C98" s="746">
        <f>'Energy NPV'!$D23*$E$84</f>
        <v>0</v>
      </c>
      <c r="D98" s="197">
        <f>'Energy margins'!$E$12</f>
        <v>55</v>
      </c>
      <c r="E98" s="197">
        <f t="shared" si="242"/>
        <v>0</v>
      </c>
      <c r="F98" s="197">
        <f>'Margins summary'!$Q$14</f>
        <v>220</v>
      </c>
      <c r="G98" s="197">
        <f t="shared" si="209"/>
        <v>220</v>
      </c>
      <c r="H98" s="197"/>
      <c r="I98" s="897">
        <f>'Energy NPV'!U23</f>
        <v>0</v>
      </c>
      <c r="J98" s="197"/>
      <c r="K98" s="197">
        <f t="shared" si="194"/>
        <v>0</v>
      </c>
      <c r="L98" s="197">
        <f t="shared" si="195"/>
        <v>0</v>
      </c>
      <c r="M98" s="197">
        <f t="shared" si="196"/>
        <v>220</v>
      </c>
      <c r="N98" s="1008">
        <f t="shared" si="210"/>
        <v>0</v>
      </c>
      <c r="O98" s="1011">
        <f t="shared" si="210"/>
        <v>148.62411714167567</v>
      </c>
      <c r="P98" s="1011">
        <f t="shared" si="211"/>
        <v>0</v>
      </c>
      <c r="Q98" s="1011">
        <f t="shared" si="211"/>
        <v>0</v>
      </c>
      <c r="R98" s="1013">
        <f t="shared" si="211"/>
        <v>148.62411714167567</v>
      </c>
      <c r="S98" s="196">
        <f t="shared" si="243"/>
        <v>3930.1310729668203</v>
      </c>
      <c r="T98" s="197">
        <f t="shared" si="212"/>
        <v>2004.397071458106</v>
      </c>
      <c r="U98" s="197">
        <f t="shared" si="212"/>
        <v>3318.0721424044241</v>
      </c>
      <c r="V98" s="197">
        <f t="shared" si="212"/>
        <v>612.05893056239631</v>
      </c>
      <c r="W98" s="199">
        <f t="shared" si="212"/>
        <v>2616.4560020205022</v>
      </c>
      <c r="Z98" s="204">
        <f t="shared" si="244"/>
        <v>11</v>
      </c>
      <c r="AA98" s="746">
        <f>'Energy NPV'!$D23*$AB$84</f>
        <v>0</v>
      </c>
      <c r="AB98" s="197">
        <f>'Energy margins'!$E$12</f>
        <v>55</v>
      </c>
      <c r="AC98" s="197">
        <f t="shared" si="245"/>
        <v>0</v>
      </c>
      <c r="AD98" s="197">
        <f>'Margins summary'!$Q$14</f>
        <v>220</v>
      </c>
      <c r="AE98" s="197">
        <f t="shared" si="213"/>
        <v>220</v>
      </c>
      <c r="AF98" s="197"/>
      <c r="AG98" s="897">
        <f>'Energy NPV'!U23</f>
        <v>0</v>
      </c>
      <c r="AH98" s="197"/>
      <c r="AI98" s="197">
        <f t="shared" si="197"/>
        <v>0</v>
      </c>
      <c r="AJ98" s="197">
        <f t="shared" si="198"/>
        <v>0</v>
      </c>
      <c r="AK98" s="197">
        <f t="shared" si="199"/>
        <v>220</v>
      </c>
      <c r="AL98" s="1008">
        <f t="shared" si="214"/>
        <v>0</v>
      </c>
      <c r="AM98" s="1011">
        <f t="shared" si="215"/>
        <v>148.62411714167567</v>
      </c>
      <c r="AN98" s="1011">
        <f t="shared" si="216"/>
        <v>0</v>
      </c>
      <c r="AO98" s="1011">
        <f t="shared" si="217"/>
        <v>0</v>
      </c>
      <c r="AP98" s="1013">
        <f t="shared" si="218"/>
        <v>148.62411714167567</v>
      </c>
      <c r="AQ98" s="196">
        <f t="shared" si="246"/>
        <v>5895.1966094502295</v>
      </c>
      <c r="AR98" s="197">
        <f t="shared" si="219"/>
        <v>2004.397071458106</v>
      </c>
      <c r="AS98" s="197">
        <f t="shared" si="219"/>
        <v>3318.0721424044241</v>
      </c>
      <c r="AT98" s="197">
        <f t="shared" si="219"/>
        <v>2577.1244670458063</v>
      </c>
      <c r="AU98" s="199">
        <f t="shared" si="219"/>
        <v>4581.5215385039137</v>
      </c>
      <c r="AX98" s="204">
        <f t="shared" si="247"/>
        <v>11</v>
      </c>
      <c r="AY98" s="746">
        <f>'Energy NPV'!$D23*$AZ$84</f>
        <v>0</v>
      </c>
      <c r="AZ98" s="197">
        <f>'Energy margins'!$E$12</f>
        <v>55</v>
      </c>
      <c r="BA98" s="197">
        <f t="shared" si="248"/>
        <v>0</v>
      </c>
      <c r="BB98" s="197">
        <f>'Margins summary'!$Q$14</f>
        <v>220</v>
      </c>
      <c r="BC98" s="197">
        <f t="shared" si="220"/>
        <v>220</v>
      </c>
      <c r="BD98" s="197"/>
      <c r="BE98" s="897">
        <f>'Energy NPV'!U23</f>
        <v>0</v>
      </c>
      <c r="BF98" s="197"/>
      <c r="BG98" s="197">
        <f t="shared" si="200"/>
        <v>0</v>
      </c>
      <c r="BH98" s="197">
        <f t="shared" si="201"/>
        <v>0</v>
      </c>
      <c r="BI98" s="197">
        <f t="shared" si="202"/>
        <v>220</v>
      </c>
      <c r="BJ98" s="1008">
        <f t="shared" si="221"/>
        <v>0</v>
      </c>
      <c r="BK98" s="1011">
        <f t="shared" si="222"/>
        <v>148.62411714167567</v>
      </c>
      <c r="BL98" s="1011">
        <f t="shared" si="223"/>
        <v>0</v>
      </c>
      <c r="BM98" s="1011">
        <f t="shared" si="224"/>
        <v>0</v>
      </c>
      <c r="BN98" s="1013">
        <f t="shared" si="225"/>
        <v>148.62411714167567</v>
      </c>
      <c r="BO98" s="196">
        <f t="shared" si="249"/>
        <v>1965.0655364834101</v>
      </c>
      <c r="BP98" s="197">
        <f t="shared" si="226"/>
        <v>2004.397071458106</v>
      </c>
      <c r="BQ98" s="197">
        <f t="shared" si="226"/>
        <v>3318.0721424044241</v>
      </c>
      <c r="BR98" s="197">
        <f t="shared" si="226"/>
        <v>-1353.0066059210137</v>
      </c>
      <c r="BS98" s="199">
        <f t="shared" si="226"/>
        <v>651.39046553709227</v>
      </c>
      <c r="BV98" s="204">
        <f t="shared" si="250"/>
        <v>11</v>
      </c>
      <c r="BW98" s="746">
        <f>'Energy NPV'!$D23*$BX$84</f>
        <v>0</v>
      </c>
      <c r="BX98" s="197">
        <f>'Energy margins'!$E$12</f>
        <v>55</v>
      </c>
      <c r="BY98" s="197">
        <f t="shared" si="251"/>
        <v>0</v>
      </c>
      <c r="BZ98" s="197">
        <f>'Margins summary'!$Q$14</f>
        <v>220</v>
      </c>
      <c r="CA98" s="197">
        <f t="shared" si="227"/>
        <v>220</v>
      </c>
      <c r="CB98" s="197"/>
      <c r="CC98" s="897">
        <f>'Energy NPV'!U23</f>
        <v>0</v>
      </c>
      <c r="CD98" s="197"/>
      <c r="CE98" s="197">
        <f t="shared" si="203"/>
        <v>0</v>
      </c>
      <c r="CF98" s="197">
        <f t="shared" si="204"/>
        <v>0</v>
      </c>
      <c r="CG98" s="197">
        <f t="shared" si="205"/>
        <v>220</v>
      </c>
      <c r="CH98" s="1008">
        <f t="shared" si="228"/>
        <v>0</v>
      </c>
      <c r="CI98" s="1011">
        <f t="shared" si="229"/>
        <v>148.62411714167567</v>
      </c>
      <c r="CJ98" s="1011">
        <f t="shared" si="230"/>
        <v>0</v>
      </c>
      <c r="CK98" s="1011">
        <f t="shared" si="231"/>
        <v>0</v>
      </c>
      <c r="CL98" s="1013">
        <f t="shared" si="232"/>
        <v>148.62411714167567</v>
      </c>
      <c r="CM98" s="196">
        <f t="shared" si="252"/>
        <v>7860.2621459336406</v>
      </c>
      <c r="CN98" s="197">
        <f t="shared" si="233"/>
        <v>2004.397071458106</v>
      </c>
      <c r="CO98" s="197">
        <f t="shared" si="233"/>
        <v>3318.0721424044241</v>
      </c>
      <c r="CP98" s="197">
        <f t="shared" si="233"/>
        <v>4542.1900035292165</v>
      </c>
      <c r="CQ98" s="199">
        <f t="shared" si="233"/>
        <v>6546.5870749873229</v>
      </c>
      <c r="CT98" s="204">
        <f t="shared" si="253"/>
        <v>11</v>
      </c>
      <c r="CU98" s="746">
        <f>'Energy NPV'!$D23*$CV$84</f>
        <v>0</v>
      </c>
      <c r="CV98" s="197">
        <f>'Energy margins'!$E$12</f>
        <v>55</v>
      </c>
      <c r="CW98" s="197">
        <f t="shared" si="254"/>
        <v>0</v>
      </c>
      <c r="CX98" s="197">
        <f>'Margins summary'!$Q$14</f>
        <v>220</v>
      </c>
      <c r="CY98" s="197">
        <f t="shared" si="234"/>
        <v>220</v>
      </c>
      <c r="CZ98" s="197"/>
      <c r="DA98" s="897">
        <f>'Energy NPV'!U23</f>
        <v>0</v>
      </c>
      <c r="DB98" s="197"/>
      <c r="DC98" s="197">
        <f t="shared" si="206"/>
        <v>0</v>
      </c>
      <c r="DD98" s="197">
        <f t="shared" si="207"/>
        <v>0</v>
      </c>
      <c r="DE98" s="197">
        <f t="shared" si="208"/>
        <v>220</v>
      </c>
      <c r="DF98" s="1008">
        <f t="shared" si="235"/>
        <v>0</v>
      </c>
      <c r="DG98" s="1011">
        <f t="shared" si="236"/>
        <v>148.62411714167567</v>
      </c>
      <c r="DH98" s="1011">
        <f t="shared" si="237"/>
        <v>0</v>
      </c>
      <c r="DI98" s="1011">
        <f t="shared" si="238"/>
        <v>0</v>
      </c>
      <c r="DJ98" s="1013">
        <f t="shared" si="239"/>
        <v>148.62411714167567</v>
      </c>
      <c r="DK98" s="196">
        <f t="shared" si="255"/>
        <v>0</v>
      </c>
      <c r="DL98" s="197">
        <f t="shared" si="240"/>
        <v>2004.397071458106</v>
      </c>
      <c r="DM98" s="197">
        <f t="shared" si="240"/>
        <v>3318.0721424044241</v>
      </c>
      <c r="DN98" s="197">
        <f t="shared" si="240"/>
        <v>-3318.0721424044241</v>
      </c>
      <c r="DO98" s="199">
        <f t="shared" si="240"/>
        <v>-1313.6750709463179</v>
      </c>
    </row>
    <row r="99" spans="2:175" x14ac:dyDescent="0.3">
      <c r="B99" s="204">
        <f t="shared" si="241"/>
        <v>12</v>
      </c>
      <c r="C99" s="746">
        <f>'Energy NPV'!$D24*$E$84</f>
        <v>0</v>
      </c>
      <c r="D99" s="197">
        <f>'Energy margins'!$E$12</f>
        <v>55</v>
      </c>
      <c r="E99" s="197">
        <f t="shared" si="242"/>
        <v>0</v>
      </c>
      <c r="F99" s="197">
        <f>'Margins summary'!$Q$14</f>
        <v>220</v>
      </c>
      <c r="G99" s="197">
        <f t="shared" si="209"/>
        <v>220</v>
      </c>
      <c r="H99" s="197"/>
      <c r="I99" s="897">
        <f>'Energy NPV'!U24</f>
        <v>0</v>
      </c>
      <c r="J99" s="197"/>
      <c r="K99" s="197">
        <f t="shared" si="194"/>
        <v>0</v>
      </c>
      <c r="L99" s="197">
        <f t="shared" si="195"/>
        <v>0</v>
      </c>
      <c r="M99" s="197">
        <f t="shared" si="196"/>
        <v>220</v>
      </c>
      <c r="N99" s="1008">
        <f t="shared" si="210"/>
        <v>0</v>
      </c>
      <c r="O99" s="1011">
        <f t="shared" si="210"/>
        <v>142.90780494391893</v>
      </c>
      <c r="P99" s="1011">
        <f t="shared" si="211"/>
        <v>0</v>
      </c>
      <c r="Q99" s="1011">
        <f t="shared" si="211"/>
        <v>0</v>
      </c>
      <c r="R99" s="1013">
        <f t="shared" si="211"/>
        <v>142.90780494391893</v>
      </c>
      <c r="S99" s="196">
        <f t="shared" si="243"/>
        <v>3930.1310729668203</v>
      </c>
      <c r="T99" s="197">
        <f t="shared" si="212"/>
        <v>2147.304876402025</v>
      </c>
      <c r="U99" s="197">
        <f t="shared" si="212"/>
        <v>3318.0721424044241</v>
      </c>
      <c r="V99" s="197">
        <f t="shared" si="212"/>
        <v>612.05893056239631</v>
      </c>
      <c r="W99" s="199">
        <f t="shared" si="212"/>
        <v>2759.3638069644212</v>
      </c>
      <c r="Z99" s="204">
        <f t="shared" si="244"/>
        <v>12</v>
      </c>
      <c r="AA99" s="746">
        <f>'Energy NPV'!$D24*$AB$84</f>
        <v>0</v>
      </c>
      <c r="AB99" s="197">
        <f>'Energy margins'!$E$12</f>
        <v>55</v>
      </c>
      <c r="AC99" s="197">
        <f t="shared" si="245"/>
        <v>0</v>
      </c>
      <c r="AD99" s="197">
        <f>'Margins summary'!$Q$14</f>
        <v>220</v>
      </c>
      <c r="AE99" s="197">
        <f t="shared" si="213"/>
        <v>220</v>
      </c>
      <c r="AF99" s="197"/>
      <c r="AG99" s="897">
        <f>'Energy NPV'!U24</f>
        <v>0</v>
      </c>
      <c r="AH99" s="197"/>
      <c r="AI99" s="197">
        <f t="shared" si="197"/>
        <v>0</v>
      </c>
      <c r="AJ99" s="197">
        <f t="shared" si="198"/>
        <v>0</v>
      </c>
      <c r="AK99" s="197">
        <f t="shared" si="199"/>
        <v>220</v>
      </c>
      <c r="AL99" s="1008">
        <f t="shared" si="214"/>
        <v>0</v>
      </c>
      <c r="AM99" s="1011">
        <f t="shared" si="215"/>
        <v>142.90780494391893</v>
      </c>
      <c r="AN99" s="1011">
        <f t="shared" si="216"/>
        <v>0</v>
      </c>
      <c r="AO99" s="1011">
        <f t="shared" si="217"/>
        <v>0</v>
      </c>
      <c r="AP99" s="1013">
        <f t="shared" si="218"/>
        <v>142.90780494391893</v>
      </c>
      <c r="AQ99" s="196">
        <f t="shared" si="246"/>
        <v>5895.1966094502295</v>
      </c>
      <c r="AR99" s="197">
        <f t="shared" si="219"/>
        <v>2147.304876402025</v>
      </c>
      <c r="AS99" s="197">
        <f t="shared" si="219"/>
        <v>3318.0721424044241</v>
      </c>
      <c r="AT99" s="197">
        <f t="shared" si="219"/>
        <v>2577.1244670458063</v>
      </c>
      <c r="AU99" s="199">
        <f t="shared" si="219"/>
        <v>4724.4293434478323</v>
      </c>
      <c r="AX99" s="204">
        <f t="shared" si="247"/>
        <v>12</v>
      </c>
      <c r="AY99" s="746">
        <f>'Energy NPV'!$D24*$AZ$84</f>
        <v>0</v>
      </c>
      <c r="AZ99" s="197">
        <f>'Energy margins'!$E$12</f>
        <v>55</v>
      </c>
      <c r="BA99" s="197">
        <f t="shared" si="248"/>
        <v>0</v>
      </c>
      <c r="BB99" s="197">
        <f>'Margins summary'!$Q$14</f>
        <v>220</v>
      </c>
      <c r="BC99" s="197">
        <f t="shared" si="220"/>
        <v>220</v>
      </c>
      <c r="BD99" s="197"/>
      <c r="BE99" s="897">
        <f>'Energy NPV'!U24</f>
        <v>0</v>
      </c>
      <c r="BF99" s="197"/>
      <c r="BG99" s="197">
        <f t="shared" si="200"/>
        <v>0</v>
      </c>
      <c r="BH99" s="197">
        <f t="shared" si="201"/>
        <v>0</v>
      </c>
      <c r="BI99" s="197">
        <f t="shared" si="202"/>
        <v>220</v>
      </c>
      <c r="BJ99" s="1008">
        <f t="shared" si="221"/>
        <v>0</v>
      </c>
      <c r="BK99" s="1011">
        <f t="shared" si="222"/>
        <v>142.90780494391893</v>
      </c>
      <c r="BL99" s="1011">
        <f t="shared" si="223"/>
        <v>0</v>
      </c>
      <c r="BM99" s="1011">
        <f t="shared" si="224"/>
        <v>0</v>
      </c>
      <c r="BN99" s="1013">
        <f t="shared" si="225"/>
        <v>142.90780494391893</v>
      </c>
      <c r="BO99" s="196">
        <f t="shared" si="249"/>
        <v>1965.0655364834101</v>
      </c>
      <c r="BP99" s="197">
        <f t="shared" si="226"/>
        <v>2147.304876402025</v>
      </c>
      <c r="BQ99" s="197">
        <f t="shared" si="226"/>
        <v>3318.0721424044241</v>
      </c>
      <c r="BR99" s="197">
        <f t="shared" si="226"/>
        <v>-1353.0066059210137</v>
      </c>
      <c r="BS99" s="199">
        <f t="shared" si="226"/>
        <v>794.29827048101117</v>
      </c>
      <c r="BV99" s="204">
        <f t="shared" si="250"/>
        <v>12</v>
      </c>
      <c r="BW99" s="746">
        <f>'Energy NPV'!$D24*$BX$84</f>
        <v>0</v>
      </c>
      <c r="BX99" s="197">
        <f>'Energy margins'!$E$12</f>
        <v>55</v>
      </c>
      <c r="BY99" s="197">
        <f t="shared" si="251"/>
        <v>0</v>
      </c>
      <c r="BZ99" s="197">
        <f>'Margins summary'!$Q$14</f>
        <v>220</v>
      </c>
      <c r="CA99" s="197">
        <f t="shared" si="227"/>
        <v>220</v>
      </c>
      <c r="CB99" s="197"/>
      <c r="CC99" s="897">
        <f>'Energy NPV'!U24</f>
        <v>0</v>
      </c>
      <c r="CD99" s="197"/>
      <c r="CE99" s="197">
        <f t="shared" si="203"/>
        <v>0</v>
      </c>
      <c r="CF99" s="197">
        <f t="shared" si="204"/>
        <v>0</v>
      </c>
      <c r="CG99" s="197">
        <f t="shared" si="205"/>
        <v>220</v>
      </c>
      <c r="CH99" s="1008">
        <f t="shared" si="228"/>
        <v>0</v>
      </c>
      <c r="CI99" s="1011">
        <f t="shared" si="229"/>
        <v>142.90780494391893</v>
      </c>
      <c r="CJ99" s="1011">
        <f t="shared" si="230"/>
        <v>0</v>
      </c>
      <c r="CK99" s="1011">
        <f t="shared" si="231"/>
        <v>0</v>
      </c>
      <c r="CL99" s="1013">
        <f t="shared" si="232"/>
        <v>142.90780494391893</v>
      </c>
      <c r="CM99" s="196">
        <f t="shared" si="252"/>
        <v>7860.2621459336406</v>
      </c>
      <c r="CN99" s="197">
        <f t="shared" si="233"/>
        <v>2147.304876402025</v>
      </c>
      <c r="CO99" s="197">
        <f t="shared" si="233"/>
        <v>3318.0721424044241</v>
      </c>
      <c r="CP99" s="197">
        <f t="shared" si="233"/>
        <v>4542.1900035292165</v>
      </c>
      <c r="CQ99" s="199">
        <f t="shared" si="233"/>
        <v>6689.4948799312415</v>
      </c>
      <c r="CT99" s="204">
        <f t="shared" si="253"/>
        <v>12</v>
      </c>
      <c r="CU99" s="746">
        <f>'Energy NPV'!$D24*$CV$84</f>
        <v>0</v>
      </c>
      <c r="CV99" s="197">
        <f>'Energy margins'!$E$12</f>
        <v>55</v>
      </c>
      <c r="CW99" s="197">
        <f t="shared" si="254"/>
        <v>0</v>
      </c>
      <c r="CX99" s="197">
        <f>'Margins summary'!$Q$14</f>
        <v>220</v>
      </c>
      <c r="CY99" s="197">
        <f t="shared" si="234"/>
        <v>220</v>
      </c>
      <c r="CZ99" s="197"/>
      <c r="DA99" s="897">
        <f>'Energy NPV'!U24</f>
        <v>0</v>
      </c>
      <c r="DB99" s="197"/>
      <c r="DC99" s="197">
        <f t="shared" si="206"/>
        <v>0</v>
      </c>
      <c r="DD99" s="197">
        <f t="shared" si="207"/>
        <v>0</v>
      </c>
      <c r="DE99" s="197">
        <f t="shared" si="208"/>
        <v>220</v>
      </c>
      <c r="DF99" s="1008">
        <f t="shared" si="235"/>
        <v>0</v>
      </c>
      <c r="DG99" s="1011">
        <f t="shared" si="236"/>
        <v>142.90780494391893</v>
      </c>
      <c r="DH99" s="1011">
        <f t="shared" si="237"/>
        <v>0</v>
      </c>
      <c r="DI99" s="1011">
        <f t="shared" si="238"/>
        <v>0</v>
      </c>
      <c r="DJ99" s="1013">
        <f t="shared" si="239"/>
        <v>142.90780494391893</v>
      </c>
      <c r="DK99" s="196">
        <f t="shared" si="255"/>
        <v>0</v>
      </c>
      <c r="DL99" s="197">
        <f t="shared" si="240"/>
        <v>2147.304876402025</v>
      </c>
      <c r="DM99" s="197">
        <f t="shared" si="240"/>
        <v>3318.0721424044241</v>
      </c>
      <c r="DN99" s="197">
        <f t="shared" si="240"/>
        <v>-3318.0721424044241</v>
      </c>
      <c r="DO99" s="199">
        <f t="shared" si="240"/>
        <v>-1170.7672660023989</v>
      </c>
    </row>
    <row r="100" spans="2:175" x14ac:dyDescent="0.3">
      <c r="B100" s="204">
        <f t="shared" si="241"/>
        <v>13</v>
      </c>
      <c r="C100" s="746">
        <f>'Energy NPV'!$D25*$E$84</f>
        <v>30</v>
      </c>
      <c r="D100" s="197">
        <f>'Energy margins'!$E$12</f>
        <v>55</v>
      </c>
      <c r="E100" s="197">
        <f t="shared" si="242"/>
        <v>1650</v>
      </c>
      <c r="F100" s="197">
        <f>'Margins summary'!$Q$14</f>
        <v>220</v>
      </c>
      <c r="G100" s="197">
        <f t="shared" si="209"/>
        <v>1870</v>
      </c>
      <c r="H100" s="197"/>
      <c r="I100" s="897">
        <f>'Energy NPV'!U25</f>
        <v>592.40499999999997</v>
      </c>
      <c r="J100" s="197"/>
      <c r="K100" s="197">
        <f t="shared" si="194"/>
        <v>592.40499999999997</v>
      </c>
      <c r="L100" s="197">
        <f t="shared" si="195"/>
        <v>1057.595</v>
      </c>
      <c r="M100" s="197">
        <f t="shared" si="196"/>
        <v>1277.595</v>
      </c>
      <c r="N100" s="1008">
        <f t="shared" si="210"/>
        <v>1030.5851318071075</v>
      </c>
      <c r="O100" s="1011">
        <f t="shared" si="210"/>
        <v>137.41135090761432</v>
      </c>
      <c r="P100" s="1011">
        <f t="shared" si="211"/>
        <v>370.01441515647849</v>
      </c>
      <c r="Q100" s="1011">
        <f t="shared" si="211"/>
        <v>660.57071665062904</v>
      </c>
      <c r="R100" s="1013">
        <f t="shared" si="211"/>
        <v>797.98206755824333</v>
      </c>
      <c r="S100" s="196">
        <f t="shared" si="243"/>
        <v>4960.7162047739275</v>
      </c>
      <c r="T100" s="197">
        <f t="shared" si="212"/>
        <v>2284.7162273096392</v>
      </c>
      <c r="U100" s="197">
        <f t="shared" si="212"/>
        <v>3688.0865575609027</v>
      </c>
      <c r="V100" s="197">
        <f t="shared" si="212"/>
        <v>1272.6296472130252</v>
      </c>
      <c r="W100" s="199">
        <f t="shared" si="212"/>
        <v>3557.3458745226644</v>
      </c>
      <c r="Z100" s="204">
        <f t="shared" si="244"/>
        <v>13</v>
      </c>
      <c r="AA100" s="746">
        <f>'Energy NPV'!$D25*$AB$84</f>
        <v>45</v>
      </c>
      <c r="AB100" s="197">
        <f>'Energy margins'!$E$12</f>
        <v>55</v>
      </c>
      <c r="AC100" s="197">
        <f t="shared" si="245"/>
        <v>2475</v>
      </c>
      <c r="AD100" s="197">
        <f>'Margins summary'!$Q$14</f>
        <v>220</v>
      </c>
      <c r="AE100" s="197">
        <f t="shared" si="213"/>
        <v>2695</v>
      </c>
      <c r="AF100" s="197"/>
      <c r="AG100" s="897">
        <f>'Energy NPV'!U25</f>
        <v>592.40499999999997</v>
      </c>
      <c r="AH100" s="197"/>
      <c r="AI100" s="197">
        <f t="shared" si="197"/>
        <v>592.40499999999997</v>
      </c>
      <c r="AJ100" s="197">
        <f t="shared" si="198"/>
        <v>1882.595</v>
      </c>
      <c r="AK100" s="197">
        <f t="shared" si="199"/>
        <v>2102.5950000000003</v>
      </c>
      <c r="AL100" s="1008">
        <f t="shared" si="214"/>
        <v>1545.8776977106613</v>
      </c>
      <c r="AM100" s="1011">
        <f t="shared" si="215"/>
        <v>137.41135090761432</v>
      </c>
      <c r="AN100" s="1011">
        <f t="shared" si="216"/>
        <v>370.01441515647849</v>
      </c>
      <c r="AO100" s="1011">
        <f t="shared" si="217"/>
        <v>1175.8632825541827</v>
      </c>
      <c r="AP100" s="1013">
        <f t="shared" si="218"/>
        <v>1313.2746334617973</v>
      </c>
      <c r="AQ100" s="196">
        <f t="shared" si="246"/>
        <v>7441.0743071608904</v>
      </c>
      <c r="AR100" s="197">
        <f t="shared" si="219"/>
        <v>2284.7162273096392</v>
      </c>
      <c r="AS100" s="197">
        <f t="shared" si="219"/>
        <v>3688.0865575609027</v>
      </c>
      <c r="AT100" s="197">
        <f t="shared" si="219"/>
        <v>3752.987749599989</v>
      </c>
      <c r="AU100" s="199">
        <f t="shared" si="219"/>
        <v>6037.70397690963</v>
      </c>
      <c r="AX100" s="204">
        <f t="shared" si="247"/>
        <v>13</v>
      </c>
      <c r="AY100" s="746">
        <f>'Energy NPV'!$D25*$AZ$84</f>
        <v>15</v>
      </c>
      <c r="AZ100" s="197">
        <f>'Energy margins'!$E$12</f>
        <v>55</v>
      </c>
      <c r="BA100" s="197">
        <f t="shared" si="248"/>
        <v>825</v>
      </c>
      <c r="BB100" s="197">
        <f>'Margins summary'!$Q$14</f>
        <v>220</v>
      </c>
      <c r="BC100" s="197">
        <f t="shared" si="220"/>
        <v>1045</v>
      </c>
      <c r="BD100" s="197"/>
      <c r="BE100" s="897">
        <f>'Energy NPV'!U25</f>
        <v>592.40499999999997</v>
      </c>
      <c r="BF100" s="197"/>
      <c r="BG100" s="197">
        <f t="shared" si="200"/>
        <v>592.40499999999997</v>
      </c>
      <c r="BH100" s="197">
        <f t="shared" si="201"/>
        <v>232.59500000000003</v>
      </c>
      <c r="BI100" s="197">
        <f t="shared" si="202"/>
        <v>452.59500000000003</v>
      </c>
      <c r="BJ100" s="1008">
        <f t="shared" si="221"/>
        <v>515.29256590355374</v>
      </c>
      <c r="BK100" s="1011">
        <f t="shared" si="222"/>
        <v>137.41135090761432</v>
      </c>
      <c r="BL100" s="1011">
        <f t="shared" si="223"/>
        <v>370.01441515647849</v>
      </c>
      <c r="BM100" s="1011">
        <f t="shared" si="224"/>
        <v>145.27815074707527</v>
      </c>
      <c r="BN100" s="1013">
        <f t="shared" si="225"/>
        <v>282.68950165468959</v>
      </c>
      <c r="BO100" s="196">
        <f t="shared" si="249"/>
        <v>2480.3581023869638</v>
      </c>
      <c r="BP100" s="197">
        <f t="shared" si="226"/>
        <v>2284.7162273096392</v>
      </c>
      <c r="BQ100" s="197">
        <f t="shared" si="226"/>
        <v>3688.0865575609027</v>
      </c>
      <c r="BR100" s="197">
        <f t="shared" si="226"/>
        <v>-1207.7284551739385</v>
      </c>
      <c r="BS100" s="199">
        <f t="shared" si="226"/>
        <v>1076.9877721357007</v>
      </c>
      <c r="BV100" s="204">
        <f t="shared" si="250"/>
        <v>13</v>
      </c>
      <c r="BW100" s="746">
        <f>'Energy NPV'!$D25*$BX$84</f>
        <v>60</v>
      </c>
      <c r="BX100" s="197">
        <f>'Energy margins'!$E$12</f>
        <v>55</v>
      </c>
      <c r="BY100" s="197">
        <f t="shared" si="251"/>
        <v>3300</v>
      </c>
      <c r="BZ100" s="197">
        <f>'Margins summary'!$Q$14</f>
        <v>220</v>
      </c>
      <c r="CA100" s="197">
        <f t="shared" si="227"/>
        <v>3520</v>
      </c>
      <c r="CB100" s="197"/>
      <c r="CC100" s="897">
        <f>'Energy NPV'!U25</f>
        <v>592.40499999999997</v>
      </c>
      <c r="CD100" s="197"/>
      <c r="CE100" s="197">
        <f t="shared" si="203"/>
        <v>592.40499999999997</v>
      </c>
      <c r="CF100" s="197">
        <f t="shared" si="204"/>
        <v>2707.5950000000003</v>
      </c>
      <c r="CG100" s="197">
        <f t="shared" si="205"/>
        <v>2927.5950000000003</v>
      </c>
      <c r="CH100" s="1008">
        <f t="shared" si="228"/>
        <v>2061.1702636142149</v>
      </c>
      <c r="CI100" s="1011">
        <f t="shared" si="229"/>
        <v>137.41135090761432</v>
      </c>
      <c r="CJ100" s="1011">
        <f t="shared" si="230"/>
        <v>370.01441515647849</v>
      </c>
      <c r="CK100" s="1011">
        <f t="shared" si="231"/>
        <v>1691.1558484577367</v>
      </c>
      <c r="CL100" s="1013">
        <f t="shared" si="232"/>
        <v>1828.5671993653509</v>
      </c>
      <c r="CM100" s="196">
        <f t="shared" si="252"/>
        <v>9921.4324095478551</v>
      </c>
      <c r="CN100" s="197">
        <f t="shared" si="233"/>
        <v>2284.7162273096392</v>
      </c>
      <c r="CO100" s="197">
        <f t="shared" si="233"/>
        <v>3688.0865575609027</v>
      </c>
      <c r="CP100" s="197">
        <f t="shared" si="233"/>
        <v>6233.3458519869528</v>
      </c>
      <c r="CQ100" s="199">
        <f t="shared" si="233"/>
        <v>8518.0620792965929</v>
      </c>
      <c r="CT100" s="204">
        <f t="shared" si="253"/>
        <v>13</v>
      </c>
      <c r="CU100" s="746">
        <f>'Energy NPV'!$D25*$CV$84</f>
        <v>0</v>
      </c>
      <c r="CV100" s="197">
        <f>'Energy margins'!$E$12</f>
        <v>55</v>
      </c>
      <c r="CW100" s="197">
        <f t="shared" si="254"/>
        <v>0</v>
      </c>
      <c r="CX100" s="197">
        <f>'Margins summary'!$Q$14</f>
        <v>220</v>
      </c>
      <c r="CY100" s="197">
        <f t="shared" si="234"/>
        <v>220</v>
      </c>
      <c r="CZ100" s="197"/>
      <c r="DA100" s="897">
        <f>'Energy NPV'!U25</f>
        <v>592.40499999999997</v>
      </c>
      <c r="DB100" s="197"/>
      <c r="DC100" s="197">
        <f t="shared" si="206"/>
        <v>592.40499999999997</v>
      </c>
      <c r="DD100" s="197">
        <f t="shared" si="207"/>
        <v>-592.40499999999997</v>
      </c>
      <c r="DE100" s="197">
        <f t="shared" si="208"/>
        <v>-372.40499999999997</v>
      </c>
      <c r="DF100" s="1008">
        <f t="shared" si="235"/>
        <v>0</v>
      </c>
      <c r="DG100" s="1011">
        <f t="shared" si="236"/>
        <v>137.41135090761432</v>
      </c>
      <c r="DH100" s="1011">
        <f t="shared" si="237"/>
        <v>370.01441515647849</v>
      </c>
      <c r="DI100" s="1011">
        <f t="shared" si="238"/>
        <v>-370.01441515647849</v>
      </c>
      <c r="DJ100" s="1013">
        <f t="shared" si="239"/>
        <v>-232.60306424886414</v>
      </c>
      <c r="DK100" s="196">
        <f t="shared" si="255"/>
        <v>0</v>
      </c>
      <c r="DL100" s="197">
        <f t="shared" si="240"/>
        <v>2284.7162273096392</v>
      </c>
      <c r="DM100" s="197">
        <f t="shared" si="240"/>
        <v>3688.0865575609027</v>
      </c>
      <c r="DN100" s="197">
        <f t="shared" si="240"/>
        <v>-3688.0865575609027</v>
      </c>
      <c r="DO100" s="199">
        <f t="shared" si="240"/>
        <v>-1403.3703302512631</v>
      </c>
    </row>
    <row r="101" spans="2:175" x14ac:dyDescent="0.3">
      <c r="B101" s="204">
        <f t="shared" si="241"/>
        <v>14</v>
      </c>
      <c r="C101" s="746">
        <f>'Energy NPV'!$D26*$E$84</f>
        <v>0</v>
      </c>
      <c r="D101" s="197">
        <f>'Energy margins'!$E$12</f>
        <v>55</v>
      </c>
      <c r="E101" s="197">
        <f t="shared" si="242"/>
        <v>0</v>
      </c>
      <c r="F101" s="197">
        <f>'Margins summary'!$Q$14</f>
        <v>220</v>
      </c>
      <c r="G101" s="197">
        <f t="shared" si="209"/>
        <v>220</v>
      </c>
      <c r="H101" s="197"/>
      <c r="I101" s="897">
        <f>'Energy NPV'!U26</f>
        <v>0</v>
      </c>
      <c r="J101" s="197"/>
      <c r="K101" s="197">
        <f t="shared" si="194"/>
        <v>0</v>
      </c>
      <c r="L101" s="197">
        <f t="shared" si="195"/>
        <v>0</v>
      </c>
      <c r="M101" s="197">
        <f t="shared" si="196"/>
        <v>220</v>
      </c>
      <c r="N101" s="1008">
        <f t="shared" si="210"/>
        <v>0</v>
      </c>
      <c r="O101" s="1011">
        <f t="shared" si="210"/>
        <v>132.12629894962916</v>
      </c>
      <c r="P101" s="1011">
        <f t="shared" si="211"/>
        <v>0</v>
      </c>
      <c r="Q101" s="1011">
        <f t="shared" si="211"/>
        <v>0</v>
      </c>
      <c r="R101" s="1013">
        <f t="shared" si="211"/>
        <v>132.12629894962916</v>
      </c>
      <c r="S101" s="196">
        <f t="shared" si="243"/>
        <v>4960.7162047739275</v>
      </c>
      <c r="T101" s="197">
        <f t="shared" si="212"/>
        <v>2416.8425262592682</v>
      </c>
      <c r="U101" s="197">
        <f t="shared" si="212"/>
        <v>3688.0865575609027</v>
      </c>
      <c r="V101" s="197">
        <f t="shared" si="212"/>
        <v>1272.6296472130252</v>
      </c>
      <c r="W101" s="199">
        <f t="shared" si="212"/>
        <v>3689.4721734722934</v>
      </c>
      <c r="Z101" s="204">
        <f t="shared" si="244"/>
        <v>14</v>
      </c>
      <c r="AA101" s="746">
        <f>'Energy NPV'!$D26*$AB$84</f>
        <v>0</v>
      </c>
      <c r="AB101" s="197">
        <f>'Energy margins'!$E$12</f>
        <v>55</v>
      </c>
      <c r="AC101" s="197">
        <f t="shared" si="245"/>
        <v>0</v>
      </c>
      <c r="AD101" s="197">
        <f>'Margins summary'!$Q$14</f>
        <v>220</v>
      </c>
      <c r="AE101" s="197">
        <f t="shared" si="213"/>
        <v>220</v>
      </c>
      <c r="AF101" s="197"/>
      <c r="AG101" s="897">
        <f>'Energy NPV'!U26</f>
        <v>0</v>
      </c>
      <c r="AH101" s="197"/>
      <c r="AI101" s="197">
        <f t="shared" si="197"/>
        <v>0</v>
      </c>
      <c r="AJ101" s="197">
        <f t="shared" si="198"/>
        <v>0</v>
      </c>
      <c r="AK101" s="197">
        <f t="shared" si="199"/>
        <v>220</v>
      </c>
      <c r="AL101" s="1008">
        <f t="shared" si="214"/>
        <v>0</v>
      </c>
      <c r="AM101" s="1011">
        <f t="shared" si="215"/>
        <v>132.12629894962916</v>
      </c>
      <c r="AN101" s="1011">
        <f t="shared" si="216"/>
        <v>0</v>
      </c>
      <c r="AO101" s="1011">
        <f t="shared" si="217"/>
        <v>0</v>
      </c>
      <c r="AP101" s="1013">
        <f t="shared" si="218"/>
        <v>132.12629894962916</v>
      </c>
      <c r="AQ101" s="196">
        <f t="shared" si="246"/>
        <v>7441.0743071608904</v>
      </c>
      <c r="AR101" s="197">
        <f t="shared" si="219"/>
        <v>2416.8425262592682</v>
      </c>
      <c r="AS101" s="197">
        <f t="shared" si="219"/>
        <v>3688.0865575609027</v>
      </c>
      <c r="AT101" s="197">
        <f t="shared" si="219"/>
        <v>3752.987749599989</v>
      </c>
      <c r="AU101" s="199">
        <f t="shared" si="219"/>
        <v>6169.830275859259</v>
      </c>
      <c r="AX101" s="204">
        <f t="shared" si="247"/>
        <v>14</v>
      </c>
      <c r="AY101" s="746">
        <f>'Energy NPV'!$D26*$AZ$84</f>
        <v>0</v>
      </c>
      <c r="AZ101" s="197">
        <f>'Energy margins'!$E$12</f>
        <v>55</v>
      </c>
      <c r="BA101" s="197">
        <f t="shared" si="248"/>
        <v>0</v>
      </c>
      <c r="BB101" s="197">
        <f>'Margins summary'!$Q$14</f>
        <v>220</v>
      </c>
      <c r="BC101" s="197">
        <f t="shared" si="220"/>
        <v>220</v>
      </c>
      <c r="BD101" s="197"/>
      <c r="BE101" s="897">
        <f>'Energy NPV'!U26</f>
        <v>0</v>
      </c>
      <c r="BF101" s="197"/>
      <c r="BG101" s="197">
        <f t="shared" si="200"/>
        <v>0</v>
      </c>
      <c r="BH101" s="197">
        <f t="shared" si="201"/>
        <v>0</v>
      </c>
      <c r="BI101" s="197">
        <f t="shared" si="202"/>
        <v>220</v>
      </c>
      <c r="BJ101" s="1008">
        <f t="shared" si="221"/>
        <v>0</v>
      </c>
      <c r="BK101" s="1011">
        <f t="shared" si="222"/>
        <v>132.12629894962916</v>
      </c>
      <c r="BL101" s="1011">
        <f t="shared" si="223"/>
        <v>0</v>
      </c>
      <c r="BM101" s="1011">
        <f t="shared" si="224"/>
        <v>0</v>
      </c>
      <c r="BN101" s="1013">
        <f t="shared" si="225"/>
        <v>132.12629894962916</v>
      </c>
      <c r="BO101" s="196">
        <f t="shared" si="249"/>
        <v>2480.3581023869638</v>
      </c>
      <c r="BP101" s="197">
        <f t="shared" si="226"/>
        <v>2416.8425262592682</v>
      </c>
      <c r="BQ101" s="197">
        <f t="shared" si="226"/>
        <v>3688.0865575609027</v>
      </c>
      <c r="BR101" s="197">
        <f t="shared" si="226"/>
        <v>-1207.7284551739385</v>
      </c>
      <c r="BS101" s="199">
        <f t="shared" si="226"/>
        <v>1209.1140710853299</v>
      </c>
      <c r="BV101" s="204">
        <f t="shared" si="250"/>
        <v>14</v>
      </c>
      <c r="BW101" s="746">
        <f>'Energy NPV'!$D26*$BX$84</f>
        <v>0</v>
      </c>
      <c r="BX101" s="197">
        <f>'Energy margins'!$E$12</f>
        <v>55</v>
      </c>
      <c r="BY101" s="197">
        <f t="shared" si="251"/>
        <v>0</v>
      </c>
      <c r="BZ101" s="197">
        <f>'Margins summary'!$Q$14</f>
        <v>220</v>
      </c>
      <c r="CA101" s="197">
        <f t="shared" si="227"/>
        <v>220</v>
      </c>
      <c r="CB101" s="197"/>
      <c r="CC101" s="897">
        <f>'Energy NPV'!U26</f>
        <v>0</v>
      </c>
      <c r="CD101" s="197"/>
      <c r="CE101" s="197">
        <f t="shared" si="203"/>
        <v>0</v>
      </c>
      <c r="CF101" s="197">
        <f t="shared" si="204"/>
        <v>0</v>
      </c>
      <c r="CG101" s="197">
        <f t="shared" si="205"/>
        <v>220</v>
      </c>
      <c r="CH101" s="1008">
        <f t="shared" si="228"/>
        <v>0</v>
      </c>
      <c r="CI101" s="1011">
        <f t="shared" si="229"/>
        <v>132.12629894962916</v>
      </c>
      <c r="CJ101" s="1011">
        <f t="shared" si="230"/>
        <v>0</v>
      </c>
      <c r="CK101" s="1011">
        <f t="shared" si="231"/>
        <v>0</v>
      </c>
      <c r="CL101" s="1013">
        <f t="shared" si="232"/>
        <v>132.12629894962916</v>
      </c>
      <c r="CM101" s="196">
        <f t="shared" si="252"/>
        <v>9921.4324095478551</v>
      </c>
      <c r="CN101" s="197">
        <f t="shared" si="233"/>
        <v>2416.8425262592682</v>
      </c>
      <c r="CO101" s="197">
        <f t="shared" si="233"/>
        <v>3688.0865575609027</v>
      </c>
      <c r="CP101" s="197">
        <f t="shared" si="233"/>
        <v>6233.3458519869528</v>
      </c>
      <c r="CQ101" s="199">
        <f t="shared" si="233"/>
        <v>8650.1883782462228</v>
      </c>
      <c r="CT101" s="204">
        <f t="shared" si="253"/>
        <v>14</v>
      </c>
      <c r="CU101" s="746">
        <f>'Energy NPV'!$D26*$CV$84</f>
        <v>0</v>
      </c>
      <c r="CV101" s="197">
        <f>'Energy margins'!$E$12</f>
        <v>55</v>
      </c>
      <c r="CW101" s="197">
        <f t="shared" si="254"/>
        <v>0</v>
      </c>
      <c r="CX101" s="197">
        <f>'Margins summary'!$Q$14</f>
        <v>220</v>
      </c>
      <c r="CY101" s="197">
        <f t="shared" si="234"/>
        <v>220</v>
      </c>
      <c r="CZ101" s="197"/>
      <c r="DA101" s="897">
        <f>'Energy NPV'!U26</f>
        <v>0</v>
      </c>
      <c r="DB101" s="197"/>
      <c r="DC101" s="197">
        <f t="shared" si="206"/>
        <v>0</v>
      </c>
      <c r="DD101" s="197">
        <f t="shared" si="207"/>
        <v>0</v>
      </c>
      <c r="DE101" s="197">
        <f t="shared" si="208"/>
        <v>220</v>
      </c>
      <c r="DF101" s="1008">
        <f t="shared" si="235"/>
        <v>0</v>
      </c>
      <c r="DG101" s="1011">
        <f t="shared" si="236"/>
        <v>132.12629894962916</v>
      </c>
      <c r="DH101" s="1011">
        <f t="shared" si="237"/>
        <v>0</v>
      </c>
      <c r="DI101" s="1011">
        <f t="shared" si="238"/>
        <v>0</v>
      </c>
      <c r="DJ101" s="1013">
        <f t="shared" si="239"/>
        <v>132.12629894962916</v>
      </c>
      <c r="DK101" s="196">
        <f t="shared" si="255"/>
        <v>0</v>
      </c>
      <c r="DL101" s="197">
        <f t="shared" si="240"/>
        <v>2416.8425262592682</v>
      </c>
      <c r="DM101" s="197">
        <f t="shared" si="240"/>
        <v>3688.0865575609027</v>
      </c>
      <c r="DN101" s="197">
        <f t="shared" si="240"/>
        <v>-3688.0865575609027</v>
      </c>
      <c r="DO101" s="199">
        <f t="shared" si="240"/>
        <v>-1271.2440313016339</v>
      </c>
    </row>
    <row r="102" spans="2:175" x14ac:dyDescent="0.3">
      <c r="B102" s="204">
        <f t="shared" si="241"/>
        <v>15</v>
      </c>
      <c r="C102" s="746">
        <f>'Energy NPV'!$D27*$E$84</f>
        <v>0</v>
      </c>
      <c r="D102" s="197">
        <f>'Energy margins'!$E$12</f>
        <v>55</v>
      </c>
      <c r="E102" s="197">
        <f t="shared" si="242"/>
        <v>0</v>
      </c>
      <c r="F102" s="197">
        <f>'Margins summary'!$Q$14</f>
        <v>220</v>
      </c>
      <c r="G102" s="197">
        <f t="shared" si="209"/>
        <v>220</v>
      </c>
      <c r="H102" s="197"/>
      <c r="I102" s="897">
        <f>'Energy NPV'!U27</f>
        <v>0</v>
      </c>
      <c r="J102" s="197"/>
      <c r="K102" s="197">
        <f t="shared" si="194"/>
        <v>0</v>
      </c>
      <c r="L102" s="197">
        <f t="shared" si="195"/>
        <v>0</v>
      </c>
      <c r="M102" s="197">
        <f t="shared" si="196"/>
        <v>220</v>
      </c>
      <c r="N102" s="1008">
        <f t="shared" si="210"/>
        <v>0</v>
      </c>
      <c r="O102" s="1011">
        <f t="shared" si="210"/>
        <v>127.04451822079727</v>
      </c>
      <c r="P102" s="1011">
        <f t="shared" si="211"/>
        <v>0</v>
      </c>
      <c r="Q102" s="1011">
        <f t="shared" si="211"/>
        <v>0</v>
      </c>
      <c r="R102" s="1013">
        <f t="shared" si="211"/>
        <v>127.04451822079727</v>
      </c>
      <c r="S102" s="196">
        <f t="shared" si="243"/>
        <v>4960.7162047739275</v>
      </c>
      <c r="T102" s="197">
        <f t="shared" si="212"/>
        <v>2543.8870444800655</v>
      </c>
      <c r="U102" s="197">
        <f t="shared" si="212"/>
        <v>3688.0865575609027</v>
      </c>
      <c r="V102" s="197">
        <f t="shared" si="212"/>
        <v>1272.6296472130252</v>
      </c>
      <c r="W102" s="199">
        <f t="shared" si="212"/>
        <v>3816.5166916930907</v>
      </c>
      <c r="Z102" s="204">
        <f t="shared" si="244"/>
        <v>15</v>
      </c>
      <c r="AA102" s="746">
        <f>'Energy NPV'!$D27*$AB$84</f>
        <v>0</v>
      </c>
      <c r="AB102" s="197">
        <f>'Energy margins'!$E$12</f>
        <v>55</v>
      </c>
      <c r="AC102" s="197">
        <f t="shared" si="245"/>
        <v>0</v>
      </c>
      <c r="AD102" s="197">
        <f>'Margins summary'!$Q$14</f>
        <v>220</v>
      </c>
      <c r="AE102" s="197">
        <f t="shared" si="213"/>
        <v>220</v>
      </c>
      <c r="AF102" s="197"/>
      <c r="AG102" s="897">
        <f>'Energy NPV'!U27</f>
        <v>0</v>
      </c>
      <c r="AH102" s="197"/>
      <c r="AI102" s="197">
        <f t="shared" si="197"/>
        <v>0</v>
      </c>
      <c r="AJ102" s="197">
        <f t="shared" si="198"/>
        <v>0</v>
      </c>
      <c r="AK102" s="197">
        <f t="shared" si="199"/>
        <v>220</v>
      </c>
      <c r="AL102" s="1008">
        <f t="shared" si="214"/>
        <v>0</v>
      </c>
      <c r="AM102" s="1011">
        <f t="shared" si="215"/>
        <v>127.04451822079727</v>
      </c>
      <c r="AN102" s="1011">
        <f t="shared" si="216"/>
        <v>0</v>
      </c>
      <c r="AO102" s="1011">
        <f t="shared" si="217"/>
        <v>0</v>
      </c>
      <c r="AP102" s="1013">
        <f t="shared" si="218"/>
        <v>127.04451822079727</v>
      </c>
      <c r="AQ102" s="196">
        <f t="shared" si="246"/>
        <v>7441.0743071608904</v>
      </c>
      <c r="AR102" s="197">
        <f t="shared" si="219"/>
        <v>2543.8870444800655</v>
      </c>
      <c r="AS102" s="197">
        <f t="shared" si="219"/>
        <v>3688.0865575609027</v>
      </c>
      <c r="AT102" s="197">
        <f t="shared" si="219"/>
        <v>3752.987749599989</v>
      </c>
      <c r="AU102" s="199">
        <f t="shared" si="219"/>
        <v>6296.8747940800567</v>
      </c>
      <c r="AX102" s="204">
        <f t="shared" si="247"/>
        <v>15</v>
      </c>
      <c r="AY102" s="746">
        <f>'Energy NPV'!$D27*$AZ$84</f>
        <v>0</v>
      </c>
      <c r="AZ102" s="197">
        <f>'Energy margins'!$E$12</f>
        <v>55</v>
      </c>
      <c r="BA102" s="197">
        <f t="shared" si="248"/>
        <v>0</v>
      </c>
      <c r="BB102" s="197">
        <f>'Margins summary'!$Q$14</f>
        <v>220</v>
      </c>
      <c r="BC102" s="197">
        <f t="shared" si="220"/>
        <v>220</v>
      </c>
      <c r="BD102" s="197"/>
      <c r="BE102" s="897">
        <f>'Energy NPV'!U27</f>
        <v>0</v>
      </c>
      <c r="BF102" s="197"/>
      <c r="BG102" s="197">
        <f t="shared" si="200"/>
        <v>0</v>
      </c>
      <c r="BH102" s="197">
        <f t="shared" si="201"/>
        <v>0</v>
      </c>
      <c r="BI102" s="197">
        <f t="shared" si="202"/>
        <v>220</v>
      </c>
      <c r="BJ102" s="1008">
        <f t="shared" si="221"/>
        <v>0</v>
      </c>
      <c r="BK102" s="1011">
        <f t="shared" si="222"/>
        <v>127.04451822079727</v>
      </c>
      <c r="BL102" s="1011">
        <f t="shared" si="223"/>
        <v>0</v>
      </c>
      <c r="BM102" s="1011">
        <f t="shared" si="224"/>
        <v>0</v>
      </c>
      <c r="BN102" s="1013">
        <f t="shared" si="225"/>
        <v>127.04451822079727</v>
      </c>
      <c r="BO102" s="196">
        <f t="shared" si="249"/>
        <v>2480.3581023869638</v>
      </c>
      <c r="BP102" s="197">
        <f t="shared" si="226"/>
        <v>2543.8870444800655</v>
      </c>
      <c r="BQ102" s="197">
        <f t="shared" si="226"/>
        <v>3688.0865575609027</v>
      </c>
      <c r="BR102" s="197">
        <f t="shared" si="226"/>
        <v>-1207.7284551739385</v>
      </c>
      <c r="BS102" s="199">
        <f t="shared" si="226"/>
        <v>1336.1585893061272</v>
      </c>
      <c r="BV102" s="204">
        <f t="shared" si="250"/>
        <v>15</v>
      </c>
      <c r="BW102" s="746">
        <f>'Energy NPV'!$D27*$BX$84</f>
        <v>0</v>
      </c>
      <c r="BX102" s="197">
        <f>'Energy margins'!$E$12</f>
        <v>55</v>
      </c>
      <c r="BY102" s="197">
        <f t="shared" si="251"/>
        <v>0</v>
      </c>
      <c r="BZ102" s="197">
        <f>'Margins summary'!$Q$14</f>
        <v>220</v>
      </c>
      <c r="CA102" s="197">
        <f t="shared" si="227"/>
        <v>220</v>
      </c>
      <c r="CB102" s="197"/>
      <c r="CC102" s="897">
        <f>'Energy NPV'!U27</f>
        <v>0</v>
      </c>
      <c r="CD102" s="197"/>
      <c r="CE102" s="197">
        <f t="shared" si="203"/>
        <v>0</v>
      </c>
      <c r="CF102" s="197">
        <f t="shared" si="204"/>
        <v>0</v>
      </c>
      <c r="CG102" s="197">
        <f t="shared" si="205"/>
        <v>220</v>
      </c>
      <c r="CH102" s="1008">
        <f t="shared" si="228"/>
        <v>0</v>
      </c>
      <c r="CI102" s="1011">
        <f t="shared" si="229"/>
        <v>127.04451822079727</v>
      </c>
      <c r="CJ102" s="1011">
        <f t="shared" si="230"/>
        <v>0</v>
      </c>
      <c r="CK102" s="1011">
        <f t="shared" si="231"/>
        <v>0</v>
      </c>
      <c r="CL102" s="1013">
        <f t="shared" si="232"/>
        <v>127.04451822079727</v>
      </c>
      <c r="CM102" s="196">
        <f t="shared" si="252"/>
        <v>9921.4324095478551</v>
      </c>
      <c r="CN102" s="197">
        <f t="shared" si="233"/>
        <v>2543.8870444800655</v>
      </c>
      <c r="CO102" s="197">
        <f t="shared" si="233"/>
        <v>3688.0865575609027</v>
      </c>
      <c r="CP102" s="197">
        <f t="shared" si="233"/>
        <v>6233.3458519869528</v>
      </c>
      <c r="CQ102" s="199">
        <f t="shared" si="233"/>
        <v>8777.2328964670196</v>
      </c>
      <c r="CT102" s="204">
        <f t="shared" si="253"/>
        <v>15</v>
      </c>
      <c r="CU102" s="746">
        <f>'Energy NPV'!$D27*$CV$84</f>
        <v>0</v>
      </c>
      <c r="CV102" s="197">
        <f>'Energy margins'!$E$12</f>
        <v>55</v>
      </c>
      <c r="CW102" s="197">
        <f t="shared" si="254"/>
        <v>0</v>
      </c>
      <c r="CX102" s="197">
        <f>'Margins summary'!$Q$14</f>
        <v>220</v>
      </c>
      <c r="CY102" s="197">
        <f t="shared" si="234"/>
        <v>220</v>
      </c>
      <c r="CZ102" s="197"/>
      <c r="DA102" s="897">
        <f>'Energy NPV'!U27</f>
        <v>0</v>
      </c>
      <c r="DB102" s="197"/>
      <c r="DC102" s="197">
        <f t="shared" si="206"/>
        <v>0</v>
      </c>
      <c r="DD102" s="197">
        <f t="shared" si="207"/>
        <v>0</v>
      </c>
      <c r="DE102" s="197">
        <f t="shared" si="208"/>
        <v>220</v>
      </c>
      <c r="DF102" s="1008">
        <f t="shared" si="235"/>
        <v>0</v>
      </c>
      <c r="DG102" s="1011">
        <f t="shared" si="236"/>
        <v>127.04451822079727</v>
      </c>
      <c r="DH102" s="1011">
        <f t="shared" si="237"/>
        <v>0</v>
      </c>
      <c r="DI102" s="1011">
        <f t="shared" si="238"/>
        <v>0</v>
      </c>
      <c r="DJ102" s="1013">
        <f t="shared" si="239"/>
        <v>127.04451822079727</v>
      </c>
      <c r="DK102" s="196">
        <f t="shared" si="255"/>
        <v>0</v>
      </c>
      <c r="DL102" s="197">
        <f t="shared" si="240"/>
        <v>2543.8870444800655</v>
      </c>
      <c r="DM102" s="197">
        <f t="shared" si="240"/>
        <v>3688.0865575609027</v>
      </c>
      <c r="DN102" s="197">
        <f t="shared" si="240"/>
        <v>-3688.0865575609027</v>
      </c>
      <c r="DO102" s="199">
        <f t="shared" si="240"/>
        <v>-1144.1995130808366</v>
      </c>
    </row>
    <row r="103" spans="2:175" x14ac:dyDescent="0.3">
      <c r="B103" s="206">
        <f t="shared" si="241"/>
        <v>16</v>
      </c>
      <c r="C103" s="215">
        <f>'Energy NPV'!$D28*$E$84</f>
        <v>30</v>
      </c>
      <c r="D103" s="207">
        <f>'Energy margins'!$E$12</f>
        <v>55</v>
      </c>
      <c r="E103" s="207">
        <f t="shared" si="242"/>
        <v>1650</v>
      </c>
      <c r="F103" s="207">
        <f>'Margins summary'!$Q$14</f>
        <v>220</v>
      </c>
      <c r="G103" s="207">
        <f t="shared" si="209"/>
        <v>1870</v>
      </c>
      <c r="H103" s="207"/>
      <c r="I103" s="898">
        <f>'Energy NPV'!U28</f>
        <v>592.40499999999997</v>
      </c>
      <c r="J103" s="207">
        <f>'Energy margins'!$J$67</f>
        <v>170</v>
      </c>
      <c r="K103" s="207">
        <f t="shared" si="194"/>
        <v>762.40499999999997</v>
      </c>
      <c r="L103" s="207">
        <f t="shared" si="195"/>
        <v>887.59500000000003</v>
      </c>
      <c r="M103" s="207">
        <f t="shared" si="196"/>
        <v>1107.595</v>
      </c>
      <c r="N103" s="1009">
        <f t="shared" si="210"/>
        <v>916.18642947690341</v>
      </c>
      <c r="O103" s="748">
        <f t="shared" si="210"/>
        <v>122.15819059692046</v>
      </c>
      <c r="P103" s="748">
        <f t="shared" si="211"/>
        <v>423.33643319111428</v>
      </c>
      <c r="Q103" s="748">
        <f t="shared" si="211"/>
        <v>492.84999628578919</v>
      </c>
      <c r="R103" s="1014">
        <f>M103/((1+$B$4)^($B103-1))</f>
        <v>615.00818688270965</v>
      </c>
      <c r="S103" s="208">
        <f t="shared" si="243"/>
        <v>5876.9026342508314</v>
      </c>
      <c r="T103" s="207">
        <f t="shared" si="212"/>
        <v>2666.045235076986</v>
      </c>
      <c r="U103" s="207">
        <f t="shared" si="212"/>
        <v>4111.4229907520166</v>
      </c>
      <c r="V103" s="207">
        <f t="shared" si="212"/>
        <v>1765.4796434988143</v>
      </c>
      <c r="W103" s="209">
        <f t="shared" si="212"/>
        <v>4431.5248785758004</v>
      </c>
      <c r="Z103" s="206">
        <f t="shared" si="244"/>
        <v>16</v>
      </c>
      <c r="AA103" s="215">
        <f>'Energy NPV'!$D28*$AB$84</f>
        <v>45</v>
      </c>
      <c r="AB103" s="207">
        <f>'Energy margins'!$E$12</f>
        <v>55</v>
      </c>
      <c r="AC103" s="207">
        <f t="shared" si="245"/>
        <v>2475</v>
      </c>
      <c r="AD103" s="207">
        <f>'Margins summary'!$Q$14</f>
        <v>220</v>
      </c>
      <c r="AE103" s="207">
        <f t="shared" si="213"/>
        <v>2695</v>
      </c>
      <c r="AF103" s="207"/>
      <c r="AG103" s="898">
        <f>'Energy NPV'!U28</f>
        <v>592.40499999999997</v>
      </c>
      <c r="AH103" s="207">
        <f>'Energy margins'!$J$67</f>
        <v>170</v>
      </c>
      <c r="AI103" s="207">
        <f t="shared" si="197"/>
        <v>762.40499999999997</v>
      </c>
      <c r="AJ103" s="207">
        <f t="shared" si="198"/>
        <v>1712.595</v>
      </c>
      <c r="AK103" s="207">
        <f t="shared" si="199"/>
        <v>1932.595</v>
      </c>
      <c r="AL103" s="1009">
        <f t="shared" si="214"/>
        <v>1374.2796442153551</v>
      </c>
      <c r="AM103" s="748">
        <f t="shared" si="215"/>
        <v>122.15819059692046</v>
      </c>
      <c r="AN103" s="748">
        <f t="shared" si="216"/>
        <v>423.33643319111428</v>
      </c>
      <c r="AO103" s="748">
        <f t="shared" si="217"/>
        <v>950.9432110242409</v>
      </c>
      <c r="AP103" s="1014">
        <f t="shared" si="218"/>
        <v>1073.1014016211614</v>
      </c>
      <c r="AQ103" s="208">
        <f>AQ102+AL103</f>
        <v>8815.3539513762462</v>
      </c>
      <c r="AR103" s="207">
        <f t="shared" si="219"/>
        <v>2666.045235076986</v>
      </c>
      <c r="AS103" s="207">
        <f t="shared" si="219"/>
        <v>4111.4229907520166</v>
      </c>
      <c r="AT103" s="207">
        <f t="shared" si="219"/>
        <v>4703.9309606242296</v>
      </c>
      <c r="AU103" s="209">
        <f t="shared" si="219"/>
        <v>7369.9761957012179</v>
      </c>
      <c r="AX103" s="206">
        <f t="shared" si="247"/>
        <v>16</v>
      </c>
      <c r="AY103" s="215">
        <f>'Energy NPV'!$D28*$AZ$84</f>
        <v>15</v>
      </c>
      <c r="AZ103" s="207">
        <f>'Energy margins'!$E$12</f>
        <v>55</v>
      </c>
      <c r="BA103" s="207">
        <f t="shared" si="248"/>
        <v>825</v>
      </c>
      <c r="BB103" s="207">
        <f>'Margins summary'!$Q$14</f>
        <v>220</v>
      </c>
      <c r="BC103" s="207">
        <f t="shared" si="220"/>
        <v>1045</v>
      </c>
      <c r="BD103" s="207"/>
      <c r="BE103" s="898">
        <f>'Energy NPV'!U28</f>
        <v>592.40499999999997</v>
      </c>
      <c r="BF103" s="207">
        <f>'Energy margins'!$J$67</f>
        <v>170</v>
      </c>
      <c r="BG103" s="207">
        <f t="shared" si="200"/>
        <v>762.40499999999997</v>
      </c>
      <c r="BH103" s="207">
        <f t="shared" si="201"/>
        <v>62.595000000000027</v>
      </c>
      <c r="BI103" s="207">
        <f t="shared" si="202"/>
        <v>282.59500000000003</v>
      </c>
      <c r="BJ103" s="1009">
        <f t="shared" si="221"/>
        <v>458.09321473845171</v>
      </c>
      <c r="BK103" s="748">
        <f t="shared" si="222"/>
        <v>122.15819059692046</v>
      </c>
      <c r="BL103" s="748">
        <f t="shared" si="223"/>
        <v>423.33643319111428</v>
      </c>
      <c r="BM103" s="748">
        <f t="shared" si="224"/>
        <v>34.756781547337454</v>
      </c>
      <c r="BN103" s="1014">
        <f t="shared" si="225"/>
        <v>156.91497214425792</v>
      </c>
      <c r="BO103" s="208">
        <f t="shared" si="249"/>
        <v>2938.4513171254157</v>
      </c>
      <c r="BP103" s="207">
        <f t="shared" si="226"/>
        <v>2666.045235076986</v>
      </c>
      <c r="BQ103" s="207">
        <f t="shared" si="226"/>
        <v>4111.4229907520166</v>
      </c>
      <c r="BR103" s="207">
        <f t="shared" si="226"/>
        <v>-1172.9716736266012</v>
      </c>
      <c r="BS103" s="209">
        <f t="shared" si="226"/>
        <v>1493.0735614503851</v>
      </c>
      <c r="BV103" s="206">
        <f t="shared" si="250"/>
        <v>16</v>
      </c>
      <c r="BW103" s="215">
        <f>'Energy NPV'!$D28*$BX$84</f>
        <v>60</v>
      </c>
      <c r="BX103" s="207">
        <f>'Energy margins'!$E$12</f>
        <v>55</v>
      </c>
      <c r="BY103" s="207">
        <f t="shared" si="251"/>
        <v>3300</v>
      </c>
      <c r="BZ103" s="207">
        <f>'Margins summary'!$Q$14</f>
        <v>220</v>
      </c>
      <c r="CA103" s="207">
        <f t="shared" si="227"/>
        <v>3520</v>
      </c>
      <c r="CB103" s="207"/>
      <c r="CC103" s="898">
        <f>'Energy NPV'!U28</f>
        <v>592.40499999999997</v>
      </c>
      <c r="CD103" s="207">
        <f>'Energy margins'!$J$67</f>
        <v>170</v>
      </c>
      <c r="CE103" s="207">
        <f t="shared" si="203"/>
        <v>762.40499999999997</v>
      </c>
      <c r="CF103" s="207">
        <f t="shared" si="204"/>
        <v>2537.5950000000003</v>
      </c>
      <c r="CG103" s="207">
        <f t="shared" si="205"/>
        <v>2757.5950000000003</v>
      </c>
      <c r="CH103" s="1009">
        <f t="shared" ref="CH103" si="256">BY103/((1+$B$4)^($BV103-1))</f>
        <v>1832.3728589538068</v>
      </c>
      <c r="CI103" s="748">
        <f t="shared" ref="CI103" si="257">BZ103/((1+$B$4)^($BV103-1))</f>
        <v>122.15819059692046</v>
      </c>
      <c r="CJ103" s="748">
        <f t="shared" ref="CJ103" si="258">CE103/((1+$B$4)^($BV103-1))</f>
        <v>423.33643319111428</v>
      </c>
      <c r="CK103" s="748">
        <f t="shared" ref="CK103" si="259">CF103/((1+$B$4)^($BV103-1))</f>
        <v>1409.0364257626927</v>
      </c>
      <c r="CL103" s="1014">
        <f>CG103/((1+$B$4)^($BV103-1))</f>
        <v>1531.1946163596131</v>
      </c>
      <c r="CM103" s="208">
        <f t="shared" si="252"/>
        <v>11753.805268501663</v>
      </c>
      <c r="CN103" s="207">
        <f t="shared" si="233"/>
        <v>2666.045235076986</v>
      </c>
      <c r="CO103" s="207">
        <f t="shared" si="233"/>
        <v>4111.4229907520166</v>
      </c>
      <c r="CP103" s="207">
        <f t="shared" si="233"/>
        <v>7642.3822777496453</v>
      </c>
      <c r="CQ103" s="209">
        <f t="shared" si="233"/>
        <v>10308.427512826633</v>
      </c>
      <c r="CT103" s="206">
        <f t="shared" si="253"/>
        <v>16</v>
      </c>
      <c r="CU103" s="215">
        <f>'Energy NPV'!$D28*$CV$84</f>
        <v>0</v>
      </c>
      <c r="CV103" s="207">
        <f>'Energy margins'!$E$12</f>
        <v>55</v>
      </c>
      <c r="CW103" s="207">
        <f t="shared" si="254"/>
        <v>0</v>
      </c>
      <c r="CX103" s="207">
        <f>'Margins summary'!$Q$14</f>
        <v>220</v>
      </c>
      <c r="CY103" s="207">
        <f t="shared" si="234"/>
        <v>220</v>
      </c>
      <c r="CZ103" s="207"/>
      <c r="DA103" s="898">
        <f>'Energy NPV'!U28</f>
        <v>592.40499999999997</v>
      </c>
      <c r="DB103" s="207">
        <f>'Energy margins'!$J$67</f>
        <v>170</v>
      </c>
      <c r="DC103" s="207">
        <f t="shared" si="206"/>
        <v>762.40499999999997</v>
      </c>
      <c r="DD103" s="207">
        <f t="shared" si="207"/>
        <v>-762.40499999999997</v>
      </c>
      <c r="DE103" s="207">
        <f t="shared" si="208"/>
        <v>-542.40499999999997</v>
      </c>
      <c r="DF103" s="1009">
        <f t="shared" si="235"/>
        <v>0</v>
      </c>
      <c r="DG103" s="748">
        <f t="shared" si="236"/>
        <v>122.15819059692046</v>
      </c>
      <c r="DH103" s="748">
        <f t="shared" si="237"/>
        <v>423.33643319111428</v>
      </c>
      <c r="DI103" s="748">
        <f t="shared" si="238"/>
        <v>-423.33643319111428</v>
      </c>
      <c r="DJ103" s="1014">
        <f t="shared" si="239"/>
        <v>-301.17824259419382</v>
      </c>
      <c r="DK103" s="208">
        <f t="shared" si="255"/>
        <v>0</v>
      </c>
      <c r="DL103" s="207">
        <f t="shared" si="240"/>
        <v>2666.045235076986</v>
      </c>
      <c r="DM103" s="207">
        <f t="shared" si="240"/>
        <v>4111.4229907520166</v>
      </c>
      <c r="DN103" s="207">
        <f t="shared" si="240"/>
        <v>-4111.4229907520166</v>
      </c>
      <c r="DO103" s="209">
        <f t="shared" si="240"/>
        <v>-1445.3777556750304</v>
      </c>
    </row>
    <row r="109" spans="2:175" x14ac:dyDescent="0.3">
      <c r="B109" s="211" t="s">
        <v>95</v>
      </c>
      <c r="C109" s="750" t="s">
        <v>431</v>
      </c>
      <c r="D109" s="269" t="s">
        <v>418</v>
      </c>
      <c r="E109" s="887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Y109" s="102"/>
      <c r="Z109" s="211" t="s">
        <v>95</v>
      </c>
      <c r="AA109" s="211" t="s">
        <v>336</v>
      </c>
      <c r="AB109" s="887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95</v>
      </c>
      <c r="AY109" s="211" t="s">
        <v>337</v>
      </c>
      <c r="AZ109" s="887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95</v>
      </c>
      <c r="BW109" s="211" t="s">
        <v>338</v>
      </c>
      <c r="BX109" s="887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95</v>
      </c>
      <c r="CU109" s="211" t="s">
        <v>339</v>
      </c>
      <c r="CV109" s="887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  <c r="DZ109" s="102"/>
      <c r="EA109" s="102"/>
      <c r="EB109" s="102"/>
      <c r="EC109" s="102"/>
      <c r="ED109" s="102"/>
      <c r="EE109" s="102"/>
      <c r="EF109" s="102"/>
      <c r="EG109" s="102"/>
      <c r="EH109" s="102"/>
      <c r="EI109" s="102"/>
      <c r="EJ109" s="102"/>
      <c r="FI109" s="102"/>
      <c r="FJ109" s="102"/>
      <c r="FK109" s="102"/>
      <c r="FL109" s="102"/>
      <c r="FM109" s="102"/>
      <c r="FN109" s="102"/>
      <c r="FO109" s="102"/>
      <c r="FP109" s="102"/>
      <c r="FQ109" s="102"/>
      <c r="FR109" s="102"/>
      <c r="FS109" s="102"/>
    </row>
    <row r="110" spans="2:175" x14ac:dyDescent="0.3">
      <c r="B110" s="203"/>
      <c r="C110" s="148"/>
      <c r="D110" s="148"/>
      <c r="E110" s="970"/>
      <c r="F110" s="970"/>
      <c r="G110" s="970"/>
      <c r="H110" s="148"/>
      <c r="I110" s="910"/>
      <c r="J110" s="970"/>
      <c r="K110" s="970"/>
      <c r="L110" s="148"/>
      <c r="M110" s="148"/>
      <c r="N110" s="971" t="s">
        <v>279</v>
      </c>
      <c r="O110" s="972"/>
      <c r="P110" s="972"/>
      <c r="Q110" s="972"/>
      <c r="R110" s="973"/>
      <c r="S110" s="971" t="s">
        <v>280</v>
      </c>
      <c r="T110" s="972"/>
      <c r="U110" s="972"/>
      <c r="V110" s="972"/>
      <c r="W110" s="973"/>
      <c r="Z110" s="203"/>
      <c r="AA110" s="148"/>
      <c r="AB110" s="148"/>
      <c r="AC110" s="970"/>
      <c r="AD110" s="970"/>
      <c r="AE110" s="970"/>
      <c r="AF110" s="148"/>
      <c r="AG110" s="910"/>
      <c r="AH110" s="970"/>
      <c r="AI110" s="970"/>
      <c r="AJ110" s="148"/>
      <c r="AK110" s="148"/>
      <c r="AL110" s="971" t="s">
        <v>279</v>
      </c>
      <c r="AM110" s="972"/>
      <c r="AN110" s="972"/>
      <c r="AO110" s="972"/>
      <c r="AP110" s="973"/>
      <c r="AQ110" s="971" t="s">
        <v>280</v>
      </c>
      <c r="AR110" s="972"/>
      <c r="AS110" s="972"/>
      <c r="AT110" s="972"/>
      <c r="AU110" s="973"/>
      <c r="AX110" s="203"/>
      <c r="AY110" s="148"/>
      <c r="AZ110" s="148"/>
      <c r="BA110" s="970"/>
      <c r="BB110" s="970"/>
      <c r="BC110" s="970"/>
      <c r="BD110" s="148"/>
      <c r="BE110" s="910"/>
      <c r="BF110" s="970"/>
      <c r="BG110" s="970"/>
      <c r="BH110" s="148"/>
      <c r="BI110" s="148"/>
      <c r="BJ110" s="971" t="s">
        <v>279</v>
      </c>
      <c r="BK110" s="972"/>
      <c r="BL110" s="972"/>
      <c r="BM110" s="972"/>
      <c r="BN110" s="973"/>
      <c r="BO110" s="971" t="s">
        <v>280</v>
      </c>
      <c r="BP110" s="972"/>
      <c r="BQ110" s="972"/>
      <c r="BR110" s="972"/>
      <c r="BS110" s="973"/>
      <c r="BV110" s="203"/>
      <c r="BW110" s="148"/>
      <c r="BX110" s="148"/>
      <c r="BY110" s="970"/>
      <c r="BZ110" s="970"/>
      <c r="CA110" s="970"/>
      <c r="CB110" s="148"/>
      <c r="CC110" s="910"/>
      <c r="CD110" s="970"/>
      <c r="CE110" s="970"/>
      <c r="CF110" s="148"/>
      <c r="CG110" s="148"/>
      <c r="CH110" s="971" t="s">
        <v>279</v>
      </c>
      <c r="CI110" s="972"/>
      <c r="CJ110" s="972"/>
      <c r="CK110" s="972"/>
      <c r="CL110" s="973"/>
      <c r="CM110" s="971" t="s">
        <v>280</v>
      </c>
      <c r="CN110" s="972"/>
      <c r="CO110" s="972"/>
      <c r="CP110" s="972"/>
      <c r="CQ110" s="973"/>
      <c r="CT110" s="203"/>
      <c r="CU110" s="148"/>
      <c r="CV110" s="148"/>
      <c r="CW110" s="970"/>
      <c r="CX110" s="970"/>
      <c r="CY110" s="970"/>
      <c r="CZ110" s="148"/>
      <c r="DA110" s="910"/>
      <c r="DB110" s="970"/>
      <c r="DC110" s="970"/>
      <c r="DD110" s="148"/>
      <c r="DE110" s="148"/>
      <c r="DF110" s="971" t="s">
        <v>279</v>
      </c>
      <c r="DG110" s="972"/>
      <c r="DH110" s="972"/>
      <c r="DI110" s="972"/>
      <c r="DJ110" s="973"/>
      <c r="DK110" s="971" t="s">
        <v>280</v>
      </c>
      <c r="DL110" s="972"/>
      <c r="DM110" s="972"/>
      <c r="DN110" s="972"/>
      <c r="DO110" s="973"/>
    </row>
    <row r="111" spans="2:175" ht="51" x14ac:dyDescent="0.3">
      <c r="B111" s="204" t="s">
        <v>281</v>
      </c>
      <c r="C111" s="205" t="s">
        <v>307</v>
      </c>
      <c r="D111" s="205" t="s">
        <v>308</v>
      </c>
      <c r="E111" s="171" t="s">
        <v>283</v>
      </c>
      <c r="F111" s="171" t="s">
        <v>10</v>
      </c>
      <c r="G111" s="171" t="s">
        <v>284</v>
      </c>
      <c r="H111" s="205" t="s">
        <v>305</v>
      </c>
      <c r="I111" s="914" t="str">
        <f>'Energy NPV'!U37</f>
        <v>Total Recurring Costs</v>
      </c>
      <c r="J111" s="205" t="s">
        <v>309</v>
      </c>
      <c r="K111" s="171" t="s">
        <v>287</v>
      </c>
      <c r="L111" s="171" t="s">
        <v>288</v>
      </c>
      <c r="M111" s="171" t="s">
        <v>289</v>
      </c>
      <c r="N111" s="195" t="s">
        <v>290</v>
      </c>
      <c r="O111" s="171" t="s">
        <v>291</v>
      </c>
      <c r="P111" s="171" t="s">
        <v>292</v>
      </c>
      <c r="Q111" s="171" t="s">
        <v>293</v>
      </c>
      <c r="R111" s="198" t="s">
        <v>294</v>
      </c>
      <c r="S111" s="195" t="s">
        <v>295</v>
      </c>
      <c r="T111" s="171" t="s">
        <v>296</v>
      </c>
      <c r="U111" s="171" t="s">
        <v>297</v>
      </c>
      <c r="V111" s="171" t="s">
        <v>298</v>
      </c>
      <c r="W111" s="198" t="s">
        <v>299</v>
      </c>
      <c r="Z111" s="204" t="s">
        <v>281</v>
      </c>
      <c r="AA111" s="205" t="s">
        <v>307</v>
      </c>
      <c r="AB111" s="205" t="s">
        <v>308</v>
      </c>
      <c r="AC111" s="171" t="s">
        <v>283</v>
      </c>
      <c r="AD111" s="171" t="s">
        <v>10</v>
      </c>
      <c r="AE111" s="171" t="s">
        <v>284</v>
      </c>
      <c r="AF111" s="205" t="s">
        <v>305</v>
      </c>
      <c r="AG111" s="914" t="str">
        <f>'Energy NPV'!U37</f>
        <v>Total Recurring Costs</v>
      </c>
      <c r="AH111" s="205" t="s">
        <v>309</v>
      </c>
      <c r="AI111" s="171" t="s">
        <v>287</v>
      </c>
      <c r="AJ111" s="171" t="s">
        <v>288</v>
      </c>
      <c r="AK111" s="171" t="s">
        <v>289</v>
      </c>
      <c r="AL111" s="195" t="s">
        <v>290</v>
      </c>
      <c r="AM111" s="171" t="s">
        <v>291</v>
      </c>
      <c r="AN111" s="171" t="s">
        <v>292</v>
      </c>
      <c r="AO111" s="171" t="s">
        <v>293</v>
      </c>
      <c r="AP111" s="198" t="s">
        <v>294</v>
      </c>
      <c r="AQ111" s="195" t="s">
        <v>295</v>
      </c>
      <c r="AR111" s="171" t="s">
        <v>296</v>
      </c>
      <c r="AS111" s="171" t="s">
        <v>297</v>
      </c>
      <c r="AT111" s="171" t="s">
        <v>298</v>
      </c>
      <c r="AU111" s="198" t="s">
        <v>299</v>
      </c>
      <c r="AX111" s="204" t="s">
        <v>281</v>
      </c>
      <c r="AY111" s="205" t="s">
        <v>307</v>
      </c>
      <c r="AZ111" s="205" t="s">
        <v>308</v>
      </c>
      <c r="BA111" s="171" t="s">
        <v>283</v>
      </c>
      <c r="BB111" s="171" t="s">
        <v>10</v>
      </c>
      <c r="BC111" s="171" t="s">
        <v>284</v>
      </c>
      <c r="BD111" s="205" t="s">
        <v>305</v>
      </c>
      <c r="BE111" s="914" t="str">
        <f>'Energy NPV'!U37</f>
        <v>Total Recurring Costs</v>
      </c>
      <c r="BF111" s="205" t="s">
        <v>309</v>
      </c>
      <c r="BG111" s="171" t="s">
        <v>287</v>
      </c>
      <c r="BH111" s="171" t="s">
        <v>288</v>
      </c>
      <c r="BI111" s="171" t="s">
        <v>289</v>
      </c>
      <c r="BJ111" s="195" t="s">
        <v>290</v>
      </c>
      <c r="BK111" s="171" t="s">
        <v>291</v>
      </c>
      <c r="BL111" s="171" t="s">
        <v>292</v>
      </c>
      <c r="BM111" s="171" t="s">
        <v>293</v>
      </c>
      <c r="BN111" s="198" t="s">
        <v>294</v>
      </c>
      <c r="BO111" s="195" t="s">
        <v>295</v>
      </c>
      <c r="BP111" s="171" t="s">
        <v>296</v>
      </c>
      <c r="BQ111" s="171" t="s">
        <v>297</v>
      </c>
      <c r="BR111" s="171" t="s">
        <v>298</v>
      </c>
      <c r="BS111" s="198" t="s">
        <v>299</v>
      </c>
      <c r="BV111" s="204" t="s">
        <v>281</v>
      </c>
      <c r="BW111" s="205" t="s">
        <v>307</v>
      </c>
      <c r="BX111" s="205" t="s">
        <v>308</v>
      </c>
      <c r="BY111" s="171" t="s">
        <v>283</v>
      </c>
      <c r="BZ111" s="171" t="s">
        <v>10</v>
      </c>
      <c r="CA111" s="171" t="s">
        <v>284</v>
      </c>
      <c r="CB111" s="205" t="s">
        <v>305</v>
      </c>
      <c r="CC111" s="914" t="str">
        <f>'Energy NPV'!U37</f>
        <v>Total Recurring Costs</v>
      </c>
      <c r="CD111" s="205" t="s">
        <v>309</v>
      </c>
      <c r="CE111" s="171" t="s">
        <v>287</v>
      </c>
      <c r="CF111" s="171" t="s">
        <v>288</v>
      </c>
      <c r="CG111" s="171" t="s">
        <v>289</v>
      </c>
      <c r="CH111" s="195" t="s">
        <v>290</v>
      </c>
      <c r="CI111" s="171" t="s">
        <v>291</v>
      </c>
      <c r="CJ111" s="171" t="s">
        <v>292</v>
      </c>
      <c r="CK111" s="171" t="s">
        <v>293</v>
      </c>
      <c r="CL111" s="198" t="s">
        <v>294</v>
      </c>
      <c r="CM111" s="195" t="s">
        <v>295</v>
      </c>
      <c r="CN111" s="171" t="s">
        <v>296</v>
      </c>
      <c r="CO111" s="171" t="s">
        <v>297</v>
      </c>
      <c r="CP111" s="171" t="s">
        <v>298</v>
      </c>
      <c r="CQ111" s="198" t="s">
        <v>299</v>
      </c>
      <c r="CT111" s="204" t="s">
        <v>281</v>
      </c>
      <c r="CU111" s="205" t="s">
        <v>307</v>
      </c>
      <c r="CV111" s="205" t="s">
        <v>308</v>
      </c>
      <c r="CW111" s="171" t="s">
        <v>283</v>
      </c>
      <c r="CX111" s="171" t="s">
        <v>10</v>
      </c>
      <c r="CY111" s="171" t="s">
        <v>284</v>
      </c>
      <c r="CZ111" s="205" t="s">
        <v>305</v>
      </c>
      <c r="DA111" s="914" t="str">
        <f>'Energy NPV'!U37</f>
        <v>Total Recurring Costs</v>
      </c>
      <c r="DB111" s="205" t="s">
        <v>309</v>
      </c>
      <c r="DC111" s="171" t="s">
        <v>287</v>
      </c>
      <c r="DD111" s="171" t="s">
        <v>288</v>
      </c>
      <c r="DE111" s="171" t="s">
        <v>289</v>
      </c>
      <c r="DF111" s="195" t="s">
        <v>290</v>
      </c>
      <c r="DG111" s="171" t="s">
        <v>291</v>
      </c>
      <c r="DH111" s="171" t="s">
        <v>292</v>
      </c>
      <c r="DI111" s="171" t="s">
        <v>293</v>
      </c>
      <c r="DJ111" s="198" t="s">
        <v>294</v>
      </c>
      <c r="DK111" s="195" t="s">
        <v>295</v>
      </c>
      <c r="DL111" s="171" t="s">
        <v>296</v>
      </c>
      <c r="DM111" s="171" t="s">
        <v>297</v>
      </c>
      <c r="DN111" s="171" t="s">
        <v>298</v>
      </c>
      <c r="DO111" s="198" t="s">
        <v>299</v>
      </c>
    </row>
    <row r="112" spans="2:175" x14ac:dyDescent="0.3">
      <c r="B112" s="173"/>
      <c r="C112" s="226" t="s">
        <v>356</v>
      </c>
      <c r="D112" s="226" t="s">
        <v>476</v>
      </c>
      <c r="E112" s="201" t="s">
        <v>474</v>
      </c>
      <c r="F112" s="201" t="s">
        <v>474</v>
      </c>
      <c r="G112" s="201" t="s">
        <v>474</v>
      </c>
      <c r="H112" s="201" t="s">
        <v>474</v>
      </c>
      <c r="I112" s="948" t="str">
        <f>'Energy NPV'!U38</f>
        <v>(£ ha-1)</v>
      </c>
      <c r="J112" s="201" t="s">
        <v>474</v>
      </c>
      <c r="K112" s="201" t="s">
        <v>474</v>
      </c>
      <c r="L112" s="201" t="s">
        <v>474</v>
      </c>
      <c r="M112" s="202" t="s">
        <v>474</v>
      </c>
      <c r="N112" s="201" t="s">
        <v>474</v>
      </c>
      <c r="O112" s="201" t="s">
        <v>474</v>
      </c>
      <c r="P112" s="201" t="s">
        <v>474</v>
      </c>
      <c r="Q112" s="201" t="s">
        <v>474</v>
      </c>
      <c r="R112" s="202" t="s">
        <v>474</v>
      </c>
      <c r="S112" s="201" t="s">
        <v>474</v>
      </c>
      <c r="T112" s="201" t="s">
        <v>474</v>
      </c>
      <c r="U112" s="201" t="s">
        <v>474</v>
      </c>
      <c r="V112" s="201" t="s">
        <v>474</v>
      </c>
      <c r="W112" s="202" t="s">
        <v>474</v>
      </c>
      <c r="Z112" s="173"/>
      <c r="AA112" s="226" t="s">
        <v>356</v>
      </c>
      <c r="AB112" s="226" t="s">
        <v>476</v>
      </c>
      <c r="AC112" s="201" t="s">
        <v>474</v>
      </c>
      <c r="AD112" s="201" t="s">
        <v>474</v>
      </c>
      <c r="AE112" s="201" t="s">
        <v>474</v>
      </c>
      <c r="AF112" s="201" t="s">
        <v>474</v>
      </c>
      <c r="AG112" s="948" t="str">
        <f>'Energy NPV'!U38</f>
        <v>(£ ha-1)</v>
      </c>
      <c r="AH112" s="201" t="s">
        <v>474</v>
      </c>
      <c r="AI112" s="201" t="s">
        <v>474</v>
      </c>
      <c r="AJ112" s="201" t="s">
        <v>474</v>
      </c>
      <c r="AK112" s="202" t="s">
        <v>474</v>
      </c>
      <c r="AL112" s="201" t="s">
        <v>474</v>
      </c>
      <c r="AM112" s="201" t="s">
        <v>474</v>
      </c>
      <c r="AN112" s="201" t="s">
        <v>474</v>
      </c>
      <c r="AO112" s="201" t="s">
        <v>474</v>
      </c>
      <c r="AP112" s="202" t="s">
        <v>474</v>
      </c>
      <c r="AQ112" s="201" t="s">
        <v>474</v>
      </c>
      <c r="AR112" s="201" t="s">
        <v>474</v>
      </c>
      <c r="AS112" s="201" t="s">
        <v>474</v>
      </c>
      <c r="AT112" s="201" t="s">
        <v>474</v>
      </c>
      <c r="AU112" s="202" t="s">
        <v>474</v>
      </c>
      <c r="AX112" s="173"/>
      <c r="AY112" s="226" t="s">
        <v>356</v>
      </c>
      <c r="AZ112" s="226" t="s">
        <v>476</v>
      </c>
      <c r="BA112" s="201" t="s">
        <v>474</v>
      </c>
      <c r="BB112" s="201" t="s">
        <v>474</v>
      </c>
      <c r="BC112" s="201" t="s">
        <v>474</v>
      </c>
      <c r="BD112" s="201" t="s">
        <v>474</v>
      </c>
      <c r="BE112" s="948" t="str">
        <f>'Energy NPV'!U38</f>
        <v>(£ ha-1)</v>
      </c>
      <c r="BF112" s="201" t="s">
        <v>474</v>
      </c>
      <c r="BG112" s="201" t="s">
        <v>474</v>
      </c>
      <c r="BH112" s="201" t="s">
        <v>474</v>
      </c>
      <c r="BI112" s="202" t="s">
        <v>474</v>
      </c>
      <c r="BJ112" s="201" t="s">
        <v>474</v>
      </c>
      <c r="BK112" s="201" t="s">
        <v>474</v>
      </c>
      <c r="BL112" s="201" t="s">
        <v>474</v>
      </c>
      <c r="BM112" s="201" t="s">
        <v>474</v>
      </c>
      <c r="BN112" s="202" t="s">
        <v>474</v>
      </c>
      <c r="BO112" s="201" t="s">
        <v>474</v>
      </c>
      <c r="BP112" s="201" t="s">
        <v>474</v>
      </c>
      <c r="BQ112" s="201" t="s">
        <v>474</v>
      </c>
      <c r="BR112" s="201" t="s">
        <v>474</v>
      </c>
      <c r="BS112" s="202" t="s">
        <v>474</v>
      </c>
      <c r="BV112" s="173"/>
      <c r="BW112" s="226" t="s">
        <v>356</v>
      </c>
      <c r="BX112" s="226" t="s">
        <v>476</v>
      </c>
      <c r="BY112" s="201" t="s">
        <v>474</v>
      </c>
      <c r="BZ112" s="201" t="s">
        <v>474</v>
      </c>
      <c r="CA112" s="201" t="s">
        <v>474</v>
      </c>
      <c r="CB112" s="201" t="s">
        <v>474</v>
      </c>
      <c r="CC112" s="948" t="str">
        <f>'Energy NPV'!U38</f>
        <v>(£ ha-1)</v>
      </c>
      <c r="CD112" s="201" t="s">
        <v>474</v>
      </c>
      <c r="CE112" s="201" t="s">
        <v>474</v>
      </c>
      <c r="CF112" s="201" t="s">
        <v>474</v>
      </c>
      <c r="CG112" s="202" t="s">
        <v>474</v>
      </c>
      <c r="CH112" s="201" t="s">
        <v>474</v>
      </c>
      <c r="CI112" s="201" t="s">
        <v>474</v>
      </c>
      <c r="CJ112" s="201" t="s">
        <v>474</v>
      </c>
      <c r="CK112" s="201" t="s">
        <v>474</v>
      </c>
      <c r="CL112" s="202" t="s">
        <v>474</v>
      </c>
      <c r="CM112" s="201" t="s">
        <v>474</v>
      </c>
      <c r="CN112" s="201" t="s">
        <v>474</v>
      </c>
      <c r="CO112" s="201" t="s">
        <v>474</v>
      </c>
      <c r="CP112" s="201" t="s">
        <v>474</v>
      </c>
      <c r="CQ112" s="202" t="s">
        <v>474</v>
      </c>
      <c r="CT112" s="173"/>
      <c r="CU112" s="226" t="s">
        <v>356</v>
      </c>
      <c r="CV112" s="226" t="s">
        <v>476</v>
      </c>
      <c r="CW112" s="201" t="s">
        <v>474</v>
      </c>
      <c r="CX112" s="201" t="s">
        <v>474</v>
      </c>
      <c r="CY112" s="201" t="s">
        <v>474</v>
      </c>
      <c r="CZ112" s="201" t="s">
        <v>474</v>
      </c>
      <c r="DA112" s="948" t="str">
        <f>'Energy NPV'!U38</f>
        <v>(£ ha-1)</v>
      </c>
      <c r="DB112" s="201" t="s">
        <v>474</v>
      </c>
      <c r="DC112" s="201" t="s">
        <v>474</v>
      </c>
      <c r="DD112" s="201" t="s">
        <v>474</v>
      </c>
      <c r="DE112" s="202" t="s">
        <v>474</v>
      </c>
      <c r="DF112" s="201" t="s">
        <v>474</v>
      </c>
      <c r="DG112" s="201" t="s">
        <v>474</v>
      </c>
      <c r="DH112" s="201" t="s">
        <v>474</v>
      </c>
      <c r="DI112" s="201" t="s">
        <v>474</v>
      </c>
      <c r="DJ112" s="202" t="s">
        <v>474</v>
      </c>
      <c r="DK112" s="201" t="s">
        <v>474</v>
      </c>
      <c r="DL112" s="201" t="s">
        <v>474</v>
      </c>
      <c r="DM112" s="201" t="s">
        <v>474</v>
      </c>
      <c r="DN112" s="201" t="s">
        <v>474</v>
      </c>
      <c r="DO112" s="202" t="s">
        <v>474</v>
      </c>
    </row>
    <row r="113" spans="2:119" x14ac:dyDescent="0.3">
      <c r="B113" s="204">
        <v>1</v>
      </c>
      <c r="C113" s="747">
        <f>'Energy NPV'!$D39*$E$109</f>
        <v>0.6</v>
      </c>
      <c r="D113" s="197">
        <f>'Energy margins'!$L$12</f>
        <v>55</v>
      </c>
      <c r="E113" s="197">
        <f>C113*D113</f>
        <v>33</v>
      </c>
      <c r="F113" s="197">
        <f>'Margins summary'!$S$14</f>
        <v>220</v>
      </c>
      <c r="G113" s="197">
        <f>E113+F113</f>
        <v>253</v>
      </c>
      <c r="H113" s="197">
        <f>'Margins summary'!$R$20</f>
        <v>1993.8119999999999</v>
      </c>
      <c r="I113" s="897">
        <f>'Energy NPV'!U39</f>
        <v>0</v>
      </c>
      <c r="J113" s="197"/>
      <c r="K113" s="197">
        <f t="shared" ref="K113:K128" si="260">H113+I113+J113</f>
        <v>1993.8119999999999</v>
      </c>
      <c r="L113" s="197">
        <f t="shared" ref="L113:L128" si="261">E113-K113</f>
        <v>-1960.8119999999999</v>
      </c>
      <c r="M113" s="197">
        <f t="shared" ref="M113:M128" si="262">G113-K113</f>
        <v>-1740.8119999999999</v>
      </c>
      <c r="N113" s="1016">
        <f>E113/((1+$B$4)^($B113-1))</f>
        <v>33</v>
      </c>
      <c r="O113" s="213">
        <f>F113/((1+$B$4)^($B113-1))</f>
        <v>220</v>
      </c>
      <c r="P113" s="213">
        <f>K113/((1+$B$4)^($B113-1))</f>
        <v>1993.8119999999999</v>
      </c>
      <c r="Q113" s="213">
        <f>L113/((1+$B$4)^($B113-1))</f>
        <v>-1960.8119999999999</v>
      </c>
      <c r="R113" s="908">
        <f>M113/((1+$B$4)^($B113-1))</f>
        <v>-1740.8119999999999</v>
      </c>
      <c r="S113" s="196">
        <f>N113</f>
        <v>33</v>
      </c>
      <c r="T113" s="197">
        <f>O113</f>
        <v>220</v>
      </c>
      <c r="U113" s="197">
        <f>P113</f>
        <v>1993.8119999999999</v>
      </c>
      <c r="V113" s="197">
        <f>Q113</f>
        <v>-1960.8119999999999</v>
      </c>
      <c r="W113" s="199">
        <f>R113</f>
        <v>-1740.8119999999999</v>
      </c>
      <c r="Z113" s="204">
        <v>1</v>
      </c>
      <c r="AA113" s="747">
        <f>'Energy NPV'!$D39*$AB$109</f>
        <v>0.89999999999999991</v>
      </c>
      <c r="AB113" s="197">
        <f>'Energy margins'!$L$12</f>
        <v>55</v>
      </c>
      <c r="AC113" s="197">
        <f>AA113*AB113</f>
        <v>49.499999999999993</v>
      </c>
      <c r="AD113" s="197">
        <f>'Margins summary'!$S$14</f>
        <v>220</v>
      </c>
      <c r="AE113" s="197">
        <f>AC113+AD113</f>
        <v>269.5</v>
      </c>
      <c r="AF113" s="197">
        <f>'Margins summary'!$R$20</f>
        <v>1993.8119999999999</v>
      </c>
      <c r="AG113" s="897">
        <f>'Energy NPV'!U39</f>
        <v>0</v>
      </c>
      <c r="AH113" s="197"/>
      <c r="AI113" s="197">
        <f t="shared" ref="AI113:AI128" si="263">AF113+AG113+AH113</f>
        <v>1993.8119999999999</v>
      </c>
      <c r="AJ113" s="197">
        <f t="shared" ref="AJ113:AJ128" si="264">AC113-AI113</f>
        <v>-1944.3119999999999</v>
      </c>
      <c r="AK113" s="197">
        <f t="shared" ref="AK113:AK128" si="265">AE113-AI113</f>
        <v>-1724.3119999999999</v>
      </c>
      <c r="AL113" s="1016">
        <f>AC113/((1+$B$4)^($Z113-1))</f>
        <v>49.499999999999993</v>
      </c>
      <c r="AM113" s="213">
        <f>AD113/((1+$B$4)^($Z113-1))</f>
        <v>220</v>
      </c>
      <c r="AN113" s="213">
        <f>AI113/((1+$B$4)^($Z113-1))</f>
        <v>1993.8119999999999</v>
      </c>
      <c r="AO113" s="213">
        <f>AJ113/((1+$B$4)^($Z113-1))</f>
        <v>-1944.3119999999999</v>
      </c>
      <c r="AP113" s="908">
        <f>AK113/((1+$B$4)^($Z113-1))</f>
        <v>-1724.3119999999999</v>
      </c>
      <c r="AQ113" s="196">
        <f>AL113</f>
        <v>49.499999999999993</v>
      </c>
      <c r="AR113" s="197">
        <f>AM113</f>
        <v>220</v>
      </c>
      <c r="AS113" s="197">
        <f>AN113</f>
        <v>1993.8119999999999</v>
      </c>
      <c r="AT113" s="197">
        <f>AO113</f>
        <v>-1944.3119999999999</v>
      </c>
      <c r="AU113" s="199">
        <f>AP113</f>
        <v>-1724.3119999999999</v>
      </c>
      <c r="AX113" s="204">
        <v>1</v>
      </c>
      <c r="AY113" s="747">
        <f>'Energy NPV'!$D39*$AZ$109</f>
        <v>0.3</v>
      </c>
      <c r="AZ113" s="197">
        <f>'Energy margins'!$L$12</f>
        <v>55</v>
      </c>
      <c r="BA113" s="197">
        <f>AY113*AZ113</f>
        <v>16.5</v>
      </c>
      <c r="BB113" s="197">
        <f>'Margins summary'!$S$14</f>
        <v>220</v>
      </c>
      <c r="BC113" s="197">
        <f>BA113+BB113</f>
        <v>236.5</v>
      </c>
      <c r="BD113" s="197">
        <f>'Margins summary'!$R$20</f>
        <v>1993.8119999999999</v>
      </c>
      <c r="BE113" s="897">
        <f>'Energy NPV'!U39</f>
        <v>0</v>
      </c>
      <c r="BF113" s="197"/>
      <c r="BG113" s="197">
        <f t="shared" ref="BG113:BG128" si="266">BD113+BE113+BF113</f>
        <v>1993.8119999999999</v>
      </c>
      <c r="BH113" s="197">
        <f t="shared" ref="BH113:BH128" si="267">BA113-BG113</f>
        <v>-1977.3119999999999</v>
      </c>
      <c r="BI113" s="197">
        <f t="shared" ref="BI113:BI128" si="268">BC113-BG113</f>
        <v>-1757.3119999999999</v>
      </c>
      <c r="BJ113" s="1016">
        <f>BA113/((1+$B$4)^($AX113-1))</f>
        <v>16.5</v>
      </c>
      <c r="BK113" s="213">
        <f>BB113/((1+$B$4)^($AX113-1))</f>
        <v>220</v>
      </c>
      <c r="BL113" s="213">
        <f>BG113/((1+$B$4)^($AX113-1))</f>
        <v>1993.8119999999999</v>
      </c>
      <c r="BM113" s="213">
        <f>BH113/((1+$B$4)^($AX113-1))</f>
        <v>-1977.3119999999999</v>
      </c>
      <c r="BN113" s="908">
        <f>BI113/((1+$B$4)^($AX113-1))</f>
        <v>-1757.3119999999999</v>
      </c>
      <c r="BO113" s="196">
        <f>BJ113</f>
        <v>16.5</v>
      </c>
      <c r="BP113" s="197">
        <f>BK113</f>
        <v>220</v>
      </c>
      <c r="BQ113" s="197">
        <f>BL113</f>
        <v>1993.8119999999999</v>
      </c>
      <c r="BR113" s="197">
        <f>BM113</f>
        <v>-1977.3119999999999</v>
      </c>
      <c r="BS113" s="199">
        <f>BN113</f>
        <v>-1757.3119999999999</v>
      </c>
      <c r="BV113" s="204">
        <v>1</v>
      </c>
      <c r="BW113" s="747">
        <f>'Energy NPV'!$D39*$BX$109</f>
        <v>1.2</v>
      </c>
      <c r="BX113" s="197">
        <f>'Energy margins'!$L$12</f>
        <v>55</v>
      </c>
      <c r="BY113" s="197">
        <f>BW113*BX113</f>
        <v>66</v>
      </c>
      <c r="BZ113" s="197">
        <f>'Margins summary'!$S$14</f>
        <v>220</v>
      </c>
      <c r="CA113" s="197">
        <f>BY113+BZ113</f>
        <v>286</v>
      </c>
      <c r="CB113" s="197">
        <f>'Margins summary'!$R$20</f>
        <v>1993.8119999999999</v>
      </c>
      <c r="CC113" s="897">
        <f>'Energy NPV'!U39</f>
        <v>0</v>
      </c>
      <c r="CD113" s="197"/>
      <c r="CE113" s="197">
        <f t="shared" ref="CE113:CE128" si="269">CB113+CC113+CD113</f>
        <v>1993.8119999999999</v>
      </c>
      <c r="CF113" s="197">
        <f t="shared" ref="CF113:CF128" si="270">BY113-CE113</f>
        <v>-1927.8119999999999</v>
      </c>
      <c r="CG113" s="197">
        <f t="shared" ref="CG113:CG128" si="271">CA113-CE113</f>
        <v>-1707.8119999999999</v>
      </c>
      <c r="CH113" s="1016">
        <f>BY113/((1+$B$4)^($BV113-1))</f>
        <v>66</v>
      </c>
      <c r="CI113" s="213">
        <f>BZ113/((1+$B$4)^($BV113-1))</f>
        <v>220</v>
      </c>
      <c r="CJ113" s="213">
        <f>CE113/((1+$B$4)^($BV113-1))</f>
        <v>1993.8119999999999</v>
      </c>
      <c r="CK113" s="213">
        <f>CF113/((1+$B$4)^($BV113-1))</f>
        <v>-1927.8119999999999</v>
      </c>
      <c r="CL113" s="908">
        <f>CG113/((1+$B$4)^($BV113-1))</f>
        <v>-1707.8119999999999</v>
      </c>
      <c r="CM113" s="196">
        <f>CH113</f>
        <v>66</v>
      </c>
      <c r="CN113" s="197">
        <f>CI113</f>
        <v>220</v>
      </c>
      <c r="CO113" s="197">
        <f>CJ113</f>
        <v>1993.8119999999999</v>
      </c>
      <c r="CP113" s="197">
        <f>CK113</f>
        <v>-1927.8119999999999</v>
      </c>
      <c r="CQ113" s="199">
        <f>CL113</f>
        <v>-1707.8119999999999</v>
      </c>
      <c r="CT113" s="204">
        <v>1</v>
      </c>
      <c r="CU113" s="747">
        <f>'Energy NPV'!$D39*$CV$109</f>
        <v>0</v>
      </c>
      <c r="CV113" s="197">
        <f>'Energy margins'!$L$12</f>
        <v>55</v>
      </c>
      <c r="CW113" s="197">
        <f>CU113*CV113</f>
        <v>0</v>
      </c>
      <c r="CX113" s="197">
        <f>'Margins summary'!$S$14</f>
        <v>220</v>
      </c>
      <c r="CY113" s="197">
        <f>CW113+CX113</f>
        <v>220</v>
      </c>
      <c r="CZ113" s="197">
        <f>'Margins summary'!$R$20</f>
        <v>1993.8119999999999</v>
      </c>
      <c r="DA113" s="897">
        <f>'Energy NPV'!U39</f>
        <v>0</v>
      </c>
      <c r="DB113" s="197"/>
      <c r="DC113" s="197">
        <f t="shared" ref="DC113:DC128" si="272">CZ113+DA113+DB113</f>
        <v>1993.8119999999999</v>
      </c>
      <c r="DD113" s="197">
        <f t="shared" ref="DD113:DD128" si="273">CW113-DC113</f>
        <v>-1993.8119999999999</v>
      </c>
      <c r="DE113" s="197">
        <f t="shared" ref="DE113:DE128" si="274">CY113-DC113</f>
        <v>-1773.8119999999999</v>
      </c>
      <c r="DF113" s="1016">
        <f>CW113/((1+$B$4)^($CT113-1))</f>
        <v>0</v>
      </c>
      <c r="DG113" s="213">
        <f>CX113/((1+$B$4)^($CT113-1))</f>
        <v>220</v>
      </c>
      <c r="DH113" s="213">
        <f>DC113/((1+$B$4)^($CT113-1))</f>
        <v>1993.8119999999999</v>
      </c>
      <c r="DI113" s="213">
        <f>DD113/((1+$B$4)^($CT113-1))</f>
        <v>-1993.8119999999999</v>
      </c>
      <c r="DJ113" s="908">
        <f>DE113/((1+$B$4)^($CT113-1))</f>
        <v>-1773.8119999999999</v>
      </c>
      <c r="DK113" s="196">
        <f>DF113</f>
        <v>0</v>
      </c>
      <c r="DL113" s="197">
        <f>DG113</f>
        <v>220</v>
      </c>
      <c r="DM113" s="197">
        <f>DH113</f>
        <v>1993.8119999999999</v>
      </c>
      <c r="DN113" s="197">
        <f>DI113</f>
        <v>-1993.8119999999999</v>
      </c>
      <c r="DO113" s="199">
        <f>DJ113</f>
        <v>-1773.8119999999999</v>
      </c>
    </row>
    <row r="114" spans="2:119" x14ac:dyDescent="0.3">
      <c r="B114" s="204">
        <v>2</v>
      </c>
      <c r="C114" s="747">
        <f>'Energy NPV'!$D40*$E$109</f>
        <v>3.9250000000000007</v>
      </c>
      <c r="D114" s="197">
        <f>'Energy margins'!$L$12</f>
        <v>55</v>
      </c>
      <c r="E114" s="197">
        <f>C114*D114</f>
        <v>215.87500000000003</v>
      </c>
      <c r="F114" s="197">
        <f>'Margins summary'!$S$14</f>
        <v>220</v>
      </c>
      <c r="G114" s="197">
        <f t="shared" ref="G114:G128" si="275">E114+F114</f>
        <v>435.875</v>
      </c>
      <c r="H114" s="197"/>
      <c r="I114" s="897">
        <f>'Energy NPV'!U40</f>
        <v>334.11199999999997</v>
      </c>
      <c r="J114" s="197"/>
      <c r="K114" s="197">
        <f t="shared" si="260"/>
        <v>334.11199999999997</v>
      </c>
      <c r="L114" s="197">
        <f t="shared" si="261"/>
        <v>-118.23699999999994</v>
      </c>
      <c r="M114" s="197">
        <f t="shared" si="262"/>
        <v>101.76300000000003</v>
      </c>
      <c r="N114" s="196">
        <f t="shared" ref="N114:O128" si="276">E114/((1+$B$4)^($B114-1))</f>
        <v>207.57211538461542</v>
      </c>
      <c r="O114" s="197">
        <f t="shared" si="276"/>
        <v>211.53846153846152</v>
      </c>
      <c r="P114" s="197">
        <f t="shared" ref="P114:R128" si="277">K114/((1+$B$4)^($B114-1))</f>
        <v>321.26153846153841</v>
      </c>
      <c r="Q114" s="197">
        <f t="shared" si="277"/>
        <v>-113.68942307692301</v>
      </c>
      <c r="R114" s="199">
        <f t="shared" si="277"/>
        <v>97.849038461538484</v>
      </c>
      <c r="S114" s="196">
        <f>S113+N114</f>
        <v>240.57211538461542</v>
      </c>
      <c r="T114" s="197">
        <f t="shared" ref="T114:W128" si="278">T113+O114</f>
        <v>431.53846153846155</v>
      </c>
      <c r="U114" s="197">
        <f t="shared" si="278"/>
        <v>2315.0735384615382</v>
      </c>
      <c r="V114" s="197">
        <f t="shared" si="278"/>
        <v>-2074.5014230769229</v>
      </c>
      <c r="W114" s="199">
        <f t="shared" si="278"/>
        <v>-1642.9629615384615</v>
      </c>
      <c r="Z114" s="204">
        <v>2</v>
      </c>
      <c r="AA114" s="747">
        <f>'Energy NPV'!$D40*$AB$109</f>
        <v>5.8875000000000011</v>
      </c>
      <c r="AB114" s="197">
        <f>'Energy margins'!$L$12</f>
        <v>55</v>
      </c>
      <c r="AC114" s="197">
        <f>AA114*AB114</f>
        <v>323.81250000000006</v>
      </c>
      <c r="AD114" s="197">
        <f>'Margins summary'!$S$14</f>
        <v>220</v>
      </c>
      <c r="AE114" s="197">
        <f t="shared" ref="AE114:AE128" si="279">AC114+AD114</f>
        <v>543.8125</v>
      </c>
      <c r="AF114" s="197"/>
      <c r="AG114" s="897">
        <f>'Energy NPV'!U40</f>
        <v>334.11199999999997</v>
      </c>
      <c r="AH114" s="197"/>
      <c r="AI114" s="197">
        <f t="shared" si="263"/>
        <v>334.11199999999997</v>
      </c>
      <c r="AJ114" s="197">
        <f t="shared" si="264"/>
        <v>-10.29949999999991</v>
      </c>
      <c r="AK114" s="197">
        <f t="shared" si="265"/>
        <v>209.70050000000003</v>
      </c>
      <c r="AL114" s="196">
        <f t="shared" ref="AL114:AL128" si="280">AC114/((1+$B$4)^($Z114-1))</f>
        <v>311.35817307692309</v>
      </c>
      <c r="AM114" s="197">
        <f t="shared" ref="AM114:AM128" si="281">AD114/((1+$B$4)^($Z114-1))</f>
        <v>211.53846153846152</v>
      </c>
      <c r="AN114" s="197">
        <f t="shared" ref="AN114:AN128" si="282">AI114/((1+$B$4)^($Z114-1))</f>
        <v>321.26153846153841</v>
      </c>
      <c r="AO114" s="197">
        <f t="shared" ref="AO114:AO128" si="283">AJ114/((1+$B$4)^($Z114-1))</f>
        <v>-9.9033653846152969</v>
      </c>
      <c r="AP114" s="199">
        <f t="shared" ref="AP114:AP128" si="284">AK114/((1+$B$4)^($Z114-1))</f>
        <v>201.63509615384618</v>
      </c>
      <c r="AQ114" s="196">
        <f>AQ113+AL114</f>
        <v>360.85817307692309</v>
      </c>
      <c r="AR114" s="197">
        <f t="shared" ref="AR114:AU128" si="285">AR113+AM114</f>
        <v>431.53846153846155</v>
      </c>
      <c r="AS114" s="197">
        <f t="shared" si="285"/>
        <v>2315.0735384615382</v>
      </c>
      <c r="AT114" s="197">
        <f t="shared" si="285"/>
        <v>-1954.2153653846151</v>
      </c>
      <c r="AU114" s="199">
        <f t="shared" si="285"/>
        <v>-1522.6769038461537</v>
      </c>
      <c r="AX114" s="204">
        <v>2</v>
      </c>
      <c r="AY114" s="747">
        <f>'Energy NPV'!$D40*$AZ$109</f>
        <v>1.9625000000000004</v>
      </c>
      <c r="AZ114" s="197">
        <f>'Energy margins'!$L$12</f>
        <v>55</v>
      </c>
      <c r="BA114" s="197">
        <f>AY114*AZ114</f>
        <v>107.93750000000001</v>
      </c>
      <c r="BB114" s="197">
        <f>'Margins summary'!$S$14</f>
        <v>220</v>
      </c>
      <c r="BC114" s="197">
        <f t="shared" ref="BC114:BC128" si="286">BA114+BB114</f>
        <v>327.9375</v>
      </c>
      <c r="BD114" s="197"/>
      <c r="BE114" s="897">
        <f>'Energy NPV'!U40</f>
        <v>334.11199999999997</v>
      </c>
      <c r="BF114" s="197"/>
      <c r="BG114" s="197">
        <f t="shared" si="266"/>
        <v>334.11199999999997</v>
      </c>
      <c r="BH114" s="197">
        <f t="shared" si="267"/>
        <v>-226.17449999999997</v>
      </c>
      <c r="BI114" s="197">
        <f t="shared" si="268"/>
        <v>-6.1744999999999663</v>
      </c>
      <c r="BJ114" s="196">
        <f t="shared" ref="BJ114:BJ128" si="287">BA114/((1+$B$4)^($AX114-1))</f>
        <v>103.78605769230771</v>
      </c>
      <c r="BK114" s="197">
        <f t="shared" ref="BK114:BK128" si="288">BB114/((1+$B$4)^($AX114-1))</f>
        <v>211.53846153846152</v>
      </c>
      <c r="BL114" s="197">
        <f t="shared" ref="BL114:BL128" si="289">BG114/((1+$B$4)^($AX114-1))</f>
        <v>321.26153846153841</v>
      </c>
      <c r="BM114" s="197">
        <f t="shared" ref="BM114:BM128" si="290">BH114/((1+$B$4)^($AX114-1))</f>
        <v>-217.47548076923073</v>
      </c>
      <c r="BN114" s="199">
        <f t="shared" ref="BN114:BN127" si="291">BI114/((1+$B$4)^($AX114-1))</f>
        <v>-5.9370192307691978</v>
      </c>
      <c r="BO114" s="196">
        <f>BO113+BJ114</f>
        <v>120.28605769230771</v>
      </c>
      <c r="BP114" s="197">
        <f t="shared" ref="BP114:BS128" si="292">BP113+BK114</f>
        <v>431.53846153846155</v>
      </c>
      <c r="BQ114" s="197">
        <f t="shared" si="292"/>
        <v>2315.0735384615382</v>
      </c>
      <c r="BR114" s="197">
        <f t="shared" si="292"/>
        <v>-2194.7874807692306</v>
      </c>
      <c r="BS114" s="199">
        <f t="shared" si="292"/>
        <v>-1763.2490192307691</v>
      </c>
      <c r="BV114" s="204">
        <v>2</v>
      </c>
      <c r="BW114" s="747">
        <f>'Energy NPV'!$D40*$BX$109</f>
        <v>7.8500000000000014</v>
      </c>
      <c r="BX114" s="197">
        <f>'Energy margins'!$L$12</f>
        <v>55</v>
      </c>
      <c r="BY114" s="197">
        <f>BW114*BX114</f>
        <v>431.75000000000006</v>
      </c>
      <c r="BZ114" s="197">
        <f>'Margins summary'!$S$14</f>
        <v>220</v>
      </c>
      <c r="CA114" s="197">
        <f t="shared" ref="CA114:CA128" si="293">BY114+BZ114</f>
        <v>651.75</v>
      </c>
      <c r="CB114" s="197"/>
      <c r="CC114" s="897">
        <f>'Energy NPV'!U40</f>
        <v>334.11199999999997</v>
      </c>
      <c r="CD114" s="197"/>
      <c r="CE114" s="197">
        <f t="shared" si="269"/>
        <v>334.11199999999997</v>
      </c>
      <c r="CF114" s="197">
        <f t="shared" si="270"/>
        <v>97.63800000000009</v>
      </c>
      <c r="CG114" s="197">
        <f t="shared" si="271"/>
        <v>317.63800000000003</v>
      </c>
      <c r="CH114" s="196">
        <f t="shared" ref="CH114:CH128" si="294">BY114/((1+$B$4)^($BV114-1))</f>
        <v>415.14423076923083</v>
      </c>
      <c r="CI114" s="197">
        <f t="shared" ref="CI114:CI128" si="295">BZ114/((1+$B$4)^($BV114-1))</f>
        <v>211.53846153846152</v>
      </c>
      <c r="CJ114" s="197">
        <f t="shared" ref="CJ114:CJ128" si="296">CE114/((1+$B$4)^($BV114-1))</f>
        <v>321.26153846153841</v>
      </c>
      <c r="CK114" s="197">
        <f t="shared" ref="CK114:CK128" si="297">CF114/((1+$B$4)^($BV114-1))</f>
        <v>93.882692307692395</v>
      </c>
      <c r="CL114" s="199">
        <f t="shared" ref="CL114:CL128" si="298">CG114/((1+$B$4)^($BV114-1))</f>
        <v>305.42115384615386</v>
      </c>
      <c r="CM114" s="196">
        <f>CM113+CH114</f>
        <v>481.14423076923083</v>
      </c>
      <c r="CN114" s="197">
        <f t="shared" ref="CN114:CQ128" si="299">CN113+CI114</f>
        <v>431.53846153846155</v>
      </c>
      <c r="CO114" s="197">
        <f t="shared" si="299"/>
        <v>2315.0735384615382</v>
      </c>
      <c r="CP114" s="197">
        <f t="shared" si="299"/>
        <v>-1833.9293076923075</v>
      </c>
      <c r="CQ114" s="199">
        <f t="shared" si="299"/>
        <v>-1402.390846153846</v>
      </c>
      <c r="CT114" s="204">
        <v>2</v>
      </c>
      <c r="CU114" s="747">
        <f>'Energy NPV'!$D40*$CV$109</f>
        <v>0</v>
      </c>
      <c r="CV114" s="197">
        <f>'Energy margins'!$L$12</f>
        <v>55</v>
      </c>
      <c r="CW114" s="197">
        <f>CU114*CV114</f>
        <v>0</v>
      </c>
      <c r="CX114" s="197">
        <f>'Margins summary'!$S$14</f>
        <v>220</v>
      </c>
      <c r="CY114" s="197">
        <f t="shared" ref="CY114:CY128" si="300">CW114+CX114</f>
        <v>220</v>
      </c>
      <c r="CZ114" s="197"/>
      <c r="DA114" s="897">
        <f>'Energy NPV'!U40</f>
        <v>334.11199999999997</v>
      </c>
      <c r="DB114" s="197"/>
      <c r="DC114" s="197">
        <f t="shared" si="272"/>
        <v>334.11199999999997</v>
      </c>
      <c r="DD114" s="197">
        <f t="shared" si="273"/>
        <v>-334.11199999999997</v>
      </c>
      <c r="DE114" s="197">
        <f t="shared" si="274"/>
        <v>-114.11199999999997</v>
      </c>
      <c r="DF114" s="196">
        <f t="shared" ref="DF114:DF128" si="301">CW114/((1+$B$4)^($CT114-1))</f>
        <v>0</v>
      </c>
      <c r="DG114" s="197">
        <f t="shared" ref="DG114:DG128" si="302">CX114/((1+$B$4)^($CT114-1))</f>
        <v>211.53846153846152</v>
      </c>
      <c r="DH114" s="197">
        <f t="shared" ref="DH114:DH128" si="303">DC114/((1+$B$4)^($CT114-1))</f>
        <v>321.26153846153841</v>
      </c>
      <c r="DI114" s="197">
        <f t="shared" ref="DI114:DI128" si="304">DD114/((1+$B$4)^($CT114-1))</f>
        <v>-321.26153846153841</v>
      </c>
      <c r="DJ114" s="199">
        <f t="shared" ref="DJ114:DJ128" si="305">DE114/((1+$B$4)^($CT114-1))</f>
        <v>-109.72307692307689</v>
      </c>
      <c r="DK114" s="196">
        <f>DK113+DF114</f>
        <v>0</v>
      </c>
      <c r="DL114" s="197">
        <f t="shared" ref="DL114:DO128" si="306">DL113+DG114</f>
        <v>431.53846153846155</v>
      </c>
      <c r="DM114" s="197">
        <f t="shared" si="306"/>
        <v>2315.0735384615382</v>
      </c>
      <c r="DN114" s="197">
        <f t="shared" si="306"/>
        <v>-2315.0735384615382</v>
      </c>
      <c r="DO114" s="199">
        <f t="shared" si="306"/>
        <v>-1883.5350769230768</v>
      </c>
    </row>
    <row r="115" spans="2:119" x14ac:dyDescent="0.3">
      <c r="B115" s="204">
        <f t="shared" ref="B115:B128" si="307">B114+1</f>
        <v>3</v>
      </c>
      <c r="C115" s="747">
        <f>'Energy NPV'!$D41*$E$109</f>
        <v>11.099999999999998</v>
      </c>
      <c r="D115" s="197">
        <f>'Energy margins'!$L$12</f>
        <v>55</v>
      </c>
      <c r="E115" s="197">
        <f t="shared" ref="E115:E128" si="308">C115*D115</f>
        <v>610.49999999999989</v>
      </c>
      <c r="F115" s="197">
        <f>'Margins summary'!$S$14</f>
        <v>220</v>
      </c>
      <c r="G115" s="197">
        <f t="shared" si="275"/>
        <v>830.49999999999989</v>
      </c>
      <c r="H115" s="197"/>
      <c r="I115" s="897">
        <f>'Energy NPV'!U41</f>
        <v>334.11199999999997</v>
      </c>
      <c r="J115" s="197"/>
      <c r="K115" s="197">
        <f t="shared" si="260"/>
        <v>334.11199999999997</v>
      </c>
      <c r="L115" s="197">
        <f t="shared" si="261"/>
        <v>276.38799999999992</v>
      </c>
      <c r="M115" s="197">
        <f t="shared" si="262"/>
        <v>496.38799999999992</v>
      </c>
      <c r="N115" s="196">
        <f t="shared" si="276"/>
        <v>564.44156804733711</v>
      </c>
      <c r="O115" s="197">
        <f t="shared" si="276"/>
        <v>203.40236686390531</v>
      </c>
      <c r="P115" s="197">
        <f t="shared" si="277"/>
        <v>308.90532544378692</v>
      </c>
      <c r="Q115" s="197">
        <f t="shared" si="277"/>
        <v>255.53624260355019</v>
      </c>
      <c r="R115" s="199">
        <f t="shared" si="277"/>
        <v>458.93860946745548</v>
      </c>
      <c r="S115" s="196">
        <f t="shared" ref="S115:S128" si="309">S114+N115</f>
        <v>805.01368343195259</v>
      </c>
      <c r="T115" s="197">
        <f t="shared" si="278"/>
        <v>634.94082840236683</v>
      </c>
      <c r="U115" s="197">
        <f t="shared" si="278"/>
        <v>2623.9788639053249</v>
      </c>
      <c r="V115" s="197">
        <f t="shared" si="278"/>
        <v>-1818.9651804733728</v>
      </c>
      <c r="W115" s="199">
        <f t="shared" si="278"/>
        <v>-1184.024352071006</v>
      </c>
      <c r="Z115" s="204">
        <f t="shared" ref="Z115:Z128" si="310">Z114+1</f>
        <v>3</v>
      </c>
      <c r="AA115" s="747">
        <f>'Energy NPV'!$D41*$AB$109</f>
        <v>16.649999999999999</v>
      </c>
      <c r="AB115" s="197">
        <f>'Energy margins'!$L$12</f>
        <v>55</v>
      </c>
      <c r="AC115" s="197">
        <f t="shared" ref="AC115:AC128" si="311">AA115*AB115</f>
        <v>915.74999999999989</v>
      </c>
      <c r="AD115" s="197">
        <f>'Margins summary'!$S$14</f>
        <v>220</v>
      </c>
      <c r="AE115" s="197">
        <f t="shared" si="279"/>
        <v>1135.75</v>
      </c>
      <c r="AF115" s="197"/>
      <c r="AG115" s="897">
        <f>'Energy NPV'!U41</f>
        <v>334.11199999999997</v>
      </c>
      <c r="AH115" s="197"/>
      <c r="AI115" s="197">
        <f t="shared" si="263"/>
        <v>334.11199999999997</v>
      </c>
      <c r="AJ115" s="197">
        <f t="shared" si="264"/>
        <v>581.63799999999992</v>
      </c>
      <c r="AK115" s="197">
        <f t="shared" si="265"/>
        <v>801.63800000000003</v>
      </c>
      <c r="AL115" s="196">
        <f t="shared" si="280"/>
        <v>846.66235207100567</v>
      </c>
      <c r="AM115" s="197">
        <f t="shared" si="281"/>
        <v>203.40236686390531</v>
      </c>
      <c r="AN115" s="197">
        <f t="shared" si="282"/>
        <v>308.90532544378692</v>
      </c>
      <c r="AO115" s="197">
        <f t="shared" si="283"/>
        <v>537.75702662721881</v>
      </c>
      <c r="AP115" s="199">
        <f t="shared" si="284"/>
        <v>741.15939349112421</v>
      </c>
      <c r="AQ115" s="196">
        <f t="shared" ref="AQ115:AQ127" si="312">AQ114+AL115</f>
        <v>1207.5205251479288</v>
      </c>
      <c r="AR115" s="197">
        <f t="shared" si="285"/>
        <v>634.94082840236683</v>
      </c>
      <c r="AS115" s="197">
        <f t="shared" si="285"/>
        <v>2623.9788639053249</v>
      </c>
      <c r="AT115" s="197">
        <f t="shared" si="285"/>
        <v>-1416.4583387573962</v>
      </c>
      <c r="AU115" s="199">
        <f t="shared" si="285"/>
        <v>-781.51751035502946</v>
      </c>
      <c r="AX115" s="204">
        <f t="shared" ref="AX115:AX128" si="313">AX114+1</f>
        <v>3</v>
      </c>
      <c r="AY115" s="747">
        <f>'Energy NPV'!$D41*$AZ$109</f>
        <v>5.5499999999999989</v>
      </c>
      <c r="AZ115" s="197">
        <f>'Energy margins'!$L$12</f>
        <v>55</v>
      </c>
      <c r="BA115" s="197">
        <f t="shared" ref="BA115:BA128" si="314">AY115*AZ115</f>
        <v>305.24999999999994</v>
      </c>
      <c r="BB115" s="197">
        <f>'Margins summary'!$S$14</f>
        <v>220</v>
      </c>
      <c r="BC115" s="197">
        <f t="shared" si="286"/>
        <v>525.25</v>
      </c>
      <c r="BD115" s="197"/>
      <c r="BE115" s="897">
        <f>'Energy NPV'!U41</f>
        <v>334.11199999999997</v>
      </c>
      <c r="BF115" s="197"/>
      <c r="BG115" s="197">
        <f t="shared" si="266"/>
        <v>334.11199999999997</v>
      </c>
      <c r="BH115" s="197">
        <f t="shared" si="267"/>
        <v>-28.862000000000023</v>
      </c>
      <c r="BI115" s="197">
        <f t="shared" si="268"/>
        <v>191.13800000000003</v>
      </c>
      <c r="BJ115" s="196">
        <f t="shared" si="287"/>
        <v>282.22078402366856</v>
      </c>
      <c r="BK115" s="197">
        <f t="shared" si="288"/>
        <v>203.40236686390531</v>
      </c>
      <c r="BL115" s="197">
        <f t="shared" si="289"/>
        <v>308.90532544378692</v>
      </c>
      <c r="BM115" s="197">
        <f t="shared" si="290"/>
        <v>-26.684541420118361</v>
      </c>
      <c r="BN115" s="199">
        <f t="shared" si="291"/>
        <v>176.71782544378701</v>
      </c>
      <c r="BO115" s="196">
        <f t="shared" ref="BO115:BO128" si="315">BO114+BJ115</f>
        <v>402.50684171597629</v>
      </c>
      <c r="BP115" s="197">
        <f t="shared" si="292"/>
        <v>634.94082840236683</v>
      </c>
      <c r="BQ115" s="197">
        <f t="shared" si="292"/>
        <v>2623.9788639053249</v>
      </c>
      <c r="BR115" s="197">
        <f t="shared" si="292"/>
        <v>-2221.472022189349</v>
      </c>
      <c r="BS115" s="199">
        <f t="shared" si="292"/>
        <v>-1586.5311937869822</v>
      </c>
      <c r="BV115" s="204">
        <f t="shared" ref="BV115:BV128" si="316">BV114+1</f>
        <v>3</v>
      </c>
      <c r="BW115" s="747">
        <f>'Energy NPV'!$D41*$BX$109</f>
        <v>22.199999999999996</v>
      </c>
      <c r="BX115" s="197">
        <f>'Energy margins'!$L$12</f>
        <v>55</v>
      </c>
      <c r="BY115" s="197">
        <f t="shared" ref="BY115:BY128" si="317">BW115*BX115</f>
        <v>1220.9999999999998</v>
      </c>
      <c r="BZ115" s="197">
        <f>'Margins summary'!$S$14</f>
        <v>220</v>
      </c>
      <c r="CA115" s="197">
        <f t="shared" si="293"/>
        <v>1440.9999999999998</v>
      </c>
      <c r="CB115" s="197"/>
      <c r="CC115" s="897">
        <f>'Energy NPV'!U41</f>
        <v>334.11199999999997</v>
      </c>
      <c r="CD115" s="197"/>
      <c r="CE115" s="197">
        <f t="shared" si="269"/>
        <v>334.11199999999997</v>
      </c>
      <c r="CF115" s="197">
        <f t="shared" si="270"/>
        <v>886.88799999999981</v>
      </c>
      <c r="CG115" s="197">
        <f t="shared" si="271"/>
        <v>1106.8879999999999</v>
      </c>
      <c r="CH115" s="196">
        <f t="shared" si="294"/>
        <v>1128.8831360946742</v>
      </c>
      <c r="CI115" s="197">
        <f t="shared" si="295"/>
        <v>203.40236686390531</v>
      </c>
      <c r="CJ115" s="197">
        <f t="shared" si="296"/>
        <v>308.90532544378692</v>
      </c>
      <c r="CK115" s="197">
        <f t="shared" si="297"/>
        <v>819.97781065088725</v>
      </c>
      <c r="CL115" s="199">
        <f t="shared" si="298"/>
        <v>1023.3801775147928</v>
      </c>
      <c r="CM115" s="196">
        <f t="shared" ref="CM115:CM128" si="318">CM114+CH115</f>
        <v>1610.0273668639052</v>
      </c>
      <c r="CN115" s="197">
        <f t="shared" si="299"/>
        <v>634.94082840236683</v>
      </c>
      <c r="CO115" s="197">
        <f t="shared" si="299"/>
        <v>2623.9788639053249</v>
      </c>
      <c r="CP115" s="197">
        <f t="shared" si="299"/>
        <v>-1013.9514970414202</v>
      </c>
      <c r="CQ115" s="199">
        <f t="shared" si="299"/>
        <v>-379.01066863905328</v>
      </c>
      <c r="CT115" s="204">
        <f t="shared" ref="CT115:CT128" si="319">CT114+1</f>
        <v>3</v>
      </c>
      <c r="CU115" s="747">
        <f>'Energy NPV'!$D41*$CV$109</f>
        <v>0</v>
      </c>
      <c r="CV115" s="197">
        <f>'Energy margins'!$L$12</f>
        <v>55</v>
      </c>
      <c r="CW115" s="197">
        <f t="shared" ref="CW115:CW128" si="320">CU115*CV115</f>
        <v>0</v>
      </c>
      <c r="CX115" s="197">
        <f>'Margins summary'!$S$14</f>
        <v>220</v>
      </c>
      <c r="CY115" s="197">
        <f t="shared" si="300"/>
        <v>220</v>
      </c>
      <c r="CZ115" s="197"/>
      <c r="DA115" s="897">
        <f>'Energy NPV'!U41</f>
        <v>334.11199999999997</v>
      </c>
      <c r="DB115" s="197"/>
      <c r="DC115" s="197">
        <f t="shared" si="272"/>
        <v>334.11199999999997</v>
      </c>
      <c r="DD115" s="197">
        <f t="shared" si="273"/>
        <v>-334.11199999999997</v>
      </c>
      <c r="DE115" s="197">
        <f t="shared" si="274"/>
        <v>-114.11199999999997</v>
      </c>
      <c r="DF115" s="196">
        <f t="shared" si="301"/>
        <v>0</v>
      </c>
      <c r="DG115" s="197">
        <f t="shared" si="302"/>
        <v>203.40236686390531</v>
      </c>
      <c r="DH115" s="197">
        <f t="shared" si="303"/>
        <v>308.90532544378692</v>
      </c>
      <c r="DI115" s="197">
        <f t="shared" si="304"/>
        <v>-308.90532544378692</v>
      </c>
      <c r="DJ115" s="199">
        <f t="shared" si="305"/>
        <v>-105.50295857988161</v>
      </c>
      <c r="DK115" s="196">
        <f t="shared" ref="DK115:DK128" si="321">DK114+DF115</f>
        <v>0</v>
      </c>
      <c r="DL115" s="197">
        <f t="shared" si="306"/>
        <v>634.94082840236683</v>
      </c>
      <c r="DM115" s="197">
        <f t="shared" si="306"/>
        <v>2623.9788639053249</v>
      </c>
      <c r="DN115" s="197">
        <f t="shared" si="306"/>
        <v>-2623.9788639053249</v>
      </c>
      <c r="DO115" s="199">
        <f t="shared" si="306"/>
        <v>-1989.0380355029583</v>
      </c>
    </row>
    <row r="116" spans="2:119" x14ac:dyDescent="0.3">
      <c r="B116" s="204">
        <f t="shared" si="307"/>
        <v>4</v>
      </c>
      <c r="C116" s="747">
        <f>'Energy NPV'!$D42*$E$109</f>
        <v>12.54</v>
      </c>
      <c r="D116" s="197">
        <f>'Energy margins'!$L$12</f>
        <v>55</v>
      </c>
      <c r="E116" s="197">
        <f t="shared" si="308"/>
        <v>689.69999999999993</v>
      </c>
      <c r="F116" s="197">
        <f>'Margins summary'!$S$14</f>
        <v>220</v>
      </c>
      <c r="G116" s="197">
        <f t="shared" si="275"/>
        <v>909.69999999999993</v>
      </c>
      <c r="H116" s="197"/>
      <c r="I116" s="897">
        <f>'Energy NPV'!U42</f>
        <v>233.81200000000001</v>
      </c>
      <c r="J116" s="197"/>
      <c r="K116" s="197">
        <f t="shared" si="260"/>
        <v>233.81200000000001</v>
      </c>
      <c r="L116" s="197">
        <f t="shared" si="261"/>
        <v>455.88799999999992</v>
      </c>
      <c r="M116" s="197">
        <f t="shared" si="262"/>
        <v>675.88799999999992</v>
      </c>
      <c r="N116" s="196">
        <f t="shared" si="276"/>
        <v>613.14078857532991</v>
      </c>
      <c r="O116" s="197">
        <f t="shared" si="276"/>
        <v>195.57919890760127</v>
      </c>
      <c r="P116" s="197">
        <f t="shared" si="277"/>
        <v>207.85801661356393</v>
      </c>
      <c r="Q116" s="197">
        <f t="shared" si="277"/>
        <v>405.28277196176595</v>
      </c>
      <c r="R116" s="199">
        <f t="shared" si="277"/>
        <v>600.86197086936716</v>
      </c>
      <c r="S116" s="196">
        <f t="shared" si="309"/>
        <v>1418.1544720072825</v>
      </c>
      <c r="T116" s="197">
        <f t="shared" si="278"/>
        <v>830.5200273099681</v>
      </c>
      <c r="U116" s="197">
        <f t="shared" si="278"/>
        <v>2831.8368805188888</v>
      </c>
      <c r="V116" s="197">
        <f t="shared" si="278"/>
        <v>-1413.6824085116068</v>
      </c>
      <c r="W116" s="199">
        <f t="shared" si="278"/>
        <v>-583.16238120163882</v>
      </c>
      <c r="Z116" s="204">
        <f t="shared" si="310"/>
        <v>4</v>
      </c>
      <c r="AA116" s="747">
        <f>'Energy NPV'!$D42*$AB$109</f>
        <v>18.809999999999999</v>
      </c>
      <c r="AB116" s="197">
        <f>'Energy margins'!$L$12</f>
        <v>55</v>
      </c>
      <c r="AC116" s="197">
        <f t="shared" si="311"/>
        <v>1034.55</v>
      </c>
      <c r="AD116" s="197">
        <f>'Margins summary'!$S$14</f>
        <v>220</v>
      </c>
      <c r="AE116" s="197">
        <f t="shared" si="279"/>
        <v>1254.55</v>
      </c>
      <c r="AF116" s="197"/>
      <c r="AG116" s="897">
        <f>'Energy NPV'!U42</f>
        <v>233.81200000000001</v>
      </c>
      <c r="AH116" s="197"/>
      <c r="AI116" s="197">
        <f t="shared" si="263"/>
        <v>233.81200000000001</v>
      </c>
      <c r="AJ116" s="197">
        <f t="shared" si="264"/>
        <v>800.73799999999994</v>
      </c>
      <c r="AK116" s="197">
        <f t="shared" si="265"/>
        <v>1020.7379999999999</v>
      </c>
      <c r="AL116" s="196">
        <f t="shared" si="280"/>
        <v>919.71118286299486</v>
      </c>
      <c r="AM116" s="197">
        <f t="shared" si="281"/>
        <v>195.57919890760127</v>
      </c>
      <c r="AN116" s="197">
        <f t="shared" si="282"/>
        <v>207.85801661356393</v>
      </c>
      <c r="AO116" s="197">
        <f t="shared" si="283"/>
        <v>711.85316624943096</v>
      </c>
      <c r="AP116" s="199">
        <f t="shared" si="284"/>
        <v>907.43236515703222</v>
      </c>
      <c r="AQ116" s="196">
        <f t="shared" si="312"/>
        <v>2127.2317080109237</v>
      </c>
      <c r="AR116" s="197">
        <f t="shared" si="285"/>
        <v>830.5200273099681</v>
      </c>
      <c r="AS116" s="197">
        <f t="shared" si="285"/>
        <v>2831.8368805188888</v>
      </c>
      <c r="AT116" s="197">
        <f t="shared" si="285"/>
        <v>-704.60517250796522</v>
      </c>
      <c r="AU116" s="199">
        <f t="shared" si="285"/>
        <v>125.91485480200276</v>
      </c>
      <c r="AX116" s="204">
        <f t="shared" si="313"/>
        <v>4</v>
      </c>
      <c r="AY116" s="747">
        <f>'Energy NPV'!$D42*$AZ$109</f>
        <v>6.27</v>
      </c>
      <c r="AZ116" s="197">
        <f>'Energy margins'!$L$12</f>
        <v>55</v>
      </c>
      <c r="BA116" s="197">
        <f t="shared" si="314"/>
        <v>344.84999999999997</v>
      </c>
      <c r="BB116" s="197">
        <f>'Margins summary'!$S$14</f>
        <v>220</v>
      </c>
      <c r="BC116" s="197">
        <f t="shared" si="286"/>
        <v>564.84999999999991</v>
      </c>
      <c r="BD116" s="197"/>
      <c r="BE116" s="897">
        <f>'Energy NPV'!U42</f>
        <v>233.81200000000001</v>
      </c>
      <c r="BF116" s="197"/>
      <c r="BG116" s="197">
        <f t="shared" si="266"/>
        <v>233.81200000000001</v>
      </c>
      <c r="BH116" s="197">
        <f t="shared" si="267"/>
        <v>111.03799999999995</v>
      </c>
      <c r="BI116" s="197">
        <f t="shared" si="268"/>
        <v>331.0379999999999</v>
      </c>
      <c r="BJ116" s="196">
        <f t="shared" si="287"/>
        <v>306.57039428766495</v>
      </c>
      <c r="BK116" s="197">
        <f t="shared" si="288"/>
        <v>195.57919890760127</v>
      </c>
      <c r="BL116" s="197">
        <f t="shared" si="289"/>
        <v>207.85801661356393</v>
      </c>
      <c r="BM116" s="197">
        <f t="shared" si="290"/>
        <v>98.712377674100992</v>
      </c>
      <c r="BN116" s="199">
        <f t="shared" si="291"/>
        <v>294.2915765817022</v>
      </c>
      <c r="BO116" s="196">
        <f t="shared" si="315"/>
        <v>709.07723600364125</v>
      </c>
      <c r="BP116" s="197">
        <f t="shared" si="292"/>
        <v>830.5200273099681</v>
      </c>
      <c r="BQ116" s="197">
        <f t="shared" si="292"/>
        <v>2831.8368805188888</v>
      </c>
      <c r="BR116" s="197">
        <f t="shared" si="292"/>
        <v>-2122.7596445152481</v>
      </c>
      <c r="BS116" s="199">
        <f t="shared" si="292"/>
        <v>-1292.23961720528</v>
      </c>
      <c r="BV116" s="204">
        <f t="shared" si="316"/>
        <v>4</v>
      </c>
      <c r="BW116" s="747">
        <f>'Energy NPV'!$D42*$BX$109</f>
        <v>25.08</v>
      </c>
      <c r="BX116" s="197">
        <f>'Energy margins'!$L$12</f>
        <v>55</v>
      </c>
      <c r="BY116" s="197">
        <f t="shared" si="317"/>
        <v>1379.3999999999999</v>
      </c>
      <c r="BZ116" s="197">
        <f>'Margins summary'!$S$14</f>
        <v>220</v>
      </c>
      <c r="CA116" s="197">
        <f t="shared" si="293"/>
        <v>1599.3999999999999</v>
      </c>
      <c r="CB116" s="197"/>
      <c r="CC116" s="897">
        <f>'Energy NPV'!U42</f>
        <v>233.81200000000001</v>
      </c>
      <c r="CD116" s="197"/>
      <c r="CE116" s="197">
        <f t="shared" si="269"/>
        <v>233.81200000000001</v>
      </c>
      <c r="CF116" s="197">
        <f t="shared" si="270"/>
        <v>1145.5879999999997</v>
      </c>
      <c r="CG116" s="197">
        <f t="shared" si="271"/>
        <v>1365.5879999999997</v>
      </c>
      <c r="CH116" s="196">
        <f t="shared" si="294"/>
        <v>1226.2815771506598</v>
      </c>
      <c r="CI116" s="197">
        <f t="shared" si="295"/>
        <v>195.57919890760127</v>
      </c>
      <c r="CJ116" s="197">
        <f t="shared" si="296"/>
        <v>207.85801661356393</v>
      </c>
      <c r="CK116" s="197">
        <f t="shared" si="297"/>
        <v>1018.4235605370957</v>
      </c>
      <c r="CL116" s="199">
        <f t="shared" si="298"/>
        <v>1214.0027594446969</v>
      </c>
      <c r="CM116" s="196">
        <f t="shared" si="318"/>
        <v>2836.308944014565</v>
      </c>
      <c r="CN116" s="197">
        <f t="shared" si="299"/>
        <v>830.5200273099681</v>
      </c>
      <c r="CO116" s="197">
        <f t="shared" si="299"/>
        <v>2831.8368805188888</v>
      </c>
      <c r="CP116" s="197">
        <f t="shared" si="299"/>
        <v>4.4720634956754566</v>
      </c>
      <c r="CQ116" s="199">
        <f t="shared" si="299"/>
        <v>834.99209080564367</v>
      </c>
      <c r="CT116" s="204">
        <f t="shared" si="319"/>
        <v>4</v>
      </c>
      <c r="CU116" s="747">
        <f>'Energy NPV'!$D42*$CV$109</f>
        <v>0</v>
      </c>
      <c r="CV116" s="197">
        <f>'Energy margins'!$L$12</f>
        <v>55</v>
      </c>
      <c r="CW116" s="197">
        <f t="shared" si="320"/>
        <v>0</v>
      </c>
      <c r="CX116" s="197">
        <f>'Margins summary'!$S$14</f>
        <v>220</v>
      </c>
      <c r="CY116" s="197">
        <f t="shared" si="300"/>
        <v>220</v>
      </c>
      <c r="CZ116" s="197"/>
      <c r="DA116" s="897">
        <f>'Energy NPV'!U42</f>
        <v>233.81200000000001</v>
      </c>
      <c r="DB116" s="197"/>
      <c r="DC116" s="197">
        <f t="shared" si="272"/>
        <v>233.81200000000001</v>
      </c>
      <c r="DD116" s="197">
        <f t="shared" si="273"/>
        <v>-233.81200000000001</v>
      </c>
      <c r="DE116" s="197">
        <f t="shared" si="274"/>
        <v>-13.812000000000012</v>
      </c>
      <c r="DF116" s="196">
        <f t="shared" si="301"/>
        <v>0</v>
      </c>
      <c r="DG116" s="197">
        <f t="shared" si="302"/>
        <v>195.57919890760127</v>
      </c>
      <c r="DH116" s="197">
        <f t="shared" si="303"/>
        <v>207.85801661356393</v>
      </c>
      <c r="DI116" s="197">
        <f t="shared" si="304"/>
        <v>-207.85801661356393</v>
      </c>
      <c r="DJ116" s="199">
        <f t="shared" si="305"/>
        <v>-12.278817705962686</v>
      </c>
      <c r="DK116" s="196">
        <f t="shared" si="321"/>
        <v>0</v>
      </c>
      <c r="DL116" s="197">
        <f t="shared" si="306"/>
        <v>830.5200273099681</v>
      </c>
      <c r="DM116" s="197">
        <f t="shared" si="306"/>
        <v>2831.8368805188888</v>
      </c>
      <c r="DN116" s="197">
        <f t="shared" si="306"/>
        <v>-2831.8368805188888</v>
      </c>
      <c r="DO116" s="199">
        <f t="shared" si="306"/>
        <v>-2001.316853208921</v>
      </c>
    </row>
    <row r="117" spans="2:119" x14ac:dyDescent="0.3">
      <c r="B117" s="204">
        <f t="shared" si="307"/>
        <v>5</v>
      </c>
      <c r="C117" s="747">
        <f>'Energy NPV'!$D43*$E$109</f>
        <v>12.54</v>
      </c>
      <c r="D117" s="197">
        <f>'Energy margins'!$L$12</f>
        <v>55</v>
      </c>
      <c r="E117" s="197">
        <f t="shared" si="308"/>
        <v>689.69999999999993</v>
      </c>
      <c r="F117" s="197">
        <f>'Margins summary'!$S$14</f>
        <v>220</v>
      </c>
      <c r="G117" s="197">
        <f t="shared" si="275"/>
        <v>909.69999999999993</v>
      </c>
      <c r="H117" s="197"/>
      <c r="I117" s="897">
        <f>'Energy NPV'!U43</f>
        <v>233.81200000000001</v>
      </c>
      <c r="J117" s="197"/>
      <c r="K117" s="197">
        <f t="shared" si="260"/>
        <v>233.81200000000001</v>
      </c>
      <c r="L117" s="197">
        <f t="shared" si="261"/>
        <v>455.88799999999992</v>
      </c>
      <c r="M117" s="197">
        <f t="shared" si="262"/>
        <v>675.88799999999992</v>
      </c>
      <c r="N117" s="196">
        <f t="shared" si="276"/>
        <v>589.55845055320174</v>
      </c>
      <c r="O117" s="197">
        <f t="shared" si="276"/>
        <v>188.05692202653967</v>
      </c>
      <c r="P117" s="197">
        <f t="shared" si="277"/>
        <v>199.86347751304223</v>
      </c>
      <c r="Q117" s="197">
        <f t="shared" si="277"/>
        <v>389.69497304015954</v>
      </c>
      <c r="R117" s="199">
        <f t="shared" si="277"/>
        <v>577.75189506669915</v>
      </c>
      <c r="S117" s="196">
        <f t="shared" si="309"/>
        <v>2007.7129225604842</v>
      </c>
      <c r="T117" s="197">
        <f t="shared" si="278"/>
        <v>1018.5769493365078</v>
      </c>
      <c r="U117" s="197">
        <f t="shared" si="278"/>
        <v>3031.700358031931</v>
      </c>
      <c r="V117" s="197">
        <f t="shared" si="278"/>
        <v>-1023.9874354714473</v>
      </c>
      <c r="W117" s="199">
        <f t="shared" si="278"/>
        <v>-5.4104861349396742</v>
      </c>
      <c r="Z117" s="204">
        <f t="shared" si="310"/>
        <v>5</v>
      </c>
      <c r="AA117" s="747">
        <f>'Energy NPV'!$D43*$AB$109</f>
        <v>18.809999999999999</v>
      </c>
      <c r="AB117" s="197">
        <f>'Energy margins'!$L$12</f>
        <v>55</v>
      </c>
      <c r="AC117" s="197">
        <f t="shared" si="311"/>
        <v>1034.55</v>
      </c>
      <c r="AD117" s="197">
        <f>'Margins summary'!$S$14</f>
        <v>220</v>
      </c>
      <c r="AE117" s="197">
        <f t="shared" si="279"/>
        <v>1254.55</v>
      </c>
      <c r="AF117" s="197"/>
      <c r="AG117" s="897">
        <f>'Energy NPV'!U43</f>
        <v>233.81200000000001</v>
      </c>
      <c r="AH117" s="197"/>
      <c r="AI117" s="197">
        <f t="shared" si="263"/>
        <v>233.81200000000001</v>
      </c>
      <c r="AJ117" s="197">
        <f t="shared" si="264"/>
        <v>800.73799999999994</v>
      </c>
      <c r="AK117" s="197">
        <f t="shared" si="265"/>
        <v>1020.7379999999999</v>
      </c>
      <c r="AL117" s="196">
        <f t="shared" si="280"/>
        <v>884.33767582980272</v>
      </c>
      <c r="AM117" s="197">
        <f t="shared" si="281"/>
        <v>188.05692202653967</v>
      </c>
      <c r="AN117" s="197">
        <f t="shared" si="282"/>
        <v>199.86347751304223</v>
      </c>
      <c r="AO117" s="197">
        <f t="shared" si="283"/>
        <v>684.47419831676041</v>
      </c>
      <c r="AP117" s="199">
        <f t="shared" si="284"/>
        <v>872.53112034330013</v>
      </c>
      <c r="AQ117" s="196">
        <f t="shared" si="312"/>
        <v>3011.5693838407265</v>
      </c>
      <c r="AR117" s="197">
        <f t="shared" si="285"/>
        <v>1018.5769493365078</v>
      </c>
      <c r="AS117" s="197">
        <f t="shared" si="285"/>
        <v>3031.700358031931</v>
      </c>
      <c r="AT117" s="197">
        <f t="shared" si="285"/>
        <v>-20.130974191204814</v>
      </c>
      <c r="AU117" s="199">
        <f t="shared" si="285"/>
        <v>998.4459751453029</v>
      </c>
      <c r="AX117" s="204">
        <f t="shared" si="313"/>
        <v>5</v>
      </c>
      <c r="AY117" s="747">
        <f>'Energy NPV'!$D43*$AZ$109</f>
        <v>6.27</v>
      </c>
      <c r="AZ117" s="197">
        <f>'Energy margins'!$L$12</f>
        <v>55</v>
      </c>
      <c r="BA117" s="197">
        <f t="shared" si="314"/>
        <v>344.84999999999997</v>
      </c>
      <c r="BB117" s="197">
        <f>'Margins summary'!$S$14</f>
        <v>220</v>
      </c>
      <c r="BC117" s="197">
        <f t="shared" si="286"/>
        <v>564.84999999999991</v>
      </c>
      <c r="BD117" s="197"/>
      <c r="BE117" s="897">
        <f>'Energy NPV'!U43</f>
        <v>233.81200000000001</v>
      </c>
      <c r="BF117" s="197"/>
      <c r="BG117" s="197">
        <f t="shared" si="266"/>
        <v>233.81200000000001</v>
      </c>
      <c r="BH117" s="197">
        <f t="shared" si="267"/>
        <v>111.03799999999995</v>
      </c>
      <c r="BI117" s="197">
        <f t="shared" si="268"/>
        <v>331.0379999999999</v>
      </c>
      <c r="BJ117" s="196">
        <f t="shared" si="287"/>
        <v>294.77922527660087</v>
      </c>
      <c r="BK117" s="197">
        <f t="shared" si="288"/>
        <v>188.05692202653967</v>
      </c>
      <c r="BL117" s="197">
        <f t="shared" si="289"/>
        <v>199.86347751304223</v>
      </c>
      <c r="BM117" s="197">
        <f t="shared" si="290"/>
        <v>94.915747763558642</v>
      </c>
      <c r="BN117" s="199">
        <f t="shared" si="291"/>
        <v>282.97266979009822</v>
      </c>
      <c r="BO117" s="196">
        <f t="shared" si="315"/>
        <v>1003.8564612802421</v>
      </c>
      <c r="BP117" s="197">
        <f t="shared" si="292"/>
        <v>1018.5769493365078</v>
      </c>
      <c r="BQ117" s="197">
        <f t="shared" si="292"/>
        <v>3031.700358031931</v>
      </c>
      <c r="BR117" s="197">
        <f t="shared" si="292"/>
        <v>-2027.8438967516895</v>
      </c>
      <c r="BS117" s="199">
        <f t="shared" si="292"/>
        <v>-1009.2669474151817</v>
      </c>
      <c r="BV117" s="204">
        <f t="shared" si="316"/>
        <v>5</v>
      </c>
      <c r="BW117" s="747">
        <f>'Energy NPV'!$D43*$BX$109</f>
        <v>25.08</v>
      </c>
      <c r="BX117" s="197">
        <f>'Energy margins'!$L$12</f>
        <v>55</v>
      </c>
      <c r="BY117" s="197">
        <f t="shared" si="317"/>
        <v>1379.3999999999999</v>
      </c>
      <c r="BZ117" s="197">
        <f>'Margins summary'!$S$14</f>
        <v>220</v>
      </c>
      <c r="CA117" s="197">
        <f t="shared" si="293"/>
        <v>1599.3999999999999</v>
      </c>
      <c r="CB117" s="197"/>
      <c r="CC117" s="897">
        <f>'Energy NPV'!U43</f>
        <v>233.81200000000001</v>
      </c>
      <c r="CD117" s="197"/>
      <c r="CE117" s="197">
        <f t="shared" si="269"/>
        <v>233.81200000000001</v>
      </c>
      <c r="CF117" s="197">
        <f t="shared" si="270"/>
        <v>1145.5879999999997</v>
      </c>
      <c r="CG117" s="197">
        <f t="shared" si="271"/>
        <v>1365.5879999999997</v>
      </c>
      <c r="CH117" s="196">
        <f t="shared" si="294"/>
        <v>1179.1169011064035</v>
      </c>
      <c r="CI117" s="197">
        <f t="shared" si="295"/>
        <v>188.05692202653967</v>
      </c>
      <c r="CJ117" s="197">
        <f t="shared" si="296"/>
        <v>199.86347751304223</v>
      </c>
      <c r="CK117" s="197">
        <f t="shared" si="297"/>
        <v>979.25342359336116</v>
      </c>
      <c r="CL117" s="199">
        <f t="shared" si="298"/>
        <v>1167.3103456199008</v>
      </c>
      <c r="CM117" s="196">
        <f t="shared" si="318"/>
        <v>4015.4258451209685</v>
      </c>
      <c r="CN117" s="197">
        <f t="shared" si="299"/>
        <v>1018.5769493365078</v>
      </c>
      <c r="CO117" s="197">
        <f t="shared" si="299"/>
        <v>3031.700358031931</v>
      </c>
      <c r="CP117" s="197">
        <f t="shared" si="299"/>
        <v>983.72548708903662</v>
      </c>
      <c r="CQ117" s="199">
        <f t="shared" si="299"/>
        <v>2002.3024364255443</v>
      </c>
      <c r="CT117" s="204">
        <f t="shared" si="319"/>
        <v>5</v>
      </c>
      <c r="CU117" s="747">
        <f>'Energy NPV'!$D43*$CV$109</f>
        <v>0</v>
      </c>
      <c r="CV117" s="197">
        <f>'Energy margins'!$L$12</f>
        <v>55</v>
      </c>
      <c r="CW117" s="197">
        <f t="shared" si="320"/>
        <v>0</v>
      </c>
      <c r="CX117" s="197">
        <f>'Margins summary'!$S$14</f>
        <v>220</v>
      </c>
      <c r="CY117" s="197">
        <f t="shared" si="300"/>
        <v>220</v>
      </c>
      <c r="CZ117" s="197"/>
      <c r="DA117" s="897">
        <f>'Energy NPV'!U43</f>
        <v>233.81200000000001</v>
      </c>
      <c r="DB117" s="197"/>
      <c r="DC117" s="197">
        <f t="shared" si="272"/>
        <v>233.81200000000001</v>
      </c>
      <c r="DD117" s="197">
        <f t="shared" si="273"/>
        <v>-233.81200000000001</v>
      </c>
      <c r="DE117" s="197">
        <f t="shared" si="274"/>
        <v>-13.812000000000012</v>
      </c>
      <c r="DF117" s="196">
        <f t="shared" si="301"/>
        <v>0</v>
      </c>
      <c r="DG117" s="197">
        <f t="shared" si="302"/>
        <v>188.05692202653967</v>
      </c>
      <c r="DH117" s="197">
        <f t="shared" si="303"/>
        <v>199.86347751304223</v>
      </c>
      <c r="DI117" s="197">
        <f t="shared" si="304"/>
        <v>-199.86347751304223</v>
      </c>
      <c r="DJ117" s="199">
        <f t="shared" si="305"/>
        <v>-11.806555486502582</v>
      </c>
      <c r="DK117" s="196">
        <f t="shared" si="321"/>
        <v>0</v>
      </c>
      <c r="DL117" s="197">
        <f t="shared" si="306"/>
        <v>1018.5769493365078</v>
      </c>
      <c r="DM117" s="197">
        <f t="shared" si="306"/>
        <v>3031.700358031931</v>
      </c>
      <c r="DN117" s="197">
        <f t="shared" si="306"/>
        <v>-3031.700358031931</v>
      </c>
      <c r="DO117" s="199">
        <f t="shared" si="306"/>
        <v>-2013.1234086954234</v>
      </c>
    </row>
    <row r="118" spans="2:119" x14ac:dyDescent="0.3">
      <c r="B118" s="204">
        <f t="shared" si="307"/>
        <v>6</v>
      </c>
      <c r="C118" s="747">
        <f>'Energy NPV'!$D44*$E$109</f>
        <v>12.54</v>
      </c>
      <c r="D118" s="197">
        <f>'Energy margins'!$L$12</f>
        <v>55</v>
      </c>
      <c r="E118" s="197">
        <f t="shared" si="308"/>
        <v>689.69999999999993</v>
      </c>
      <c r="F118" s="197">
        <f>'Margins summary'!$S$14</f>
        <v>220</v>
      </c>
      <c r="G118" s="197">
        <f t="shared" si="275"/>
        <v>909.69999999999993</v>
      </c>
      <c r="H118" s="197"/>
      <c r="I118" s="897">
        <f>'Energy NPV'!U44</f>
        <v>233.81200000000001</v>
      </c>
      <c r="J118" s="197"/>
      <c r="K118" s="197">
        <f t="shared" si="260"/>
        <v>233.81200000000001</v>
      </c>
      <c r="L118" s="197">
        <f t="shared" si="261"/>
        <v>455.88799999999992</v>
      </c>
      <c r="M118" s="197">
        <f t="shared" si="262"/>
        <v>675.88799999999992</v>
      </c>
      <c r="N118" s="196">
        <f t="shared" si="276"/>
        <v>566.88312553192475</v>
      </c>
      <c r="O118" s="197">
        <f t="shared" si="276"/>
        <v>180.82396348705734</v>
      </c>
      <c r="P118" s="197">
        <f t="shared" si="277"/>
        <v>192.1764206856175</v>
      </c>
      <c r="Q118" s="197">
        <f t="shared" si="277"/>
        <v>374.70670484630722</v>
      </c>
      <c r="R118" s="199">
        <f t="shared" si="277"/>
        <v>555.53066833336447</v>
      </c>
      <c r="S118" s="196">
        <f t="shared" si="309"/>
        <v>2574.5960480924091</v>
      </c>
      <c r="T118" s="197">
        <f t="shared" si="278"/>
        <v>1199.4009128235652</v>
      </c>
      <c r="U118" s="197">
        <f t="shared" si="278"/>
        <v>3223.8767787175484</v>
      </c>
      <c r="V118" s="197">
        <f t="shared" si="278"/>
        <v>-649.28073062514</v>
      </c>
      <c r="W118" s="199">
        <f t="shared" si="278"/>
        <v>550.1201821984248</v>
      </c>
      <c r="Z118" s="204">
        <f t="shared" si="310"/>
        <v>6</v>
      </c>
      <c r="AA118" s="747">
        <f>'Energy NPV'!$D44*$AB$109</f>
        <v>18.809999999999999</v>
      </c>
      <c r="AB118" s="197">
        <f>'Energy margins'!$L$12</f>
        <v>55</v>
      </c>
      <c r="AC118" s="197">
        <f t="shared" si="311"/>
        <v>1034.55</v>
      </c>
      <c r="AD118" s="197">
        <f>'Margins summary'!$S$14</f>
        <v>220</v>
      </c>
      <c r="AE118" s="197">
        <f t="shared" si="279"/>
        <v>1254.55</v>
      </c>
      <c r="AF118" s="197"/>
      <c r="AG118" s="897">
        <f>'Energy NPV'!U44</f>
        <v>233.81200000000001</v>
      </c>
      <c r="AH118" s="197"/>
      <c r="AI118" s="197">
        <f t="shared" si="263"/>
        <v>233.81200000000001</v>
      </c>
      <c r="AJ118" s="197">
        <f t="shared" si="264"/>
        <v>800.73799999999994</v>
      </c>
      <c r="AK118" s="197">
        <f t="shared" si="265"/>
        <v>1020.7379999999999</v>
      </c>
      <c r="AL118" s="196">
        <f t="shared" si="280"/>
        <v>850.32468829788706</v>
      </c>
      <c r="AM118" s="197">
        <f t="shared" si="281"/>
        <v>180.82396348705734</v>
      </c>
      <c r="AN118" s="197">
        <f t="shared" si="282"/>
        <v>192.1764206856175</v>
      </c>
      <c r="AO118" s="197">
        <f t="shared" si="283"/>
        <v>658.14826761226959</v>
      </c>
      <c r="AP118" s="199">
        <f t="shared" si="284"/>
        <v>838.9722310993269</v>
      </c>
      <c r="AQ118" s="196">
        <f t="shared" si="312"/>
        <v>3861.8940721386134</v>
      </c>
      <c r="AR118" s="197">
        <f t="shared" si="285"/>
        <v>1199.4009128235652</v>
      </c>
      <c r="AS118" s="197">
        <f t="shared" si="285"/>
        <v>3223.8767787175484</v>
      </c>
      <c r="AT118" s="197">
        <f t="shared" si="285"/>
        <v>638.01729342106478</v>
      </c>
      <c r="AU118" s="199">
        <f t="shared" si="285"/>
        <v>1837.4182062446298</v>
      </c>
      <c r="AX118" s="204">
        <f t="shared" si="313"/>
        <v>6</v>
      </c>
      <c r="AY118" s="747">
        <f>'Energy NPV'!$D44*$AZ$109</f>
        <v>6.27</v>
      </c>
      <c r="AZ118" s="197">
        <f>'Energy margins'!$L$12</f>
        <v>55</v>
      </c>
      <c r="BA118" s="197">
        <f t="shared" si="314"/>
        <v>344.84999999999997</v>
      </c>
      <c r="BB118" s="197">
        <f>'Margins summary'!$S$14</f>
        <v>220</v>
      </c>
      <c r="BC118" s="197">
        <f t="shared" si="286"/>
        <v>564.84999999999991</v>
      </c>
      <c r="BD118" s="197"/>
      <c r="BE118" s="897">
        <f>'Energy NPV'!U44</f>
        <v>233.81200000000001</v>
      </c>
      <c r="BF118" s="197"/>
      <c r="BG118" s="197">
        <f t="shared" si="266"/>
        <v>233.81200000000001</v>
      </c>
      <c r="BH118" s="197">
        <f t="shared" si="267"/>
        <v>111.03799999999995</v>
      </c>
      <c r="BI118" s="197">
        <f t="shared" si="268"/>
        <v>331.0379999999999</v>
      </c>
      <c r="BJ118" s="196">
        <f t="shared" si="287"/>
        <v>283.44156276596237</v>
      </c>
      <c r="BK118" s="197">
        <f t="shared" si="288"/>
        <v>180.82396348705734</v>
      </c>
      <c r="BL118" s="197">
        <f t="shared" si="289"/>
        <v>192.1764206856175</v>
      </c>
      <c r="BM118" s="197">
        <f t="shared" si="290"/>
        <v>91.265142080344845</v>
      </c>
      <c r="BN118" s="199">
        <f t="shared" si="291"/>
        <v>272.08910556740216</v>
      </c>
      <c r="BO118" s="196">
        <f t="shared" si="315"/>
        <v>1287.2980240462045</v>
      </c>
      <c r="BP118" s="197">
        <f t="shared" si="292"/>
        <v>1199.4009128235652</v>
      </c>
      <c r="BQ118" s="197">
        <f t="shared" si="292"/>
        <v>3223.8767787175484</v>
      </c>
      <c r="BR118" s="197">
        <f t="shared" si="292"/>
        <v>-1936.5787546713445</v>
      </c>
      <c r="BS118" s="199">
        <f t="shared" si="292"/>
        <v>-737.17784184777952</v>
      </c>
      <c r="BV118" s="204">
        <f t="shared" si="316"/>
        <v>6</v>
      </c>
      <c r="BW118" s="747">
        <f>'Energy NPV'!$D44*$BX$109</f>
        <v>25.08</v>
      </c>
      <c r="BX118" s="197">
        <f>'Energy margins'!$L$12</f>
        <v>55</v>
      </c>
      <c r="BY118" s="197">
        <f t="shared" si="317"/>
        <v>1379.3999999999999</v>
      </c>
      <c r="BZ118" s="197">
        <f>'Margins summary'!$S$14</f>
        <v>220</v>
      </c>
      <c r="CA118" s="197">
        <f t="shared" si="293"/>
        <v>1599.3999999999999</v>
      </c>
      <c r="CB118" s="197"/>
      <c r="CC118" s="897">
        <f>'Energy NPV'!U44</f>
        <v>233.81200000000001</v>
      </c>
      <c r="CD118" s="197"/>
      <c r="CE118" s="197">
        <f t="shared" si="269"/>
        <v>233.81200000000001</v>
      </c>
      <c r="CF118" s="197">
        <f t="shared" si="270"/>
        <v>1145.5879999999997</v>
      </c>
      <c r="CG118" s="197">
        <f t="shared" si="271"/>
        <v>1365.5879999999997</v>
      </c>
      <c r="CH118" s="196">
        <f t="shared" si="294"/>
        <v>1133.7662510638495</v>
      </c>
      <c r="CI118" s="197">
        <f t="shared" si="295"/>
        <v>180.82396348705734</v>
      </c>
      <c r="CJ118" s="197">
        <f t="shared" si="296"/>
        <v>192.1764206856175</v>
      </c>
      <c r="CK118" s="197">
        <f t="shared" si="297"/>
        <v>941.5898303782318</v>
      </c>
      <c r="CL118" s="199">
        <f t="shared" si="298"/>
        <v>1122.4137938652891</v>
      </c>
      <c r="CM118" s="196">
        <f t="shared" si="318"/>
        <v>5149.1920961848182</v>
      </c>
      <c r="CN118" s="197">
        <f t="shared" si="299"/>
        <v>1199.4009128235652</v>
      </c>
      <c r="CO118" s="197">
        <f t="shared" si="299"/>
        <v>3223.8767787175484</v>
      </c>
      <c r="CP118" s="197">
        <f t="shared" si="299"/>
        <v>1925.3153174672684</v>
      </c>
      <c r="CQ118" s="199">
        <f t="shared" si="299"/>
        <v>3124.7162302908337</v>
      </c>
      <c r="CT118" s="204">
        <f t="shared" si="319"/>
        <v>6</v>
      </c>
      <c r="CU118" s="747">
        <f>'Energy NPV'!$D44*$CV$109</f>
        <v>0</v>
      </c>
      <c r="CV118" s="197">
        <f>'Energy margins'!$L$12</f>
        <v>55</v>
      </c>
      <c r="CW118" s="197">
        <f t="shared" si="320"/>
        <v>0</v>
      </c>
      <c r="CX118" s="197">
        <f>'Margins summary'!$S$14</f>
        <v>220</v>
      </c>
      <c r="CY118" s="197">
        <f t="shared" si="300"/>
        <v>220</v>
      </c>
      <c r="CZ118" s="197"/>
      <c r="DA118" s="897">
        <f>'Energy NPV'!U44</f>
        <v>233.81200000000001</v>
      </c>
      <c r="DB118" s="197"/>
      <c r="DC118" s="197">
        <f t="shared" si="272"/>
        <v>233.81200000000001</v>
      </c>
      <c r="DD118" s="197">
        <f t="shared" si="273"/>
        <v>-233.81200000000001</v>
      </c>
      <c r="DE118" s="197">
        <f t="shared" si="274"/>
        <v>-13.812000000000012</v>
      </c>
      <c r="DF118" s="196">
        <f t="shared" si="301"/>
        <v>0</v>
      </c>
      <c r="DG118" s="197">
        <f t="shared" si="302"/>
        <v>180.82396348705734</v>
      </c>
      <c r="DH118" s="197">
        <f t="shared" si="303"/>
        <v>192.1764206856175</v>
      </c>
      <c r="DI118" s="197">
        <f t="shared" si="304"/>
        <v>-192.1764206856175</v>
      </c>
      <c r="DJ118" s="199">
        <f t="shared" si="305"/>
        <v>-11.352457198560174</v>
      </c>
      <c r="DK118" s="196">
        <f t="shared" si="321"/>
        <v>0</v>
      </c>
      <c r="DL118" s="197">
        <f t="shared" si="306"/>
        <v>1199.4009128235652</v>
      </c>
      <c r="DM118" s="197">
        <f t="shared" si="306"/>
        <v>3223.8767787175484</v>
      </c>
      <c r="DN118" s="197">
        <f t="shared" si="306"/>
        <v>-3223.8767787175484</v>
      </c>
      <c r="DO118" s="199">
        <f t="shared" si="306"/>
        <v>-2024.4758658939836</v>
      </c>
    </row>
    <row r="119" spans="2:119" x14ac:dyDescent="0.3">
      <c r="B119" s="204">
        <f t="shared" si="307"/>
        <v>7</v>
      </c>
      <c r="C119" s="747">
        <f>'Energy NPV'!$D45*$E$109</f>
        <v>12.54</v>
      </c>
      <c r="D119" s="197">
        <f>'Energy margins'!$L$12</f>
        <v>55</v>
      </c>
      <c r="E119" s="197">
        <f t="shared" si="308"/>
        <v>689.69999999999993</v>
      </c>
      <c r="F119" s="197">
        <f>'Margins summary'!$S$14</f>
        <v>220</v>
      </c>
      <c r="G119" s="197">
        <f t="shared" si="275"/>
        <v>909.69999999999993</v>
      </c>
      <c r="H119" s="197"/>
      <c r="I119" s="897">
        <f>'Energy NPV'!U45</f>
        <v>233.81200000000001</v>
      </c>
      <c r="J119" s="197"/>
      <c r="K119" s="197">
        <f t="shared" si="260"/>
        <v>233.81200000000001</v>
      </c>
      <c r="L119" s="197">
        <f t="shared" si="261"/>
        <v>455.88799999999992</v>
      </c>
      <c r="M119" s="197">
        <f t="shared" si="262"/>
        <v>675.88799999999992</v>
      </c>
      <c r="N119" s="196">
        <f t="shared" si="276"/>
        <v>545.07992839608141</v>
      </c>
      <c r="O119" s="197">
        <f t="shared" si="276"/>
        <v>173.86919566063204</v>
      </c>
      <c r="P119" s="197">
        <f t="shared" si="277"/>
        <v>184.78501989001683</v>
      </c>
      <c r="Q119" s="197">
        <f t="shared" si="277"/>
        <v>360.29490850606459</v>
      </c>
      <c r="R119" s="199">
        <f t="shared" si="277"/>
        <v>534.16410416669669</v>
      </c>
      <c r="S119" s="196">
        <f t="shared" si="309"/>
        <v>3119.6759764884905</v>
      </c>
      <c r="T119" s="197">
        <f t="shared" si="278"/>
        <v>1373.2701084841974</v>
      </c>
      <c r="U119" s="197">
        <f t="shared" si="278"/>
        <v>3408.6617986075653</v>
      </c>
      <c r="V119" s="197">
        <f t="shared" si="278"/>
        <v>-288.98582211907541</v>
      </c>
      <c r="W119" s="199">
        <f t="shared" si="278"/>
        <v>1084.2842863651215</v>
      </c>
      <c r="Z119" s="204">
        <f t="shared" si="310"/>
        <v>7</v>
      </c>
      <c r="AA119" s="747">
        <f>'Energy NPV'!$D45*$AB$109</f>
        <v>18.809999999999999</v>
      </c>
      <c r="AB119" s="197">
        <f>'Energy margins'!$L$12</f>
        <v>55</v>
      </c>
      <c r="AC119" s="197">
        <f t="shared" si="311"/>
        <v>1034.55</v>
      </c>
      <c r="AD119" s="197">
        <f>'Margins summary'!$S$14</f>
        <v>220</v>
      </c>
      <c r="AE119" s="197">
        <f t="shared" si="279"/>
        <v>1254.55</v>
      </c>
      <c r="AF119" s="197"/>
      <c r="AG119" s="897">
        <f>'Energy NPV'!U45</f>
        <v>233.81200000000001</v>
      </c>
      <c r="AH119" s="197"/>
      <c r="AI119" s="197">
        <f t="shared" si="263"/>
        <v>233.81200000000001</v>
      </c>
      <c r="AJ119" s="197">
        <f t="shared" si="264"/>
        <v>800.73799999999994</v>
      </c>
      <c r="AK119" s="197">
        <f t="shared" si="265"/>
        <v>1020.7379999999999</v>
      </c>
      <c r="AL119" s="196">
        <f t="shared" si="280"/>
        <v>817.61989259412223</v>
      </c>
      <c r="AM119" s="197">
        <f t="shared" si="281"/>
        <v>173.86919566063204</v>
      </c>
      <c r="AN119" s="197">
        <f t="shared" si="282"/>
        <v>184.78501989001683</v>
      </c>
      <c r="AO119" s="197">
        <f t="shared" si="283"/>
        <v>632.83487270410535</v>
      </c>
      <c r="AP119" s="199">
        <f t="shared" si="284"/>
        <v>806.7040683647374</v>
      </c>
      <c r="AQ119" s="196">
        <f t="shared" si="312"/>
        <v>4679.513964732736</v>
      </c>
      <c r="AR119" s="197">
        <f t="shared" si="285"/>
        <v>1373.2701084841974</v>
      </c>
      <c r="AS119" s="197">
        <f t="shared" si="285"/>
        <v>3408.6617986075653</v>
      </c>
      <c r="AT119" s="197">
        <f t="shared" si="285"/>
        <v>1270.8521661251702</v>
      </c>
      <c r="AU119" s="199">
        <f t="shared" si="285"/>
        <v>2644.1222746093672</v>
      </c>
      <c r="AX119" s="204">
        <f t="shared" si="313"/>
        <v>7</v>
      </c>
      <c r="AY119" s="747">
        <f>'Energy NPV'!$D45*$AZ$109</f>
        <v>6.27</v>
      </c>
      <c r="AZ119" s="197">
        <f>'Energy margins'!$L$12</f>
        <v>55</v>
      </c>
      <c r="BA119" s="197">
        <f t="shared" si="314"/>
        <v>344.84999999999997</v>
      </c>
      <c r="BB119" s="197">
        <f>'Margins summary'!$S$14</f>
        <v>220</v>
      </c>
      <c r="BC119" s="197">
        <f t="shared" si="286"/>
        <v>564.84999999999991</v>
      </c>
      <c r="BD119" s="197"/>
      <c r="BE119" s="897">
        <f>'Energy NPV'!U45</f>
        <v>233.81200000000001</v>
      </c>
      <c r="BF119" s="197"/>
      <c r="BG119" s="197">
        <f t="shared" si="266"/>
        <v>233.81200000000001</v>
      </c>
      <c r="BH119" s="197">
        <f t="shared" si="267"/>
        <v>111.03799999999995</v>
      </c>
      <c r="BI119" s="197">
        <f t="shared" si="268"/>
        <v>331.0379999999999</v>
      </c>
      <c r="BJ119" s="196">
        <f t="shared" si="287"/>
        <v>272.53996419804071</v>
      </c>
      <c r="BK119" s="197">
        <f t="shared" si="288"/>
        <v>173.86919566063204</v>
      </c>
      <c r="BL119" s="197">
        <f t="shared" si="289"/>
        <v>184.78501989001683</v>
      </c>
      <c r="BM119" s="197">
        <f t="shared" si="290"/>
        <v>87.75494430802388</v>
      </c>
      <c r="BN119" s="199">
        <f t="shared" si="291"/>
        <v>261.62413996865587</v>
      </c>
      <c r="BO119" s="196">
        <f t="shared" si="315"/>
        <v>1559.8379882442453</v>
      </c>
      <c r="BP119" s="197">
        <f t="shared" si="292"/>
        <v>1373.2701084841974</v>
      </c>
      <c r="BQ119" s="197">
        <f t="shared" si="292"/>
        <v>3408.6617986075653</v>
      </c>
      <c r="BR119" s="197">
        <f t="shared" si="292"/>
        <v>-1848.8238103633207</v>
      </c>
      <c r="BS119" s="199">
        <f t="shared" si="292"/>
        <v>-475.55370187912365</v>
      </c>
      <c r="BV119" s="204">
        <f t="shared" si="316"/>
        <v>7</v>
      </c>
      <c r="BW119" s="747">
        <f>'Energy NPV'!$D45*$BX$109</f>
        <v>25.08</v>
      </c>
      <c r="BX119" s="197">
        <f>'Energy margins'!$L$12</f>
        <v>55</v>
      </c>
      <c r="BY119" s="197">
        <f t="shared" si="317"/>
        <v>1379.3999999999999</v>
      </c>
      <c r="BZ119" s="197">
        <f>'Margins summary'!$S$14</f>
        <v>220</v>
      </c>
      <c r="CA119" s="197">
        <f t="shared" si="293"/>
        <v>1599.3999999999999</v>
      </c>
      <c r="CB119" s="197"/>
      <c r="CC119" s="897">
        <f>'Energy NPV'!U45</f>
        <v>233.81200000000001</v>
      </c>
      <c r="CD119" s="197"/>
      <c r="CE119" s="197">
        <f t="shared" si="269"/>
        <v>233.81200000000001</v>
      </c>
      <c r="CF119" s="197">
        <f t="shared" si="270"/>
        <v>1145.5879999999997</v>
      </c>
      <c r="CG119" s="197">
        <f t="shared" si="271"/>
        <v>1365.5879999999997</v>
      </c>
      <c r="CH119" s="196">
        <f t="shared" si="294"/>
        <v>1090.1598567921628</v>
      </c>
      <c r="CI119" s="197">
        <f t="shared" si="295"/>
        <v>173.86919566063204</v>
      </c>
      <c r="CJ119" s="197">
        <f t="shared" si="296"/>
        <v>184.78501989001683</v>
      </c>
      <c r="CK119" s="197">
        <f t="shared" si="297"/>
        <v>905.37483690214594</v>
      </c>
      <c r="CL119" s="199">
        <f t="shared" si="298"/>
        <v>1079.2440325627781</v>
      </c>
      <c r="CM119" s="196">
        <f t="shared" si="318"/>
        <v>6239.351952976981</v>
      </c>
      <c r="CN119" s="197">
        <f t="shared" si="299"/>
        <v>1373.2701084841974</v>
      </c>
      <c r="CO119" s="197">
        <f t="shared" si="299"/>
        <v>3408.6617986075653</v>
      </c>
      <c r="CP119" s="197">
        <f t="shared" si="299"/>
        <v>2830.6901543694144</v>
      </c>
      <c r="CQ119" s="199">
        <f t="shared" si="299"/>
        <v>4203.9602628536122</v>
      </c>
      <c r="CT119" s="204">
        <f t="shared" si="319"/>
        <v>7</v>
      </c>
      <c r="CU119" s="747">
        <f>'Energy NPV'!$D45*$CV$109</f>
        <v>0</v>
      </c>
      <c r="CV119" s="197">
        <f>'Energy margins'!$L$12</f>
        <v>55</v>
      </c>
      <c r="CW119" s="197">
        <f t="shared" si="320"/>
        <v>0</v>
      </c>
      <c r="CX119" s="197">
        <f>'Margins summary'!$S$14</f>
        <v>220</v>
      </c>
      <c r="CY119" s="197">
        <f t="shared" si="300"/>
        <v>220</v>
      </c>
      <c r="CZ119" s="197"/>
      <c r="DA119" s="897">
        <f>'Energy NPV'!U45</f>
        <v>233.81200000000001</v>
      </c>
      <c r="DB119" s="197"/>
      <c r="DC119" s="197">
        <f t="shared" si="272"/>
        <v>233.81200000000001</v>
      </c>
      <c r="DD119" s="197">
        <f t="shared" si="273"/>
        <v>-233.81200000000001</v>
      </c>
      <c r="DE119" s="197">
        <f t="shared" si="274"/>
        <v>-13.812000000000012</v>
      </c>
      <c r="DF119" s="196">
        <f t="shared" si="301"/>
        <v>0</v>
      </c>
      <c r="DG119" s="197">
        <f t="shared" si="302"/>
        <v>173.86919566063204</v>
      </c>
      <c r="DH119" s="197">
        <f t="shared" si="303"/>
        <v>184.78501989001683</v>
      </c>
      <c r="DI119" s="197">
        <f t="shared" si="304"/>
        <v>-184.78501989001683</v>
      </c>
      <c r="DJ119" s="199">
        <f t="shared" si="305"/>
        <v>-10.915824229384782</v>
      </c>
      <c r="DK119" s="196">
        <f t="shared" si="321"/>
        <v>0</v>
      </c>
      <c r="DL119" s="197">
        <f t="shared" si="306"/>
        <v>1373.2701084841974</v>
      </c>
      <c r="DM119" s="197">
        <f t="shared" si="306"/>
        <v>3408.6617986075653</v>
      </c>
      <c r="DN119" s="197">
        <f t="shared" si="306"/>
        <v>-3408.6617986075653</v>
      </c>
      <c r="DO119" s="199">
        <f t="shared" si="306"/>
        <v>-2035.3916901233683</v>
      </c>
    </row>
    <row r="120" spans="2:119" x14ac:dyDescent="0.3">
      <c r="B120" s="204">
        <f t="shared" si="307"/>
        <v>8</v>
      </c>
      <c r="C120" s="747">
        <f>'Energy NPV'!$D46*$E$109</f>
        <v>12.54</v>
      </c>
      <c r="D120" s="197">
        <f>'Energy margins'!$L$12</f>
        <v>55</v>
      </c>
      <c r="E120" s="197">
        <f t="shared" si="308"/>
        <v>689.69999999999993</v>
      </c>
      <c r="F120" s="197">
        <f>'Margins summary'!$S$14</f>
        <v>220</v>
      </c>
      <c r="G120" s="197">
        <f t="shared" si="275"/>
        <v>909.69999999999993</v>
      </c>
      <c r="H120" s="197"/>
      <c r="I120" s="897">
        <f>'Energy NPV'!U46</f>
        <v>233.81200000000001</v>
      </c>
      <c r="J120" s="197"/>
      <c r="K120" s="197">
        <f t="shared" si="260"/>
        <v>233.81200000000001</v>
      </c>
      <c r="L120" s="197">
        <f t="shared" si="261"/>
        <v>455.88799999999992</v>
      </c>
      <c r="M120" s="197">
        <f t="shared" si="262"/>
        <v>675.88799999999992</v>
      </c>
      <c r="N120" s="196">
        <f t="shared" si="276"/>
        <v>524.11531576546292</v>
      </c>
      <c r="O120" s="197">
        <f t="shared" si="276"/>
        <v>167.18191890445391</v>
      </c>
      <c r="P120" s="197">
        <f t="shared" si="277"/>
        <v>177.67790374040084</v>
      </c>
      <c r="Q120" s="197">
        <f t="shared" si="277"/>
        <v>346.43741202506214</v>
      </c>
      <c r="R120" s="199">
        <f t="shared" si="277"/>
        <v>513.61933092951608</v>
      </c>
      <c r="S120" s="196">
        <f t="shared" si="309"/>
        <v>3643.7912922539535</v>
      </c>
      <c r="T120" s="197">
        <f t="shared" si="278"/>
        <v>1540.4520273886512</v>
      </c>
      <c r="U120" s="197">
        <f t="shared" si="278"/>
        <v>3586.3397023479661</v>
      </c>
      <c r="V120" s="197">
        <f t="shared" si="278"/>
        <v>57.451589905986737</v>
      </c>
      <c r="W120" s="199">
        <f t="shared" si="278"/>
        <v>1597.9036172946376</v>
      </c>
      <c r="Z120" s="204">
        <f t="shared" si="310"/>
        <v>8</v>
      </c>
      <c r="AA120" s="747">
        <f>'Energy NPV'!$D46*$AB$109</f>
        <v>18.809999999999999</v>
      </c>
      <c r="AB120" s="197">
        <f>'Energy margins'!$L$12</f>
        <v>55</v>
      </c>
      <c r="AC120" s="197">
        <f t="shared" si="311"/>
        <v>1034.55</v>
      </c>
      <c r="AD120" s="197">
        <f>'Margins summary'!$S$14</f>
        <v>220</v>
      </c>
      <c r="AE120" s="197">
        <f t="shared" si="279"/>
        <v>1254.55</v>
      </c>
      <c r="AF120" s="197"/>
      <c r="AG120" s="897">
        <f>'Energy NPV'!U46</f>
        <v>233.81200000000001</v>
      </c>
      <c r="AH120" s="197"/>
      <c r="AI120" s="197">
        <f t="shared" si="263"/>
        <v>233.81200000000001</v>
      </c>
      <c r="AJ120" s="197">
        <f t="shared" si="264"/>
        <v>800.73799999999994</v>
      </c>
      <c r="AK120" s="197">
        <f t="shared" si="265"/>
        <v>1020.7379999999999</v>
      </c>
      <c r="AL120" s="196">
        <f t="shared" si="280"/>
        <v>786.17297364819456</v>
      </c>
      <c r="AM120" s="197">
        <f t="shared" si="281"/>
        <v>167.18191890445391</v>
      </c>
      <c r="AN120" s="197">
        <f t="shared" si="282"/>
        <v>177.67790374040084</v>
      </c>
      <c r="AO120" s="197">
        <f t="shared" si="283"/>
        <v>608.49506990779366</v>
      </c>
      <c r="AP120" s="199">
        <f t="shared" si="284"/>
        <v>775.6769888122476</v>
      </c>
      <c r="AQ120" s="196">
        <f t="shared" si="312"/>
        <v>5465.6869383809308</v>
      </c>
      <c r="AR120" s="197">
        <f t="shared" si="285"/>
        <v>1540.4520273886512</v>
      </c>
      <c r="AS120" s="197">
        <f t="shared" si="285"/>
        <v>3586.3397023479661</v>
      </c>
      <c r="AT120" s="197">
        <f t="shared" si="285"/>
        <v>1879.3472360329638</v>
      </c>
      <c r="AU120" s="199">
        <f t="shared" si="285"/>
        <v>3419.7992634216148</v>
      </c>
      <c r="AX120" s="204">
        <f t="shared" si="313"/>
        <v>8</v>
      </c>
      <c r="AY120" s="747">
        <f>'Energy NPV'!$D46*$AZ$109</f>
        <v>6.27</v>
      </c>
      <c r="AZ120" s="197">
        <f>'Energy margins'!$L$12</f>
        <v>55</v>
      </c>
      <c r="BA120" s="197">
        <f t="shared" si="314"/>
        <v>344.84999999999997</v>
      </c>
      <c r="BB120" s="197">
        <f>'Margins summary'!$S$14</f>
        <v>220</v>
      </c>
      <c r="BC120" s="197">
        <f t="shared" si="286"/>
        <v>564.84999999999991</v>
      </c>
      <c r="BD120" s="197"/>
      <c r="BE120" s="897">
        <f>'Energy NPV'!U46</f>
        <v>233.81200000000001</v>
      </c>
      <c r="BF120" s="197"/>
      <c r="BG120" s="197">
        <f t="shared" si="266"/>
        <v>233.81200000000001</v>
      </c>
      <c r="BH120" s="197">
        <f t="shared" si="267"/>
        <v>111.03799999999995</v>
      </c>
      <c r="BI120" s="197">
        <f t="shared" si="268"/>
        <v>331.0379999999999</v>
      </c>
      <c r="BJ120" s="196">
        <f t="shared" si="287"/>
        <v>262.05765788273146</v>
      </c>
      <c r="BK120" s="197">
        <f t="shared" si="288"/>
        <v>167.18191890445391</v>
      </c>
      <c r="BL120" s="197">
        <f t="shared" si="289"/>
        <v>177.67790374040084</v>
      </c>
      <c r="BM120" s="197">
        <f t="shared" si="290"/>
        <v>84.379754142330668</v>
      </c>
      <c r="BN120" s="199">
        <f t="shared" si="291"/>
        <v>251.56167304678453</v>
      </c>
      <c r="BO120" s="196">
        <f t="shared" si="315"/>
        <v>1821.8956461269768</v>
      </c>
      <c r="BP120" s="197">
        <f t="shared" si="292"/>
        <v>1540.4520273886512</v>
      </c>
      <c r="BQ120" s="197">
        <f t="shared" si="292"/>
        <v>3586.3397023479661</v>
      </c>
      <c r="BR120" s="197">
        <f t="shared" si="292"/>
        <v>-1764.44405622099</v>
      </c>
      <c r="BS120" s="199">
        <f t="shared" si="292"/>
        <v>-223.99202883233912</v>
      </c>
      <c r="BV120" s="204">
        <f t="shared" si="316"/>
        <v>8</v>
      </c>
      <c r="BW120" s="747">
        <f>'Energy NPV'!$D46*$BX$109</f>
        <v>25.08</v>
      </c>
      <c r="BX120" s="197">
        <f>'Energy margins'!$L$12</f>
        <v>55</v>
      </c>
      <c r="BY120" s="197">
        <f t="shared" si="317"/>
        <v>1379.3999999999999</v>
      </c>
      <c r="BZ120" s="197">
        <f>'Margins summary'!$S$14</f>
        <v>220</v>
      </c>
      <c r="CA120" s="197">
        <f t="shared" si="293"/>
        <v>1599.3999999999999</v>
      </c>
      <c r="CB120" s="197"/>
      <c r="CC120" s="897">
        <f>'Energy NPV'!U46</f>
        <v>233.81200000000001</v>
      </c>
      <c r="CD120" s="197"/>
      <c r="CE120" s="197">
        <f t="shared" si="269"/>
        <v>233.81200000000001</v>
      </c>
      <c r="CF120" s="197">
        <f t="shared" si="270"/>
        <v>1145.5879999999997</v>
      </c>
      <c r="CG120" s="197">
        <f t="shared" si="271"/>
        <v>1365.5879999999997</v>
      </c>
      <c r="CH120" s="196">
        <f t="shared" si="294"/>
        <v>1048.2306315309258</v>
      </c>
      <c r="CI120" s="197">
        <f t="shared" si="295"/>
        <v>167.18191890445391</v>
      </c>
      <c r="CJ120" s="197">
        <f t="shared" si="296"/>
        <v>177.67790374040084</v>
      </c>
      <c r="CK120" s="197">
        <f t="shared" si="297"/>
        <v>870.55272779052507</v>
      </c>
      <c r="CL120" s="199">
        <f t="shared" si="298"/>
        <v>1037.7346466949789</v>
      </c>
      <c r="CM120" s="196">
        <f t="shared" si="318"/>
        <v>7287.5825845079071</v>
      </c>
      <c r="CN120" s="197">
        <f t="shared" si="299"/>
        <v>1540.4520273886512</v>
      </c>
      <c r="CO120" s="197">
        <f t="shared" si="299"/>
        <v>3586.3397023479661</v>
      </c>
      <c r="CP120" s="197">
        <f t="shared" si="299"/>
        <v>3701.2428821599397</v>
      </c>
      <c r="CQ120" s="199">
        <f t="shared" si="299"/>
        <v>5241.6949095485907</v>
      </c>
      <c r="CT120" s="204">
        <f t="shared" si="319"/>
        <v>8</v>
      </c>
      <c r="CU120" s="747">
        <f>'Energy NPV'!$D46*$CV$109</f>
        <v>0</v>
      </c>
      <c r="CV120" s="197">
        <f>'Energy margins'!$L$12</f>
        <v>55</v>
      </c>
      <c r="CW120" s="197">
        <f t="shared" si="320"/>
        <v>0</v>
      </c>
      <c r="CX120" s="197">
        <f>'Margins summary'!$S$14</f>
        <v>220</v>
      </c>
      <c r="CY120" s="197">
        <f t="shared" si="300"/>
        <v>220</v>
      </c>
      <c r="CZ120" s="197"/>
      <c r="DA120" s="897">
        <f>'Energy NPV'!U46</f>
        <v>233.81200000000001</v>
      </c>
      <c r="DB120" s="197"/>
      <c r="DC120" s="197">
        <f t="shared" si="272"/>
        <v>233.81200000000001</v>
      </c>
      <c r="DD120" s="197">
        <f t="shared" si="273"/>
        <v>-233.81200000000001</v>
      </c>
      <c r="DE120" s="197">
        <f t="shared" si="274"/>
        <v>-13.812000000000012</v>
      </c>
      <c r="DF120" s="196">
        <f t="shared" si="301"/>
        <v>0</v>
      </c>
      <c r="DG120" s="197">
        <f t="shared" si="302"/>
        <v>167.18191890445391</v>
      </c>
      <c r="DH120" s="197">
        <f t="shared" si="303"/>
        <v>177.67790374040084</v>
      </c>
      <c r="DI120" s="197">
        <f t="shared" si="304"/>
        <v>-177.67790374040084</v>
      </c>
      <c r="DJ120" s="199">
        <f t="shared" si="305"/>
        <v>-10.495984835946906</v>
      </c>
      <c r="DK120" s="196">
        <f t="shared" si="321"/>
        <v>0</v>
      </c>
      <c r="DL120" s="197">
        <f t="shared" si="306"/>
        <v>1540.4520273886512</v>
      </c>
      <c r="DM120" s="197">
        <f t="shared" si="306"/>
        <v>3586.3397023479661</v>
      </c>
      <c r="DN120" s="197">
        <f t="shared" si="306"/>
        <v>-3586.3397023479661</v>
      </c>
      <c r="DO120" s="199">
        <f t="shared" si="306"/>
        <v>-2045.8876749593153</v>
      </c>
    </row>
    <row r="121" spans="2:119" x14ac:dyDescent="0.3">
      <c r="B121" s="204">
        <f t="shared" si="307"/>
        <v>9</v>
      </c>
      <c r="C121" s="747">
        <f>'Energy NPV'!$D47*$E$109</f>
        <v>12.54</v>
      </c>
      <c r="D121" s="197">
        <f>'Energy margins'!$L$12</f>
        <v>55</v>
      </c>
      <c r="E121" s="197">
        <f t="shared" si="308"/>
        <v>689.69999999999993</v>
      </c>
      <c r="F121" s="197">
        <f>'Margins summary'!$S$14</f>
        <v>220</v>
      </c>
      <c r="G121" s="197">
        <f t="shared" si="275"/>
        <v>909.69999999999993</v>
      </c>
      <c r="H121" s="197"/>
      <c r="I121" s="897">
        <f>'Energy NPV'!U47</f>
        <v>233.81200000000001</v>
      </c>
      <c r="J121" s="197"/>
      <c r="K121" s="197">
        <f t="shared" si="260"/>
        <v>233.81200000000001</v>
      </c>
      <c r="L121" s="197">
        <f t="shared" si="261"/>
        <v>455.88799999999992</v>
      </c>
      <c r="M121" s="197">
        <f t="shared" si="262"/>
        <v>675.88799999999992</v>
      </c>
      <c r="N121" s="196">
        <f t="shared" si="276"/>
        <v>503.95703438986817</v>
      </c>
      <c r="O121" s="197">
        <f t="shared" si="276"/>
        <v>160.75184510043644</v>
      </c>
      <c r="P121" s="197">
        <f t="shared" si="277"/>
        <v>170.84413821192385</v>
      </c>
      <c r="Q121" s="197">
        <f t="shared" si="277"/>
        <v>333.11289617794432</v>
      </c>
      <c r="R121" s="199">
        <f t="shared" si="277"/>
        <v>493.86474127838073</v>
      </c>
      <c r="S121" s="196">
        <f t="shared" si="309"/>
        <v>4147.7483266438221</v>
      </c>
      <c r="T121" s="197">
        <f t="shared" si="278"/>
        <v>1701.2038724890876</v>
      </c>
      <c r="U121" s="197">
        <f t="shared" si="278"/>
        <v>3757.1838405598901</v>
      </c>
      <c r="V121" s="197">
        <f t="shared" si="278"/>
        <v>390.56448608393106</v>
      </c>
      <c r="W121" s="199">
        <f t="shared" si="278"/>
        <v>2091.7683585730183</v>
      </c>
      <c r="Z121" s="204">
        <f t="shared" si="310"/>
        <v>9</v>
      </c>
      <c r="AA121" s="747">
        <f>'Energy NPV'!$D47*$AB$109</f>
        <v>18.809999999999999</v>
      </c>
      <c r="AB121" s="197">
        <f>'Energy margins'!$L$12</f>
        <v>55</v>
      </c>
      <c r="AC121" s="197">
        <f t="shared" si="311"/>
        <v>1034.55</v>
      </c>
      <c r="AD121" s="197">
        <f>'Margins summary'!$S$14</f>
        <v>220</v>
      </c>
      <c r="AE121" s="197">
        <f t="shared" si="279"/>
        <v>1254.55</v>
      </c>
      <c r="AF121" s="197"/>
      <c r="AG121" s="897">
        <f>'Energy NPV'!U47</f>
        <v>233.81200000000001</v>
      </c>
      <c r="AH121" s="197"/>
      <c r="AI121" s="197">
        <f t="shared" si="263"/>
        <v>233.81200000000001</v>
      </c>
      <c r="AJ121" s="197">
        <f t="shared" si="264"/>
        <v>800.73799999999994</v>
      </c>
      <c r="AK121" s="197">
        <f t="shared" si="265"/>
        <v>1020.7379999999999</v>
      </c>
      <c r="AL121" s="196">
        <f t="shared" si="280"/>
        <v>755.93555158480228</v>
      </c>
      <c r="AM121" s="197">
        <f t="shared" si="281"/>
        <v>160.75184510043644</v>
      </c>
      <c r="AN121" s="197">
        <f t="shared" si="282"/>
        <v>170.84413821192385</v>
      </c>
      <c r="AO121" s="197">
        <f t="shared" si="283"/>
        <v>585.09141337287849</v>
      </c>
      <c r="AP121" s="199">
        <f t="shared" si="284"/>
        <v>745.8432584733149</v>
      </c>
      <c r="AQ121" s="196">
        <f t="shared" si="312"/>
        <v>6221.6224899657327</v>
      </c>
      <c r="AR121" s="197">
        <f t="shared" si="285"/>
        <v>1701.2038724890876</v>
      </c>
      <c r="AS121" s="197">
        <f t="shared" si="285"/>
        <v>3757.1838405598901</v>
      </c>
      <c r="AT121" s="197">
        <f t="shared" si="285"/>
        <v>2464.4386494058422</v>
      </c>
      <c r="AU121" s="199">
        <f t="shared" si="285"/>
        <v>4165.6425218949298</v>
      </c>
      <c r="AX121" s="204">
        <f t="shared" si="313"/>
        <v>9</v>
      </c>
      <c r="AY121" s="747">
        <f>'Energy NPV'!$D47*$AZ$109</f>
        <v>6.27</v>
      </c>
      <c r="AZ121" s="197">
        <f>'Energy margins'!$L$12</f>
        <v>55</v>
      </c>
      <c r="BA121" s="197">
        <f t="shared" si="314"/>
        <v>344.84999999999997</v>
      </c>
      <c r="BB121" s="197">
        <f>'Margins summary'!$S$14</f>
        <v>220</v>
      </c>
      <c r="BC121" s="197">
        <f t="shared" si="286"/>
        <v>564.84999999999991</v>
      </c>
      <c r="BD121" s="197"/>
      <c r="BE121" s="897">
        <f>'Energy NPV'!U47</f>
        <v>233.81200000000001</v>
      </c>
      <c r="BF121" s="197"/>
      <c r="BG121" s="197">
        <f t="shared" si="266"/>
        <v>233.81200000000001</v>
      </c>
      <c r="BH121" s="197">
        <f t="shared" si="267"/>
        <v>111.03799999999995</v>
      </c>
      <c r="BI121" s="197">
        <f t="shared" si="268"/>
        <v>331.0379999999999</v>
      </c>
      <c r="BJ121" s="196">
        <f t="shared" si="287"/>
        <v>251.97851719493408</v>
      </c>
      <c r="BK121" s="197">
        <f t="shared" si="288"/>
        <v>160.75184510043644</v>
      </c>
      <c r="BL121" s="197">
        <f t="shared" si="289"/>
        <v>170.84413821192385</v>
      </c>
      <c r="BM121" s="197">
        <f t="shared" si="290"/>
        <v>81.134378983010237</v>
      </c>
      <c r="BN121" s="199">
        <f t="shared" si="291"/>
        <v>241.88622408344662</v>
      </c>
      <c r="BO121" s="196">
        <f t="shared" si="315"/>
        <v>2073.8741633219111</v>
      </c>
      <c r="BP121" s="197">
        <f t="shared" si="292"/>
        <v>1701.2038724890876</v>
      </c>
      <c r="BQ121" s="197">
        <f t="shared" si="292"/>
        <v>3757.1838405598901</v>
      </c>
      <c r="BR121" s="197">
        <f t="shared" si="292"/>
        <v>-1683.3096772379797</v>
      </c>
      <c r="BS121" s="199">
        <f t="shared" si="292"/>
        <v>17.894195251107504</v>
      </c>
      <c r="BV121" s="204">
        <f t="shared" si="316"/>
        <v>9</v>
      </c>
      <c r="BW121" s="747">
        <f>'Energy NPV'!$D47*$BX$109</f>
        <v>25.08</v>
      </c>
      <c r="BX121" s="197">
        <f>'Energy margins'!$L$12</f>
        <v>55</v>
      </c>
      <c r="BY121" s="197">
        <f t="shared" si="317"/>
        <v>1379.3999999999999</v>
      </c>
      <c r="BZ121" s="197">
        <f>'Margins summary'!$S$14</f>
        <v>220</v>
      </c>
      <c r="CA121" s="197">
        <f t="shared" si="293"/>
        <v>1599.3999999999999</v>
      </c>
      <c r="CB121" s="197"/>
      <c r="CC121" s="897">
        <f>'Energy NPV'!U47</f>
        <v>233.81200000000001</v>
      </c>
      <c r="CD121" s="197"/>
      <c r="CE121" s="197">
        <f t="shared" si="269"/>
        <v>233.81200000000001</v>
      </c>
      <c r="CF121" s="197">
        <f t="shared" si="270"/>
        <v>1145.5879999999997</v>
      </c>
      <c r="CG121" s="197">
        <f t="shared" si="271"/>
        <v>1365.5879999999997</v>
      </c>
      <c r="CH121" s="196">
        <f t="shared" si="294"/>
        <v>1007.9140687797363</v>
      </c>
      <c r="CI121" s="197">
        <f t="shared" si="295"/>
        <v>160.75184510043644</v>
      </c>
      <c r="CJ121" s="197">
        <f t="shared" si="296"/>
        <v>170.84413821192385</v>
      </c>
      <c r="CK121" s="197">
        <f t="shared" si="297"/>
        <v>837.06993056781243</v>
      </c>
      <c r="CL121" s="199">
        <f t="shared" si="298"/>
        <v>997.82177566824885</v>
      </c>
      <c r="CM121" s="196">
        <f t="shared" si="318"/>
        <v>8295.4966532876442</v>
      </c>
      <c r="CN121" s="197">
        <f t="shared" si="299"/>
        <v>1701.2038724890876</v>
      </c>
      <c r="CO121" s="197">
        <f t="shared" si="299"/>
        <v>3757.1838405598901</v>
      </c>
      <c r="CP121" s="197">
        <f t="shared" si="299"/>
        <v>4538.3128127277523</v>
      </c>
      <c r="CQ121" s="199">
        <f t="shared" si="299"/>
        <v>6239.5166852168395</v>
      </c>
      <c r="CT121" s="204">
        <f t="shared" si="319"/>
        <v>9</v>
      </c>
      <c r="CU121" s="747">
        <f>'Energy NPV'!$D47*$CV$109</f>
        <v>0</v>
      </c>
      <c r="CV121" s="197">
        <f>'Energy margins'!$L$12</f>
        <v>55</v>
      </c>
      <c r="CW121" s="197">
        <f t="shared" si="320"/>
        <v>0</v>
      </c>
      <c r="CX121" s="197">
        <f>'Margins summary'!$S$14</f>
        <v>220</v>
      </c>
      <c r="CY121" s="197">
        <f t="shared" si="300"/>
        <v>220</v>
      </c>
      <c r="CZ121" s="197"/>
      <c r="DA121" s="897">
        <f>'Energy NPV'!U47</f>
        <v>233.81200000000001</v>
      </c>
      <c r="DB121" s="197"/>
      <c r="DC121" s="197">
        <f t="shared" si="272"/>
        <v>233.81200000000001</v>
      </c>
      <c r="DD121" s="197">
        <f t="shared" si="273"/>
        <v>-233.81200000000001</v>
      </c>
      <c r="DE121" s="197">
        <f t="shared" si="274"/>
        <v>-13.812000000000012</v>
      </c>
      <c r="DF121" s="196">
        <f t="shared" si="301"/>
        <v>0</v>
      </c>
      <c r="DG121" s="197">
        <f t="shared" si="302"/>
        <v>160.75184510043644</v>
      </c>
      <c r="DH121" s="197">
        <f t="shared" si="303"/>
        <v>170.84413821192385</v>
      </c>
      <c r="DI121" s="197">
        <f t="shared" si="304"/>
        <v>-170.84413821192385</v>
      </c>
      <c r="DJ121" s="199">
        <f t="shared" si="305"/>
        <v>-10.092293111487409</v>
      </c>
      <c r="DK121" s="196">
        <f t="shared" si="321"/>
        <v>0</v>
      </c>
      <c r="DL121" s="197">
        <f t="shared" si="306"/>
        <v>1701.2038724890876</v>
      </c>
      <c r="DM121" s="197">
        <f t="shared" si="306"/>
        <v>3757.1838405598901</v>
      </c>
      <c r="DN121" s="197">
        <f t="shared" si="306"/>
        <v>-3757.1838405598901</v>
      </c>
      <c r="DO121" s="199">
        <f t="shared" si="306"/>
        <v>-2055.9799680708029</v>
      </c>
    </row>
    <row r="122" spans="2:119" x14ac:dyDescent="0.3">
      <c r="B122" s="204">
        <f t="shared" si="307"/>
        <v>10</v>
      </c>
      <c r="C122" s="747">
        <f>'Energy NPV'!$D48*$E$109</f>
        <v>12.54</v>
      </c>
      <c r="D122" s="197">
        <f>'Energy margins'!$L$12</f>
        <v>55</v>
      </c>
      <c r="E122" s="197">
        <f t="shared" si="308"/>
        <v>689.69999999999993</v>
      </c>
      <c r="F122" s="197">
        <f>'Margins summary'!$S$14</f>
        <v>220</v>
      </c>
      <c r="G122" s="197">
        <f t="shared" si="275"/>
        <v>909.69999999999993</v>
      </c>
      <c r="H122" s="197"/>
      <c r="I122" s="897">
        <f>'Energy NPV'!U48</f>
        <v>233.81200000000001</v>
      </c>
      <c r="J122" s="197"/>
      <c r="K122" s="197">
        <f t="shared" si="260"/>
        <v>233.81200000000001</v>
      </c>
      <c r="L122" s="197">
        <f t="shared" si="261"/>
        <v>455.88799999999992</v>
      </c>
      <c r="M122" s="197">
        <f t="shared" si="262"/>
        <v>675.88799999999992</v>
      </c>
      <c r="N122" s="196">
        <f t="shared" si="276"/>
        <v>484.57407152871934</v>
      </c>
      <c r="O122" s="197">
        <f t="shared" si="276"/>
        <v>154.5690818273427</v>
      </c>
      <c r="P122" s="197">
        <f t="shared" si="277"/>
        <v>164.27320981915753</v>
      </c>
      <c r="Q122" s="197">
        <f t="shared" si="277"/>
        <v>320.30086170956184</v>
      </c>
      <c r="R122" s="199">
        <f t="shared" si="277"/>
        <v>474.86994353690454</v>
      </c>
      <c r="S122" s="196">
        <f t="shared" si="309"/>
        <v>4632.3223981725414</v>
      </c>
      <c r="T122" s="197">
        <f t="shared" si="278"/>
        <v>1855.7729543164303</v>
      </c>
      <c r="U122" s="197">
        <f t="shared" si="278"/>
        <v>3921.4570503790478</v>
      </c>
      <c r="V122" s="197">
        <f t="shared" si="278"/>
        <v>710.8653477934929</v>
      </c>
      <c r="W122" s="199">
        <f t="shared" si="278"/>
        <v>2566.6383021099227</v>
      </c>
      <c r="Z122" s="204">
        <f t="shared" si="310"/>
        <v>10</v>
      </c>
      <c r="AA122" s="747">
        <f>'Energy NPV'!$D48*$AB$109</f>
        <v>18.809999999999999</v>
      </c>
      <c r="AB122" s="197">
        <f>'Energy margins'!$L$12</f>
        <v>55</v>
      </c>
      <c r="AC122" s="197">
        <f t="shared" si="311"/>
        <v>1034.55</v>
      </c>
      <c r="AD122" s="197">
        <f>'Margins summary'!$S$14</f>
        <v>220</v>
      </c>
      <c r="AE122" s="197">
        <f t="shared" si="279"/>
        <v>1254.55</v>
      </c>
      <c r="AF122" s="197"/>
      <c r="AG122" s="897">
        <f>'Energy NPV'!U48</f>
        <v>233.81200000000001</v>
      </c>
      <c r="AH122" s="197"/>
      <c r="AI122" s="197">
        <f t="shared" si="263"/>
        <v>233.81200000000001</v>
      </c>
      <c r="AJ122" s="197">
        <f t="shared" si="264"/>
        <v>800.73799999999994</v>
      </c>
      <c r="AK122" s="197">
        <f t="shared" si="265"/>
        <v>1020.7379999999999</v>
      </c>
      <c r="AL122" s="196">
        <f t="shared" si="280"/>
        <v>726.86110729307904</v>
      </c>
      <c r="AM122" s="197">
        <f t="shared" si="281"/>
        <v>154.5690818273427</v>
      </c>
      <c r="AN122" s="197">
        <f t="shared" si="282"/>
        <v>164.27320981915753</v>
      </c>
      <c r="AO122" s="197">
        <f t="shared" si="283"/>
        <v>562.58789747392154</v>
      </c>
      <c r="AP122" s="199">
        <f t="shared" si="284"/>
        <v>717.15697930126419</v>
      </c>
      <c r="AQ122" s="196">
        <f t="shared" si="312"/>
        <v>6948.4835972588116</v>
      </c>
      <c r="AR122" s="197">
        <f t="shared" si="285"/>
        <v>1855.7729543164303</v>
      </c>
      <c r="AS122" s="197">
        <f t="shared" si="285"/>
        <v>3921.4570503790478</v>
      </c>
      <c r="AT122" s="197">
        <f t="shared" si="285"/>
        <v>3027.0265468797638</v>
      </c>
      <c r="AU122" s="199">
        <f t="shared" si="285"/>
        <v>4882.7995011961939</v>
      </c>
      <c r="AX122" s="204">
        <f t="shared" si="313"/>
        <v>10</v>
      </c>
      <c r="AY122" s="747">
        <f>'Energy NPV'!$D48*$AZ$109</f>
        <v>6.27</v>
      </c>
      <c r="AZ122" s="197">
        <f>'Energy margins'!$L$12</f>
        <v>55</v>
      </c>
      <c r="BA122" s="197">
        <f t="shared" si="314"/>
        <v>344.84999999999997</v>
      </c>
      <c r="BB122" s="197">
        <f>'Margins summary'!$S$14</f>
        <v>220</v>
      </c>
      <c r="BC122" s="197">
        <f t="shared" si="286"/>
        <v>564.84999999999991</v>
      </c>
      <c r="BD122" s="197"/>
      <c r="BE122" s="897">
        <f>'Energy NPV'!U48</f>
        <v>233.81200000000001</v>
      </c>
      <c r="BF122" s="197"/>
      <c r="BG122" s="197">
        <f t="shared" si="266"/>
        <v>233.81200000000001</v>
      </c>
      <c r="BH122" s="197">
        <f t="shared" si="267"/>
        <v>111.03799999999995</v>
      </c>
      <c r="BI122" s="197">
        <f t="shared" si="268"/>
        <v>331.0379999999999</v>
      </c>
      <c r="BJ122" s="196">
        <f t="shared" si="287"/>
        <v>242.28703576435967</v>
      </c>
      <c r="BK122" s="197">
        <f t="shared" si="288"/>
        <v>154.5690818273427</v>
      </c>
      <c r="BL122" s="197">
        <f t="shared" si="289"/>
        <v>164.27320981915753</v>
      </c>
      <c r="BM122" s="197">
        <f t="shared" si="290"/>
        <v>78.013825945202143</v>
      </c>
      <c r="BN122" s="199">
        <f t="shared" si="291"/>
        <v>232.58290777254481</v>
      </c>
      <c r="BO122" s="196">
        <f t="shared" si="315"/>
        <v>2316.1611990862707</v>
      </c>
      <c r="BP122" s="197">
        <f t="shared" si="292"/>
        <v>1855.7729543164303</v>
      </c>
      <c r="BQ122" s="197">
        <f t="shared" si="292"/>
        <v>3921.4570503790478</v>
      </c>
      <c r="BR122" s="197">
        <f t="shared" si="292"/>
        <v>-1605.2958512927776</v>
      </c>
      <c r="BS122" s="199">
        <f t="shared" si="292"/>
        <v>250.47710302365232</v>
      </c>
      <c r="BV122" s="204">
        <f t="shared" si="316"/>
        <v>10</v>
      </c>
      <c r="BW122" s="747">
        <f>'Energy NPV'!$D48*$BX$109</f>
        <v>25.08</v>
      </c>
      <c r="BX122" s="197">
        <f>'Energy margins'!$L$12</f>
        <v>55</v>
      </c>
      <c r="BY122" s="197">
        <f t="shared" si="317"/>
        <v>1379.3999999999999</v>
      </c>
      <c r="BZ122" s="197">
        <f>'Margins summary'!$S$14</f>
        <v>220</v>
      </c>
      <c r="CA122" s="197">
        <f t="shared" si="293"/>
        <v>1599.3999999999999</v>
      </c>
      <c r="CB122" s="197"/>
      <c r="CC122" s="897">
        <f>'Energy NPV'!U48</f>
        <v>233.81200000000001</v>
      </c>
      <c r="CD122" s="197"/>
      <c r="CE122" s="197">
        <f t="shared" si="269"/>
        <v>233.81200000000001</v>
      </c>
      <c r="CF122" s="197">
        <f t="shared" si="270"/>
        <v>1145.5879999999997</v>
      </c>
      <c r="CG122" s="197">
        <f t="shared" si="271"/>
        <v>1365.5879999999997</v>
      </c>
      <c r="CH122" s="196">
        <f t="shared" si="294"/>
        <v>969.14814305743869</v>
      </c>
      <c r="CI122" s="197">
        <f t="shared" si="295"/>
        <v>154.5690818273427</v>
      </c>
      <c r="CJ122" s="197">
        <f t="shared" si="296"/>
        <v>164.27320981915753</v>
      </c>
      <c r="CK122" s="197">
        <f t="shared" si="297"/>
        <v>804.87493323828107</v>
      </c>
      <c r="CL122" s="199">
        <f t="shared" si="298"/>
        <v>959.44401506562383</v>
      </c>
      <c r="CM122" s="196">
        <f t="shared" si="318"/>
        <v>9264.6447963450828</v>
      </c>
      <c r="CN122" s="197">
        <f t="shared" si="299"/>
        <v>1855.7729543164303</v>
      </c>
      <c r="CO122" s="197">
        <f t="shared" si="299"/>
        <v>3921.4570503790478</v>
      </c>
      <c r="CP122" s="197">
        <f t="shared" si="299"/>
        <v>5343.1877459660336</v>
      </c>
      <c r="CQ122" s="199">
        <f t="shared" si="299"/>
        <v>7198.9607002824632</v>
      </c>
      <c r="CT122" s="204">
        <f t="shared" si="319"/>
        <v>10</v>
      </c>
      <c r="CU122" s="747">
        <f>'Energy NPV'!$D48*$CV$109</f>
        <v>0</v>
      </c>
      <c r="CV122" s="197">
        <f>'Energy margins'!$L$12</f>
        <v>55</v>
      </c>
      <c r="CW122" s="197">
        <f t="shared" si="320"/>
        <v>0</v>
      </c>
      <c r="CX122" s="197">
        <f>'Margins summary'!$S$14</f>
        <v>220</v>
      </c>
      <c r="CY122" s="197">
        <f t="shared" si="300"/>
        <v>220</v>
      </c>
      <c r="CZ122" s="197"/>
      <c r="DA122" s="897">
        <f>'Energy NPV'!U48</f>
        <v>233.81200000000001</v>
      </c>
      <c r="DB122" s="197"/>
      <c r="DC122" s="197">
        <f t="shared" si="272"/>
        <v>233.81200000000001</v>
      </c>
      <c r="DD122" s="197">
        <f t="shared" si="273"/>
        <v>-233.81200000000001</v>
      </c>
      <c r="DE122" s="197">
        <f t="shared" si="274"/>
        <v>-13.812000000000012</v>
      </c>
      <c r="DF122" s="196">
        <f t="shared" si="301"/>
        <v>0</v>
      </c>
      <c r="DG122" s="197">
        <f t="shared" si="302"/>
        <v>154.5690818273427</v>
      </c>
      <c r="DH122" s="197">
        <f t="shared" si="303"/>
        <v>164.27320981915753</v>
      </c>
      <c r="DI122" s="197">
        <f t="shared" si="304"/>
        <v>-164.27320981915753</v>
      </c>
      <c r="DJ122" s="199">
        <f t="shared" si="305"/>
        <v>-9.7041279918148149</v>
      </c>
      <c r="DK122" s="196">
        <f t="shared" si="321"/>
        <v>0</v>
      </c>
      <c r="DL122" s="197">
        <f t="shared" si="306"/>
        <v>1855.7729543164303</v>
      </c>
      <c r="DM122" s="197">
        <f t="shared" si="306"/>
        <v>3921.4570503790478</v>
      </c>
      <c r="DN122" s="197">
        <f t="shared" si="306"/>
        <v>-3921.4570503790478</v>
      </c>
      <c r="DO122" s="199">
        <f t="shared" si="306"/>
        <v>-2065.6840960626178</v>
      </c>
    </row>
    <row r="123" spans="2:119" x14ac:dyDescent="0.3">
      <c r="B123" s="204">
        <f t="shared" si="307"/>
        <v>11</v>
      </c>
      <c r="C123" s="747">
        <f>'Energy NPV'!$D49*$E$109</f>
        <v>12.54</v>
      </c>
      <c r="D123" s="197">
        <f>'Energy margins'!$L$12</f>
        <v>55</v>
      </c>
      <c r="E123" s="197">
        <f t="shared" si="308"/>
        <v>689.69999999999993</v>
      </c>
      <c r="F123" s="197">
        <f>'Margins summary'!$S$14</f>
        <v>220</v>
      </c>
      <c r="G123" s="197">
        <f t="shared" si="275"/>
        <v>909.69999999999993</v>
      </c>
      <c r="H123" s="197"/>
      <c r="I123" s="897">
        <f>'Energy NPV'!U49</f>
        <v>233.81200000000001</v>
      </c>
      <c r="J123" s="197"/>
      <c r="K123" s="197">
        <f t="shared" si="260"/>
        <v>233.81200000000001</v>
      </c>
      <c r="L123" s="197">
        <f t="shared" si="261"/>
        <v>455.88799999999992</v>
      </c>
      <c r="M123" s="197">
        <f t="shared" si="262"/>
        <v>675.88799999999992</v>
      </c>
      <c r="N123" s="196">
        <f t="shared" si="276"/>
        <v>465.9366072391532</v>
      </c>
      <c r="O123" s="197">
        <f t="shared" si="276"/>
        <v>148.62411714167567</v>
      </c>
      <c r="P123" s="197">
        <f t="shared" si="277"/>
        <v>157.95500944149762</v>
      </c>
      <c r="Q123" s="197">
        <f t="shared" si="277"/>
        <v>307.98159779765558</v>
      </c>
      <c r="R123" s="199">
        <f t="shared" si="277"/>
        <v>456.60571493933128</v>
      </c>
      <c r="S123" s="196">
        <f t="shared" si="309"/>
        <v>5098.2590054116945</v>
      </c>
      <c r="T123" s="197">
        <f t="shared" si="278"/>
        <v>2004.397071458106</v>
      </c>
      <c r="U123" s="197">
        <f t="shared" si="278"/>
        <v>4079.4120598205454</v>
      </c>
      <c r="V123" s="197">
        <f t="shared" si="278"/>
        <v>1018.8469455911485</v>
      </c>
      <c r="W123" s="199">
        <f t="shared" si="278"/>
        <v>3023.2440170492541</v>
      </c>
      <c r="Z123" s="204">
        <f t="shared" si="310"/>
        <v>11</v>
      </c>
      <c r="AA123" s="747">
        <f>'Energy NPV'!$D49*$AB$109</f>
        <v>18.809999999999999</v>
      </c>
      <c r="AB123" s="197">
        <f>'Energy margins'!$L$12</f>
        <v>55</v>
      </c>
      <c r="AC123" s="197">
        <f t="shared" si="311"/>
        <v>1034.55</v>
      </c>
      <c r="AD123" s="197">
        <f>'Margins summary'!$S$14</f>
        <v>220</v>
      </c>
      <c r="AE123" s="197">
        <f t="shared" si="279"/>
        <v>1254.55</v>
      </c>
      <c r="AF123" s="197"/>
      <c r="AG123" s="897">
        <f>'Energy NPV'!U49</f>
        <v>233.81200000000001</v>
      </c>
      <c r="AH123" s="197"/>
      <c r="AI123" s="197">
        <f t="shared" si="263"/>
        <v>233.81200000000001</v>
      </c>
      <c r="AJ123" s="197">
        <f t="shared" si="264"/>
        <v>800.73799999999994</v>
      </c>
      <c r="AK123" s="197">
        <f t="shared" si="265"/>
        <v>1020.7379999999999</v>
      </c>
      <c r="AL123" s="196">
        <f t="shared" si="280"/>
        <v>698.90491085872986</v>
      </c>
      <c r="AM123" s="197">
        <f t="shared" si="281"/>
        <v>148.62411714167567</v>
      </c>
      <c r="AN123" s="197">
        <f t="shared" si="282"/>
        <v>157.95500944149762</v>
      </c>
      <c r="AO123" s="197">
        <f t="shared" si="283"/>
        <v>540.94990141723224</v>
      </c>
      <c r="AP123" s="199">
        <f t="shared" si="284"/>
        <v>689.57401855890794</v>
      </c>
      <c r="AQ123" s="196">
        <f t="shared" si="312"/>
        <v>7647.3885081175413</v>
      </c>
      <c r="AR123" s="197">
        <f t="shared" si="285"/>
        <v>2004.397071458106</v>
      </c>
      <c r="AS123" s="197">
        <f t="shared" si="285"/>
        <v>4079.4120598205454</v>
      </c>
      <c r="AT123" s="197">
        <f t="shared" si="285"/>
        <v>3567.9764482969958</v>
      </c>
      <c r="AU123" s="199">
        <f t="shared" si="285"/>
        <v>5572.3735197551014</v>
      </c>
      <c r="AX123" s="204">
        <f t="shared" si="313"/>
        <v>11</v>
      </c>
      <c r="AY123" s="747">
        <f>'Energy NPV'!$D49*$AZ$109</f>
        <v>6.27</v>
      </c>
      <c r="AZ123" s="197">
        <f>'Energy margins'!$L$12</f>
        <v>55</v>
      </c>
      <c r="BA123" s="197">
        <f t="shared" si="314"/>
        <v>344.84999999999997</v>
      </c>
      <c r="BB123" s="197">
        <f>'Margins summary'!$S$14</f>
        <v>220</v>
      </c>
      <c r="BC123" s="197">
        <f t="shared" si="286"/>
        <v>564.84999999999991</v>
      </c>
      <c r="BD123" s="197"/>
      <c r="BE123" s="897">
        <f>'Energy NPV'!U49</f>
        <v>233.81200000000001</v>
      </c>
      <c r="BF123" s="197"/>
      <c r="BG123" s="197">
        <f t="shared" si="266"/>
        <v>233.81200000000001</v>
      </c>
      <c r="BH123" s="197">
        <f t="shared" si="267"/>
        <v>111.03799999999995</v>
      </c>
      <c r="BI123" s="197">
        <f t="shared" si="268"/>
        <v>331.0379999999999</v>
      </c>
      <c r="BJ123" s="196">
        <f t="shared" si="287"/>
        <v>232.9683036195766</v>
      </c>
      <c r="BK123" s="197">
        <f t="shared" si="288"/>
        <v>148.62411714167567</v>
      </c>
      <c r="BL123" s="197">
        <f t="shared" si="289"/>
        <v>157.95500944149762</v>
      </c>
      <c r="BM123" s="197">
        <f t="shared" si="290"/>
        <v>75.013294178078993</v>
      </c>
      <c r="BN123" s="199">
        <f t="shared" si="291"/>
        <v>223.63741131975462</v>
      </c>
      <c r="BO123" s="196">
        <f t="shared" si="315"/>
        <v>2549.1295027058472</v>
      </c>
      <c r="BP123" s="197">
        <f t="shared" si="292"/>
        <v>2004.397071458106</v>
      </c>
      <c r="BQ123" s="197">
        <f t="shared" si="292"/>
        <v>4079.4120598205454</v>
      </c>
      <c r="BR123" s="197">
        <f t="shared" si="292"/>
        <v>-1530.2825571146986</v>
      </c>
      <c r="BS123" s="199">
        <f t="shared" si="292"/>
        <v>474.11451434340694</v>
      </c>
      <c r="BV123" s="204">
        <f t="shared" si="316"/>
        <v>11</v>
      </c>
      <c r="BW123" s="747">
        <f>'Energy NPV'!$D49*$BX$109</f>
        <v>25.08</v>
      </c>
      <c r="BX123" s="197">
        <f>'Energy margins'!$L$12</f>
        <v>55</v>
      </c>
      <c r="BY123" s="197">
        <f t="shared" si="317"/>
        <v>1379.3999999999999</v>
      </c>
      <c r="BZ123" s="197">
        <f>'Margins summary'!$S$14</f>
        <v>220</v>
      </c>
      <c r="CA123" s="197">
        <f t="shared" si="293"/>
        <v>1599.3999999999999</v>
      </c>
      <c r="CB123" s="197"/>
      <c r="CC123" s="897">
        <f>'Energy NPV'!U49</f>
        <v>233.81200000000001</v>
      </c>
      <c r="CD123" s="197"/>
      <c r="CE123" s="197">
        <f t="shared" si="269"/>
        <v>233.81200000000001</v>
      </c>
      <c r="CF123" s="197">
        <f t="shared" si="270"/>
        <v>1145.5879999999997</v>
      </c>
      <c r="CG123" s="197">
        <f t="shared" si="271"/>
        <v>1365.5879999999997</v>
      </c>
      <c r="CH123" s="196">
        <f t="shared" si="294"/>
        <v>931.87321447830641</v>
      </c>
      <c r="CI123" s="197">
        <f t="shared" si="295"/>
        <v>148.62411714167567</v>
      </c>
      <c r="CJ123" s="197">
        <f t="shared" si="296"/>
        <v>157.95500944149762</v>
      </c>
      <c r="CK123" s="197">
        <f t="shared" si="297"/>
        <v>773.91820503680879</v>
      </c>
      <c r="CL123" s="199">
        <f t="shared" si="298"/>
        <v>922.54232217848437</v>
      </c>
      <c r="CM123" s="196">
        <f t="shared" si="318"/>
        <v>10196.518010823389</v>
      </c>
      <c r="CN123" s="197">
        <f t="shared" si="299"/>
        <v>2004.397071458106</v>
      </c>
      <c r="CO123" s="197">
        <f t="shared" si="299"/>
        <v>4079.4120598205454</v>
      </c>
      <c r="CP123" s="197">
        <f t="shared" si="299"/>
        <v>6117.1059510028426</v>
      </c>
      <c r="CQ123" s="199">
        <f t="shared" si="299"/>
        <v>8121.5030224609472</v>
      </c>
      <c r="CT123" s="204">
        <f t="shared" si="319"/>
        <v>11</v>
      </c>
      <c r="CU123" s="747">
        <f>'Energy NPV'!$D49*$CV$109</f>
        <v>0</v>
      </c>
      <c r="CV123" s="197">
        <f>'Energy margins'!$L$12</f>
        <v>55</v>
      </c>
      <c r="CW123" s="197">
        <f t="shared" si="320"/>
        <v>0</v>
      </c>
      <c r="CX123" s="197">
        <f>'Margins summary'!$S$14</f>
        <v>220</v>
      </c>
      <c r="CY123" s="197">
        <f t="shared" si="300"/>
        <v>220</v>
      </c>
      <c r="CZ123" s="197"/>
      <c r="DA123" s="897">
        <f>'Energy NPV'!U49</f>
        <v>233.81200000000001</v>
      </c>
      <c r="DB123" s="197"/>
      <c r="DC123" s="197">
        <f t="shared" si="272"/>
        <v>233.81200000000001</v>
      </c>
      <c r="DD123" s="197">
        <f t="shared" si="273"/>
        <v>-233.81200000000001</v>
      </c>
      <c r="DE123" s="197">
        <f t="shared" si="274"/>
        <v>-13.812000000000012</v>
      </c>
      <c r="DF123" s="196">
        <f t="shared" si="301"/>
        <v>0</v>
      </c>
      <c r="DG123" s="197">
        <f t="shared" si="302"/>
        <v>148.62411714167567</v>
      </c>
      <c r="DH123" s="197">
        <f t="shared" si="303"/>
        <v>157.95500944149762</v>
      </c>
      <c r="DI123" s="197">
        <f t="shared" si="304"/>
        <v>-157.95500944149762</v>
      </c>
      <c r="DJ123" s="199">
        <f t="shared" si="305"/>
        <v>-9.3308922998219384</v>
      </c>
      <c r="DK123" s="196">
        <f t="shared" si="321"/>
        <v>0</v>
      </c>
      <c r="DL123" s="197">
        <f t="shared" si="306"/>
        <v>2004.397071458106</v>
      </c>
      <c r="DM123" s="197">
        <f t="shared" si="306"/>
        <v>4079.4120598205454</v>
      </c>
      <c r="DN123" s="197">
        <f t="shared" si="306"/>
        <v>-4079.4120598205454</v>
      </c>
      <c r="DO123" s="199">
        <f t="shared" si="306"/>
        <v>-2075.0149883624399</v>
      </c>
    </row>
    <row r="124" spans="2:119" x14ac:dyDescent="0.3">
      <c r="B124" s="204">
        <f t="shared" si="307"/>
        <v>12</v>
      </c>
      <c r="C124" s="747">
        <f>'Energy NPV'!$D50*$E$109</f>
        <v>12.54</v>
      </c>
      <c r="D124" s="197">
        <f>'Energy margins'!$L$12</f>
        <v>55</v>
      </c>
      <c r="E124" s="197">
        <f t="shared" si="308"/>
        <v>689.69999999999993</v>
      </c>
      <c r="F124" s="197">
        <f>'Margins summary'!$S$14</f>
        <v>220</v>
      </c>
      <c r="G124" s="197">
        <f t="shared" si="275"/>
        <v>909.69999999999993</v>
      </c>
      <c r="H124" s="197"/>
      <c r="I124" s="897">
        <f>'Energy NPV'!U50</f>
        <v>233.81200000000001</v>
      </c>
      <c r="J124" s="197"/>
      <c r="K124" s="197">
        <f t="shared" si="260"/>
        <v>233.81200000000001</v>
      </c>
      <c r="L124" s="197">
        <f t="shared" si="261"/>
        <v>455.88799999999992</v>
      </c>
      <c r="M124" s="197">
        <f t="shared" si="262"/>
        <v>675.88799999999992</v>
      </c>
      <c r="N124" s="196">
        <f t="shared" si="276"/>
        <v>448.01596849918582</v>
      </c>
      <c r="O124" s="197">
        <f t="shared" si="276"/>
        <v>142.90780494391893</v>
      </c>
      <c r="P124" s="197">
        <f t="shared" si="277"/>
        <v>151.8798167706708</v>
      </c>
      <c r="Q124" s="197">
        <f t="shared" si="277"/>
        <v>296.13615172851502</v>
      </c>
      <c r="R124" s="199">
        <f t="shared" si="277"/>
        <v>439.04395667243398</v>
      </c>
      <c r="S124" s="196">
        <f t="shared" si="309"/>
        <v>5546.2749739108804</v>
      </c>
      <c r="T124" s="197">
        <f t="shared" si="278"/>
        <v>2147.304876402025</v>
      </c>
      <c r="U124" s="197">
        <f t="shared" si="278"/>
        <v>4231.2918765912164</v>
      </c>
      <c r="V124" s="197">
        <f t="shared" si="278"/>
        <v>1314.9830973196636</v>
      </c>
      <c r="W124" s="199">
        <f t="shared" si="278"/>
        <v>3462.2879737216881</v>
      </c>
      <c r="Z124" s="204">
        <f t="shared" si="310"/>
        <v>12</v>
      </c>
      <c r="AA124" s="747">
        <f>'Energy NPV'!$D50*$AB$109</f>
        <v>18.809999999999999</v>
      </c>
      <c r="AB124" s="197">
        <f>'Energy margins'!$L$12</f>
        <v>55</v>
      </c>
      <c r="AC124" s="197">
        <f t="shared" si="311"/>
        <v>1034.55</v>
      </c>
      <c r="AD124" s="197">
        <f>'Margins summary'!$S$14</f>
        <v>220</v>
      </c>
      <c r="AE124" s="197">
        <f t="shared" si="279"/>
        <v>1254.55</v>
      </c>
      <c r="AF124" s="197"/>
      <c r="AG124" s="897">
        <f>'Energy NPV'!U50</f>
        <v>233.81200000000001</v>
      </c>
      <c r="AH124" s="197"/>
      <c r="AI124" s="197">
        <f t="shared" si="263"/>
        <v>233.81200000000001</v>
      </c>
      <c r="AJ124" s="197">
        <f t="shared" si="264"/>
        <v>800.73799999999994</v>
      </c>
      <c r="AK124" s="197">
        <f t="shared" si="265"/>
        <v>1020.7379999999999</v>
      </c>
      <c r="AL124" s="196">
        <f t="shared" si="280"/>
        <v>672.02395274877881</v>
      </c>
      <c r="AM124" s="197">
        <f t="shared" si="281"/>
        <v>142.90780494391893</v>
      </c>
      <c r="AN124" s="197">
        <f t="shared" si="282"/>
        <v>151.8798167706708</v>
      </c>
      <c r="AO124" s="197">
        <f t="shared" si="283"/>
        <v>520.14413597810801</v>
      </c>
      <c r="AP124" s="199">
        <f t="shared" si="284"/>
        <v>663.05194092202692</v>
      </c>
      <c r="AQ124" s="196">
        <f t="shared" si="312"/>
        <v>8319.4124608663205</v>
      </c>
      <c r="AR124" s="197">
        <f t="shared" si="285"/>
        <v>2147.304876402025</v>
      </c>
      <c r="AS124" s="197">
        <f t="shared" si="285"/>
        <v>4231.2918765912164</v>
      </c>
      <c r="AT124" s="197">
        <f t="shared" si="285"/>
        <v>4088.1205842751037</v>
      </c>
      <c r="AU124" s="199">
        <f t="shared" si="285"/>
        <v>6235.4254606771283</v>
      </c>
      <c r="AX124" s="204">
        <f t="shared" si="313"/>
        <v>12</v>
      </c>
      <c r="AY124" s="747">
        <f>'Energy NPV'!$D50*$AZ$109</f>
        <v>6.27</v>
      </c>
      <c r="AZ124" s="197">
        <f>'Energy margins'!$L$12</f>
        <v>55</v>
      </c>
      <c r="BA124" s="197">
        <f t="shared" si="314"/>
        <v>344.84999999999997</v>
      </c>
      <c r="BB124" s="197">
        <f>'Margins summary'!$S$14</f>
        <v>220</v>
      </c>
      <c r="BC124" s="197">
        <f t="shared" si="286"/>
        <v>564.84999999999991</v>
      </c>
      <c r="BD124" s="197"/>
      <c r="BE124" s="897">
        <f>'Energy NPV'!U50</f>
        <v>233.81200000000001</v>
      </c>
      <c r="BF124" s="197"/>
      <c r="BG124" s="197">
        <f t="shared" si="266"/>
        <v>233.81200000000001</v>
      </c>
      <c r="BH124" s="197">
        <f t="shared" si="267"/>
        <v>111.03799999999995</v>
      </c>
      <c r="BI124" s="197">
        <f t="shared" si="268"/>
        <v>331.0379999999999</v>
      </c>
      <c r="BJ124" s="196">
        <f t="shared" si="287"/>
        <v>224.00798424959291</v>
      </c>
      <c r="BK124" s="197">
        <f t="shared" si="288"/>
        <v>142.90780494391893</v>
      </c>
      <c r="BL124" s="197">
        <f t="shared" si="289"/>
        <v>151.8798167706708</v>
      </c>
      <c r="BM124" s="197">
        <f t="shared" si="290"/>
        <v>72.128167478922109</v>
      </c>
      <c r="BN124" s="199">
        <f t="shared" si="291"/>
        <v>215.03597242284101</v>
      </c>
      <c r="BO124" s="196">
        <f t="shared" si="315"/>
        <v>2773.1374869554402</v>
      </c>
      <c r="BP124" s="197">
        <f t="shared" si="292"/>
        <v>2147.304876402025</v>
      </c>
      <c r="BQ124" s="197">
        <f t="shared" si="292"/>
        <v>4231.2918765912164</v>
      </c>
      <c r="BR124" s="197">
        <f t="shared" si="292"/>
        <v>-1458.1543896357766</v>
      </c>
      <c r="BS124" s="199">
        <f t="shared" si="292"/>
        <v>689.15048676624792</v>
      </c>
      <c r="BV124" s="204">
        <f t="shared" si="316"/>
        <v>12</v>
      </c>
      <c r="BW124" s="747">
        <f>'Energy NPV'!$D50*$BX$109</f>
        <v>25.08</v>
      </c>
      <c r="BX124" s="197">
        <f>'Energy margins'!$L$12</f>
        <v>55</v>
      </c>
      <c r="BY124" s="197">
        <f t="shared" si="317"/>
        <v>1379.3999999999999</v>
      </c>
      <c r="BZ124" s="197">
        <f>'Margins summary'!$S$14</f>
        <v>220</v>
      </c>
      <c r="CA124" s="197">
        <f t="shared" si="293"/>
        <v>1599.3999999999999</v>
      </c>
      <c r="CB124" s="197"/>
      <c r="CC124" s="897">
        <f>'Energy NPV'!U50</f>
        <v>233.81200000000001</v>
      </c>
      <c r="CD124" s="197"/>
      <c r="CE124" s="197">
        <f t="shared" si="269"/>
        <v>233.81200000000001</v>
      </c>
      <c r="CF124" s="197">
        <f t="shared" si="270"/>
        <v>1145.5879999999997</v>
      </c>
      <c r="CG124" s="197">
        <f t="shared" si="271"/>
        <v>1365.5879999999997</v>
      </c>
      <c r="CH124" s="196">
        <f t="shared" si="294"/>
        <v>896.03193699837163</v>
      </c>
      <c r="CI124" s="197">
        <f t="shared" si="295"/>
        <v>142.90780494391893</v>
      </c>
      <c r="CJ124" s="197">
        <f t="shared" si="296"/>
        <v>151.8798167706708</v>
      </c>
      <c r="CK124" s="197">
        <f t="shared" si="297"/>
        <v>744.15212022770072</v>
      </c>
      <c r="CL124" s="199">
        <f t="shared" si="298"/>
        <v>887.05992517161974</v>
      </c>
      <c r="CM124" s="196">
        <f t="shared" si="318"/>
        <v>11092.549947821761</v>
      </c>
      <c r="CN124" s="197">
        <f t="shared" si="299"/>
        <v>2147.304876402025</v>
      </c>
      <c r="CO124" s="197">
        <f t="shared" si="299"/>
        <v>4231.2918765912164</v>
      </c>
      <c r="CP124" s="197">
        <f t="shared" si="299"/>
        <v>6861.2580712305435</v>
      </c>
      <c r="CQ124" s="199">
        <f t="shared" si="299"/>
        <v>9008.5629476325666</v>
      </c>
      <c r="CT124" s="204">
        <f t="shared" si="319"/>
        <v>12</v>
      </c>
      <c r="CU124" s="747">
        <f>'Energy NPV'!$D50*$CV$109</f>
        <v>0</v>
      </c>
      <c r="CV124" s="197">
        <f>'Energy margins'!$L$12</f>
        <v>55</v>
      </c>
      <c r="CW124" s="197">
        <f t="shared" si="320"/>
        <v>0</v>
      </c>
      <c r="CX124" s="197">
        <f>'Margins summary'!$S$14</f>
        <v>220</v>
      </c>
      <c r="CY124" s="197">
        <f t="shared" si="300"/>
        <v>220</v>
      </c>
      <c r="CZ124" s="197"/>
      <c r="DA124" s="897">
        <f>'Energy NPV'!U50</f>
        <v>233.81200000000001</v>
      </c>
      <c r="DB124" s="197"/>
      <c r="DC124" s="197">
        <f t="shared" si="272"/>
        <v>233.81200000000001</v>
      </c>
      <c r="DD124" s="197">
        <f t="shared" si="273"/>
        <v>-233.81200000000001</v>
      </c>
      <c r="DE124" s="197">
        <f t="shared" si="274"/>
        <v>-13.812000000000012</v>
      </c>
      <c r="DF124" s="196">
        <f t="shared" si="301"/>
        <v>0</v>
      </c>
      <c r="DG124" s="197">
        <f t="shared" si="302"/>
        <v>142.90780494391893</v>
      </c>
      <c r="DH124" s="197">
        <f t="shared" si="303"/>
        <v>151.8798167706708</v>
      </c>
      <c r="DI124" s="197">
        <f t="shared" si="304"/>
        <v>-151.8798167706708</v>
      </c>
      <c r="DJ124" s="199">
        <f t="shared" si="305"/>
        <v>-8.9720118267518636</v>
      </c>
      <c r="DK124" s="196">
        <f t="shared" si="321"/>
        <v>0</v>
      </c>
      <c r="DL124" s="197">
        <f t="shared" si="306"/>
        <v>2147.304876402025</v>
      </c>
      <c r="DM124" s="197">
        <f t="shared" si="306"/>
        <v>4231.2918765912164</v>
      </c>
      <c r="DN124" s="197">
        <f t="shared" si="306"/>
        <v>-4231.2918765912164</v>
      </c>
      <c r="DO124" s="199">
        <f t="shared" si="306"/>
        <v>-2083.9870001891918</v>
      </c>
    </row>
    <row r="125" spans="2:119" x14ac:dyDescent="0.3">
      <c r="B125" s="204">
        <f t="shared" si="307"/>
        <v>13</v>
      </c>
      <c r="C125" s="747">
        <f>'Energy NPV'!$D51*$E$109</f>
        <v>12.54</v>
      </c>
      <c r="D125" s="197">
        <f>'Energy margins'!$L$12</f>
        <v>55</v>
      </c>
      <c r="E125" s="197">
        <f t="shared" si="308"/>
        <v>689.69999999999993</v>
      </c>
      <c r="F125" s="197">
        <f>'Margins summary'!$S$14</f>
        <v>220</v>
      </c>
      <c r="G125" s="197">
        <f t="shared" si="275"/>
        <v>909.69999999999993</v>
      </c>
      <c r="H125" s="197"/>
      <c r="I125" s="897">
        <f>'Energy NPV'!U51</f>
        <v>233.81200000000001</v>
      </c>
      <c r="J125" s="197"/>
      <c r="K125" s="197">
        <f t="shared" si="260"/>
        <v>233.81200000000001</v>
      </c>
      <c r="L125" s="197">
        <f t="shared" si="261"/>
        <v>455.88799999999992</v>
      </c>
      <c r="M125" s="197">
        <f t="shared" si="262"/>
        <v>675.88799999999992</v>
      </c>
      <c r="N125" s="196">
        <f t="shared" si="276"/>
        <v>430.78458509537086</v>
      </c>
      <c r="O125" s="197">
        <f t="shared" si="276"/>
        <v>137.41135090761432</v>
      </c>
      <c r="P125" s="197">
        <f t="shared" si="277"/>
        <v>146.03828535641421</v>
      </c>
      <c r="Q125" s="197">
        <f t="shared" si="277"/>
        <v>284.74629973895668</v>
      </c>
      <c r="R125" s="199">
        <f t="shared" si="277"/>
        <v>422.15765064657103</v>
      </c>
      <c r="S125" s="196">
        <f t="shared" si="309"/>
        <v>5977.0595590062512</v>
      </c>
      <c r="T125" s="197">
        <f t="shared" si="278"/>
        <v>2284.7162273096392</v>
      </c>
      <c r="U125" s="197">
        <f t="shared" si="278"/>
        <v>4377.3301619476306</v>
      </c>
      <c r="V125" s="197">
        <f t="shared" si="278"/>
        <v>1599.7293970586202</v>
      </c>
      <c r="W125" s="199">
        <f t="shared" si="278"/>
        <v>3884.4456243682589</v>
      </c>
      <c r="Z125" s="204">
        <f t="shared" si="310"/>
        <v>13</v>
      </c>
      <c r="AA125" s="747">
        <f>'Energy NPV'!$D51*$AB$109</f>
        <v>18.809999999999999</v>
      </c>
      <c r="AB125" s="197">
        <f>'Energy margins'!$L$12</f>
        <v>55</v>
      </c>
      <c r="AC125" s="197">
        <f t="shared" si="311"/>
        <v>1034.55</v>
      </c>
      <c r="AD125" s="197">
        <f>'Margins summary'!$S$14</f>
        <v>220</v>
      </c>
      <c r="AE125" s="197">
        <f t="shared" si="279"/>
        <v>1254.55</v>
      </c>
      <c r="AF125" s="197"/>
      <c r="AG125" s="897">
        <f>'Energy NPV'!U51</f>
        <v>233.81200000000001</v>
      </c>
      <c r="AH125" s="197"/>
      <c r="AI125" s="197">
        <f t="shared" si="263"/>
        <v>233.81200000000001</v>
      </c>
      <c r="AJ125" s="197">
        <f t="shared" si="264"/>
        <v>800.73799999999994</v>
      </c>
      <c r="AK125" s="197">
        <f t="shared" si="265"/>
        <v>1020.7379999999999</v>
      </c>
      <c r="AL125" s="196">
        <f t="shared" si="280"/>
        <v>646.1768776430564</v>
      </c>
      <c r="AM125" s="197">
        <f t="shared" si="281"/>
        <v>137.41135090761432</v>
      </c>
      <c r="AN125" s="197">
        <f t="shared" si="282"/>
        <v>146.03828535641421</v>
      </c>
      <c r="AO125" s="197">
        <f t="shared" si="283"/>
        <v>500.13859228664217</v>
      </c>
      <c r="AP125" s="199">
        <f t="shared" si="284"/>
        <v>637.54994319425646</v>
      </c>
      <c r="AQ125" s="196">
        <f t="shared" si="312"/>
        <v>8965.5893385093768</v>
      </c>
      <c r="AR125" s="197">
        <f t="shared" si="285"/>
        <v>2284.7162273096392</v>
      </c>
      <c r="AS125" s="197">
        <f t="shared" si="285"/>
        <v>4377.3301619476306</v>
      </c>
      <c r="AT125" s="197">
        <f t="shared" si="285"/>
        <v>4588.2591765617462</v>
      </c>
      <c r="AU125" s="199">
        <f t="shared" si="285"/>
        <v>6872.9754038713845</v>
      </c>
      <c r="AX125" s="204">
        <f t="shared" si="313"/>
        <v>13</v>
      </c>
      <c r="AY125" s="747">
        <f>'Energy NPV'!$D51*$AZ$109</f>
        <v>6.27</v>
      </c>
      <c r="AZ125" s="197">
        <f>'Energy margins'!$L$12</f>
        <v>55</v>
      </c>
      <c r="BA125" s="197">
        <f t="shared" si="314"/>
        <v>344.84999999999997</v>
      </c>
      <c r="BB125" s="197">
        <f>'Margins summary'!$S$14</f>
        <v>220</v>
      </c>
      <c r="BC125" s="197">
        <f t="shared" si="286"/>
        <v>564.84999999999991</v>
      </c>
      <c r="BD125" s="197"/>
      <c r="BE125" s="897">
        <f>'Energy NPV'!U51</f>
        <v>233.81200000000001</v>
      </c>
      <c r="BF125" s="197"/>
      <c r="BG125" s="197">
        <f t="shared" si="266"/>
        <v>233.81200000000001</v>
      </c>
      <c r="BH125" s="197">
        <f t="shared" si="267"/>
        <v>111.03799999999995</v>
      </c>
      <c r="BI125" s="197">
        <f t="shared" si="268"/>
        <v>331.0379999999999</v>
      </c>
      <c r="BJ125" s="196">
        <f t="shared" si="287"/>
        <v>215.39229254768543</v>
      </c>
      <c r="BK125" s="197">
        <f t="shared" si="288"/>
        <v>137.41135090761432</v>
      </c>
      <c r="BL125" s="197">
        <f t="shared" si="289"/>
        <v>146.03828535641421</v>
      </c>
      <c r="BM125" s="197">
        <f t="shared" si="290"/>
        <v>69.354007191271251</v>
      </c>
      <c r="BN125" s="199">
        <f t="shared" si="291"/>
        <v>206.76535809888554</v>
      </c>
      <c r="BO125" s="196">
        <f t="shared" si="315"/>
        <v>2988.5297795031256</v>
      </c>
      <c r="BP125" s="197">
        <f t="shared" si="292"/>
        <v>2284.7162273096392</v>
      </c>
      <c r="BQ125" s="197">
        <f t="shared" si="292"/>
        <v>4377.3301619476306</v>
      </c>
      <c r="BR125" s="197">
        <f t="shared" si="292"/>
        <v>-1388.8003824445054</v>
      </c>
      <c r="BS125" s="199">
        <f t="shared" si="292"/>
        <v>895.91584486513352</v>
      </c>
      <c r="BV125" s="204">
        <f t="shared" si="316"/>
        <v>13</v>
      </c>
      <c r="BW125" s="747">
        <f>'Energy NPV'!$D51*$BX$109</f>
        <v>25.08</v>
      </c>
      <c r="BX125" s="197">
        <f>'Energy margins'!$L$12</f>
        <v>55</v>
      </c>
      <c r="BY125" s="197">
        <f t="shared" si="317"/>
        <v>1379.3999999999999</v>
      </c>
      <c r="BZ125" s="197">
        <f>'Margins summary'!$S$14</f>
        <v>220</v>
      </c>
      <c r="CA125" s="197">
        <f t="shared" si="293"/>
        <v>1599.3999999999999</v>
      </c>
      <c r="CB125" s="197"/>
      <c r="CC125" s="897">
        <f>'Energy NPV'!U51</f>
        <v>233.81200000000001</v>
      </c>
      <c r="CD125" s="197"/>
      <c r="CE125" s="197">
        <f t="shared" si="269"/>
        <v>233.81200000000001</v>
      </c>
      <c r="CF125" s="197">
        <f t="shared" si="270"/>
        <v>1145.5879999999997</v>
      </c>
      <c r="CG125" s="197">
        <f t="shared" si="271"/>
        <v>1365.5879999999997</v>
      </c>
      <c r="CH125" s="196">
        <f t="shared" si="294"/>
        <v>861.56917019074172</v>
      </c>
      <c r="CI125" s="197">
        <f t="shared" si="295"/>
        <v>137.41135090761432</v>
      </c>
      <c r="CJ125" s="197">
        <f t="shared" si="296"/>
        <v>146.03828535641421</v>
      </c>
      <c r="CK125" s="197">
        <f t="shared" si="297"/>
        <v>715.53088483432748</v>
      </c>
      <c r="CL125" s="199">
        <f t="shared" si="298"/>
        <v>852.94223574194189</v>
      </c>
      <c r="CM125" s="196">
        <f t="shared" si="318"/>
        <v>11954.119118012502</v>
      </c>
      <c r="CN125" s="197">
        <f t="shared" si="299"/>
        <v>2284.7162273096392</v>
      </c>
      <c r="CO125" s="197">
        <f t="shared" si="299"/>
        <v>4377.3301619476306</v>
      </c>
      <c r="CP125" s="197">
        <f t="shared" si="299"/>
        <v>7576.7889560648709</v>
      </c>
      <c r="CQ125" s="199">
        <f t="shared" si="299"/>
        <v>9861.5051833745092</v>
      </c>
      <c r="CT125" s="204">
        <f t="shared" si="319"/>
        <v>13</v>
      </c>
      <c r="CU125" s="747">
        <f>'Energy NPV'!$D51*$CV$109</f>
        <v>0</v>
      </c>
      <c r="CV125" s="197">
        <f>'Energy margins'!$L$12</f>
        <v>55</v>
      </c>
      <c r="CW125" s="197">
        <f t="shared" si="320"/>
        <v>0</v>
      </c>
      <c r="CX125" s="197">
        <f>'Margins summary'!$S$14</f>
        <v>220</v>
      </c>
      <c r="CY125" s="197">
        <f t="shared" si="300"/>
        <v>220</v>
      </c>
      <c r="CZ125" s="197"/>
      <c r="DA125" s="897">
        <f>'Energy NPV'!U51</f>
        <v>233.81200000000001</v>
      </c>
      <c r="DB125" s="197"/>
      <c r="DC125" s="197">
        <f t="shared" si="272"/>
        <v>233.81200000000001</v>
      </c>
      <c r="DD125" s="197">
        <f t="shared" si="273"/>
        <v>-233.81200000000001</v>
      </c>
      <c r="DE125" s="197">
        <f t="shared" si="274"/>
        <v>-13.812000000000012</v>
      </c>
      <c r="DF125" s="196">
        <f t="shared" si="301"/>
        <v>0</v>
      </c>
      <c r="DG125" s="197">
        <f t="shared" si="302"/>
        <v>137.41135090761432</v>
      </c>
      <c r="DH125" s="197">
        <f t="shared" si="303"/>
        <v>146.03828535641421</v>
      </c>
      <c r="DI125" s="197">
        <f t="shared" si="304"/>
        <v>-146.03828535641421</v>
      </c>
      <c r="DJ125" s="199">
        <f t="shared" si="305"/>
        <v>-8.6269344487998669</v>
      </c>
      <c r="DK125" s="196">
        <f t="shared" si="321"/>
        <v>0</v>
      </c>
      <c r="DL125" s="197">
        <f t="shared" si="306"/>
        <v>2284.7162273096392</v>
      </c>
      <c r="DM125" s="197">
        <f t="shared" si="306"/>
        <v>4377.3301619476306</v>
      </c>
      <c r="DN125" s="197">
        <f t="shared" si="306"/>
        <v>-4377.3301619476306</v>
      </c>
      <c r="DO125" s="199">
        <f t="shared" si="306"/>
        <v>-2092.6139346379919</v>
      </c>
    </row>
    <row r="126" spans="2:119" x14ac:dyDescent="0.3">
      <c r="B126" s="204">
        <f t="shared" si="307"/>
        <v>14</v>
      </c>
      <c r="C126" s="747">
        <f>'Energy NPV'!$D52*$E$109</f>
        <v>12.54</v>
      </c>
      <c r="D126" s="197">
        <f>'Energy margins'!$L$12</f>
        <v>55</v>
      </c>
      <c r="E126" s="197">
        <f t="shared" si="308"/>
        <v>689.69999999999993</v>
      </c>
      <c r="F126" s="197">
        <f>'Margins summary'!$S$14</f>
        <v>220</v>
      </c>
      <c r="G126" s="197">
        <f t="shared" si="275"/>
        <v>909.69999999999993</v>
      </c>
      <c r="H126" s="197"/>
      <c r="I126" s="897">
        <f>'Energy NPV'!U52</f>
        <v>233.81200000000001</v>
      </c>
      <c r="J126" s="197"/>
      <c r="K126" s="197">
        <f t="shared" si="260"/>
        <v>233.81200000000001</v>
      </c>
      <c r="L126" s="197">
        <f t="shared" si="261"/>
        <v>455.88799999999992</v>
      </c>
      <c r="M126" s="197">
        <f t="shared" si="262"/>
        <v>675.88799999999992</v>
      </c>
      <c r="N126" s="196">
        <f t="shared" si="276"/>
        <v>414.21594720708737</v>
      </c>
      <c r="O126" s="197">
        <f t="shared" si="276"/>
        <v>132.12629894962916</v>
      </c>
      <c r="P126" s="197">
        <f t="shared" si="277"/>
        <v>140.42142822732134</v>
      </c>
      <c r="Q126" s="197">
        <f t="shared" si="277"/>
        <v>273.79451897976605</v>
      </c>
      <c r="R126" s="199">
        <f t="shared" si="277"/>
        <v>405.92081792939518</v>
      </c>
      <c r="S126" s="196">
        <f t="shared" si="309"/>
        <v>6391.2755062133383</v>
      </c>
      <c r="T126" s="197">
        <f t="shared" si="278"/>
        <v>2416.8425262592682</v>
      </c>
      <c r="U126" s="197">
        <f t="shared" si="278"/>
        <v>4517.7515901749521</v>
      </c>
      <c r="V126" s="197">
        <f t="shared" si="278"/>
        <v>1873.5239160383862</v>
      </c>
      <c r="W126" s="199">
        <f t="shared" si="278"/>
        <v>4290.3664422976544</v>
      </c>
      <c r="Z126" s="204">
        <f t="shared" si="310"/>
        <v>14</v>
      </c>
      <c r="AA126" s="747">
        <f>'Energy NPV'!$D52*$AB$109</f>
        <v>18.809999999999999</v>
      </c>
      <c r="AB126" s="197">
        <f>'Energy margins'!$L$12</f>
        <v>55</v>
      </c>
      <c r="AC126" s="197">
        <f t="shared" si="311"/>
        <v>1034.55</v>
      </c>
      <c r="AD126" s="197">
        <f>'Margins summary'!$S$14</f>
        <v>220</v>
      </c>
      <c r="AE126" s="197">
        <f t="shared" si="279"/>
        <v>1254.55</v>
      </c>
      <c r="AF126" s="197"/>
      <c r="AG126" s="897">
        <f>'Energy NPV'!U52</f>
        <v>233.81200000000001</v>
      </c>
      <c r="AH126" s="197"/>
      <c r="AI126" s="197">
        <f t="shared" si="263"/>
        <v>233.81200000000001</v>
      </c>
      <c r="AJ126" s="197">
        <f t="shared" si="264"/>
        <v>800.73799999999994</v>
      </c>
      <c r="AK126" s="197">
        <f t="shared" si="265"/>
        <v>1020.7379999999999</v>
      </c>
      <c r="AL126" s="196">
        <f t="shared" si="280"/>
        <v>621.32392081063108</v>
      </c>
      <c r="AM126" s="197">
        <f t="shared" si="281"/>
        <v>132.12629894962916</v>
      </c>
      <c r="AN126" s="197">
        <f t="shared" si="282"/>
        <v>140.42142822732134</v>
      </c>
      <c r="AO126" s="197">
        <f t="shared" si="283"/>
        <v>480.90249258330977</v>
      </c>
      <c r="AP126" s="199">
        <f t="shared" si="284"/>
        <v>613.02879153293895</v>
      </c>
      <c r="AQ126" s="196">
        <f t="shared" si="312"/>
        <v>9586.9132593200084</v>
      </c>
      <c r="AR126" s="197">
        <f t="shared" si="285"/>
        <v>2416.8425262592682</v>
      </c>
      <c r="AS126" s="197">
        <f t="shared" si="285"/>
        <v>4517.7515901749521</v>
      </c>
      <c r="AT126" s="197">
        <f t="shared" si="285"/>
        <v>5069.1616691450563</v>
      </c>
      <c r="AU126" s="199">
        <f t="shared" si="285"/>
        <v>7486.0041954043236</v>
      </c>
      <c r="AX126" s="204">
        <f t="shared" si="313"/>
        <v>14</v>
      </c>
      <c r="AY126" s="747">
        <f>'Energy NPV'!$D52*$AZ$109</f>
        <v>6.27</v>
      </c>
      <c r="AZ126" s="197">
        <f>'Energy margins'!$L$12</f>
        <v>55</v>
      </c>
      <c r="BA126" s="197">
        <f t="shared" si="314"/>
        <v>344.84999999999997</v>
      </c>
      <c r="BB126" s="197">
        <f>'Margins summary'!$S$14</f>
        <v>220</v>
      </c>
      <c r="BC126" s="197">
        <f t="shared" si="286"/>
        <v>564.84999999999991</v>
      </c>
      <c r="BD126" s="197"/>
      <c r="BE126" s="897">
        <f>'Energy NPV'!U52</f>
        <v>233.81200000000001</v>
      </c>
      <c r="BF126" s="197"/>
      <c r="BG126" s="197">
        <f t="shared" si="266"/>
        <v>233.81200000000001</v>
      </c>
      <c r="BH126" s="197">
        <f t="shared" si="267"/>
        <v>111.03799999999995</v>
      </c>
      <c r="BI126" s="197">
        <f t="shared" si="268"/>
        <v>331.0379999999999</v>
      </c>
      <c r="BJ126" s="196">
        <f t="shared" si="287"/>
        <v>207.10797360354368</v>
      </c>
      <c r="BK126" s="197">
        <f t="shared" si="288"/>
        <v>132.12629894962916</v>
      </c>
      <c r="BL126" s="197">
        <f t="shared" si="289"/>
        <v>140.42142822732134</v>
      </c>
      <c r="BM126" s="197">
        <f t="shared" si="290"/>
        <v>66.686545376222355</v>
      </c>
      <c r="BN126" s="199">
        <f t="shared" si="291"/>
        <v>198.81284432585147</v>
      </c>
      <c r="BO126" s="196">
        <f t="shared" si="315"/>
        <v>3195.6377531066692</v>
      </c>
      <c r="BP126" s="197">
        <f t="shared" si="292"/>
        <v>2416.8425262592682</v>
      </c>
      <c r="BQ126" s="197">
        <f t="shared" si="292"/>
        <v>4517.7515901749521</v>
      </c>
      <c r="BR126" s="197">
        <f t="shared" si="292"/>
        <v>-1322.1138370682831</v>
      </c>
      <c r="BS126" s="199">
        <f t="shared" si="292"/>
        <v>1094.7286891909851</v>
      </c>
      <c r="BV126" s="204">
        <f t="shared" si="316"/>
        <v>14</v>
      </c>
      <c r="BW126" s="747">
        <f>'Energy NPV'!$D52*$BX$109</f>
        <v>25.08</v>
      </c>
      <c r="BX126" s="197">
        <f>'Energy margins'!$L$12</f>
        <v>55</v>
      </c>
      <c r="BY126" s="197">
        <f t="shared" si="317"/>
        <v>1379.3999999999999</v>
      </c>
      <c r="BZ126" s="197">
        <f>'Margins summary'!$S$14</f>
        <v>220</v>
      </c>
      <c r="CA126" s="197">
        <f t="shared" si="293"/>
        <v>1599.3999999999999</v>
      </c>
      <c r="CB126" s="197"/>
      <c r="CC126" s="897">
        <f>'Energy NPV'!U52</f>
        <v>233.81200000000001</v>
      </c>
      <c r="CD126" s="197"/>
      <c r="CE126" s="197">
        <f t="shared" si="269"/>
        <v>233.81200000000001</v>
      </c>
      <c r="CF126" s="197">
        <f t="shared" si="270"/>
        <v>1145.5879999999997</v>
      </c>
      <c r="CG126" s="197">
        <f t="shared" si="271"/>
        <v>1365.5879999999997</v>
      </c>
      <c r="CH126" s="196">
        <f t="shared" si="294"/>
        <v>828.43189441417474</v>
      </c>
      <c r="CI126" s="197">
        <f t="shared" si="295"/>
        <v>132.12629894962916</v>
      </c>
      <c r="CJ126" s="197">
        <f t="shared" si="296"/>
        <v>140.42142822732134</v>
      </c>
      <c r="CK126" s="197">
        <f t="shared" si="297"/>
        <v>688.01046618685336</v>
      </c>
      <c r="CL126" s="199">
        <f t="shared" si="298"/>
        <v>820.1367651364825</v>
      </c>
      <c r="CM126" s="196">
        <f t="shared" si="318"/>
        <v>12782.551012426677</v>
      </c>
      <c r="CN126" s="197">
        <f t="shared" si="299"/>
        <v>2416.8425262592682</v>
      </c>
      <c r="CO126" s="197">
        <f t="shared" si="299"/>
        <v>4517.7515901749521</v>
      </c>
      <c r="CP126" s="197">
        <f t="shared" si="299"/>
        <v>8264.7994222517245</v>
      </c>
      <c r="CQ126" s="199">
        <f t="shared" si="299"/>
        <v>10681.641948510991</v>
      </c>
      <c r="CT126" s="204">
        <f t="shared" si="319"/>
        <v>14</v>
      </c>
      <c r="CU126" s="747">
        <f>'Energy NPV'!$D52*$CV$109</f>
        <v>0</v>
      </c>
      <c r="CV126" s="197">
        <f>'Energy margins'!$L$12</f>
        <v>55</v>
      </c>
      <c r="CW126" s="197">
        <f t="shared" si="320"/>
        <v>0</v>
      </c>
      <c r="CX126" s="197">
        <f>'Margins summary'!$S$14</f>
        <v>220</v>
      </c>
      <c r="CY126" s="197">
        <f t="shared" si="300"/>
        <v>220</v>
      </c>
      <c r="CZ126" s="197"/>
      <c r="DA126" s="897">
        <f>'Energy NPV'!U52</f>
        <v>233.81200000000001</v>
      </c>
      <c r="DB126" s="197"/>
      <c r="DC126" s="197">
        <f t="shared" si="272"/>
        <v>233.81200000000001</v>
      </c>
      <c r="DD126" s="197">
        <f t="shared" si="273"/>
        <v>-233.81200000000001</v>
      </c>
      <c r="DE126" s="197">
        <f t="shared" si="274"/>
        <v>-13.812000000000012</v>
      </c>
      <c r="DF126" s="196">
        <f t="shared" si="301"/>
        <v>0</v>
      </c>
      <c r="DG126" s="197">
        <f t="shared" si="302"/>
        <v>132.12629894962916</v>
      </c>
      <c r="DH126" s="197">
        <f t="shared" si="303"/>
        <v>140.42142822732134</v>
      </c>
      <c r="DI126" s="197">
        <f t="shared" si="304"/>
        <v>-140.42142822732134</v>
      </c>
      <c r="DJ126" s="199">
        <f t="shared" si="305"/>
        <v>-8.2951292776921797</v>
      </c>
      <c r="DK126" s="196">
        <f t="shared" si="321"/>
        <v>0</v>
      </c>
      <c r="DL126" s="197">
        <f t="shared" si="306"/>
        <v>2416.8425262592682</v>
      </c>
      <c r="DM126" s="197">
        <f t="shared" si="306"/>
        <v>4517.7515901749521</v>
      </c>
      <c r="DN126" s="197">
        <f t="shared" si="306"/>
        <v>-4517.7515901749521</v>
      </c>
      <c r="DO126" s="199">
        <f t="shared" si="306"/>
        <v>-2100.9090639156839</v>
      </c>
    </row>
    <row r="127" spans="2:119" x14ac:dyDescent="0.3">
      <c r="B127" s="204">
        <f t="shared" si="307"/>
        <v>15</v>
      </c>
      <c r="C127" s="747">
        <f>'Energy NPV'!$D53*$E$109</f>
        <v>12.54</v>
      </c>
      <c r="D127" s="197">
        <f>'Energy margins'!$L$12</f>
        <v>55</v>
      </c>
      <c r="E127" s="197">
        <f t="shared" si="308"/>
        <v>689.69999999999993</v>
      </c>
      <c r="F127" s="197">
        <f>'Margins summary'!$S$14</f>
        <v>220</v>
      </c>
      <c r="G127" s="197">
        <f t="shared" si="275"/>
        <v>909.69999999999993</v>
      </c>
      <c r="H127" s="197"/>
      <c r="I127" s="897">
        <f>'Energy NPV'!U53</f>
        <v>233.81200000000001</v>
      </c>
      <c r="J127" s="197"/>
      <c r="K127" s="197">
        <f t="shared" si="260"/>
        <v>233.81200000000001</v>
      </c>
      <c r="L127" s="197">
        <f t="shared" si="261"/>
        <v>455.88799999999992</v>
      </c>
      <c r="M127" s="197">
        <f t="shared" si="262"/>
        <v>675.88799999999992</v>
      </c>
      <c r="N127" s="196">
        <f t="shared" si="276"/>
        <v>398.28456462219941</v>
      </c>
      <c r="O127" s="197">
        <f t="shared" si="276"/>
        <v>127.04451822079727</v>
      </c>
      <c r="P127" s="197">
        <f t="shared" si="277"/>
        <v>135.02060406473205</v>
      </c>
      <c r="Q127" s="197">
        <f t="shared" si="277"/>
        <v>263.26396055746733</v>
      </c>
      <c r="R127" s="199">
        <f t="shared" si="277"/>
        <v>390.3084787782646</v>
      </c>
      <c r="S127" s="196">
        <f t="shared" si="309"/>
        <v>6789.5600708355378</v>
      </c>
      <c r="T127" s="197">
        <f t="shared" si="278"/>
        <v>2543.8870444800655</v>
      </c>
      <c r="U127" s="197">
        <f t="shared" si="278"/>
        <v>4652.7721942396838</v>
      </c>
      <c r="V127" s="197">
        <f t="shared" si="278"/>
        <v>2136.7878765958535</v>
      </c>
      <c r="W127" s="199">
        <f t="shared" si="278"/>
        <v>4680.674921075919</v>
      </c>
      <c r="Z127" s="204">
        <f t="shared" si="310"/>
        <v>15</v>
      </c>
      <c r="AA127" s="747">
        <f>'Energy NPV'!$D53*$AB$109</f>
        <v>18.809999999999999</v>
      </c>
      <c r="AB127" s="197">
        <f>'Energy margins'!$L$12</f>
        <v>55</v>
      </c>
      <c r="AC127" s="197">
        <f t="shared" si="311"/>
        <v>1034.55</v>
      </c>
      <c r="AD127" s="197">
        <f>'Margins summary'!$S$14</f>
        <v>220</v>
      </c>
      <c r="AE127" s="197">
        <f t="shared" si="279"/>
        <v>1254.55</v>
      </c>
      <c r="AF127" s="197"/>
      <c r="AG127" s="897">
        <f>'Energy NPV'!U53</f>
        <v>233.81200000000001</v>
      </c>
      <c r="AH127" s="197"/>
      <c r="AI127" s="197">
        <f t="shared" si="263"/>
        <v>233.81200000000001</v>
      </c>
      <c r="AJ127" s="197">
        <f t="shared" si="264"/>
        <v>800.73799999999994</v>
      </c>
      <c r="AK127" s="197">
        <f t="shared" si="265"/>
        <v>1020.7379999999999</v>
      </c>
      <c r="AL127" s="196">
        <f t="shared" si="280"/>
        <v>597.42684693329909</v>
      </c>
      <c r="AM127" s="197">
        <f t="shared" si="281"/>
        <v>127.04451822079727</v>
      </c>
      <c r="AN127" s="197">
        <f t="shared" si="282"/>
        <v>135.02060406473205</v>
      </c>
      <c r="AO127" s="197">
        <f t="shared" si="283"/>
        <v>462.40624286856706</v>
      </c>
      <c r="AP127" s="199">
        <f t="shared" si="284"/>
        <v>589.45076108936439</v>
      </c>
      <c r="AQ127" s="196">
        <f t="shared" si="312"/>
        <v>10184.340106253307</v>
      </c>
      <c r="AR127" s="197">
        <f t="shared" si="285"/>
        <v>2543.8870444800655</v>
      </c>
      <c r="AS127" s="197">
        <f t="shared" si="285"/>
        <v>4652.7721942396838</v>
      </c>
      <c r="AT127" s="197">
        <f t="shared" si="285"/>
        <v>5531.5679120136238</v>
      </c>
      <c r="AU127" s="199">
        <f t="shared" si="285"/>
        <v>8075.4549564936879</v>
      </c>
      <c r="AX127" s="204">
        <f t="shared" si="313"/>
        <v>15</v>
      </c>
      <c r="AY127" s="747">
        <f>'Energy NPV'!$D53*$AZ$109</f>
        <v>6.27</v>
      </c>
      <c r="AZ127" s="197">
        <f>'Energy margins'!$L$12</f>
        <v>55</v>
      </c>
      <c r="BA127" s="197">
        <f t="shared" si="314"/>
        <v>344.84999999999997</v>
      </c>
      <c r="BB127" s="197">
        <f>'Margins summary'!$S$14</f>
        <v>220</v>
      </c>
      <c r="BC127" s="197">
        <f t="shared" si="286"/>
        <v>564.84999999999991</v>
      </c>
      <c r="BD127" s="197"/>
      <c r="BE127" s="897">
        <f>'Energy NPV'!U53</f>
        <v>233.81200000000001</v>
      </c>
      <c r="BF127" s="197"/>
      <c r="BG127" s="197">
        <f t="shared" si="266"/>
        <v>233.81200000000001</v>
      </c>
      <c r="BH127" s="197">
        <f t="shared" si="267"/>
        <v>111.03799999999995</v>
      </c>
      <c r="BI127" s="197">
        <f t="shared" si="268"/>
        <v>331.0379999999999</v>
      </c>
      <c r="BJ127" s="196">
        <f t="shared" si="287"/>
        <v>199.14228231109971</v>
      </c>
      <c r="BK127" s="197">
        <f t="shared" si="288"/>
        <v>127.04451822079727</v>
      </c>
      <c r="BL127" s="197">
        <f t="shared" si="289"/>
        <v>135.02060406473205</v>
      </c>
      <c r="BM127" s="197">
        <f t="shared" si="290"/>
        <v>64.121678246367637</v>
      </c>
      <c r="BN127" s="199">
        <f t="shared" si="291"/>
        <v>191.16619646716489</v>
      </c>
      <c r="BO127" s="196">
        <f t="shared" si="315"/>
        <v>3394.7800354177689</v>
      </c>
      <c r="BP127" s="197">
        <f t="shared" si="292"/>
        <v>2543.8870444800655</v>
      </c>
      <c r="BQ127" s="197">
        <f t="shared" si="292"/>
        <v>4652.7721942396838</v>
      </c>
      <c r="BR127" s="197">
        <f t="shared" si="292"/>
        <v>-1257.9921588219156</v>
      </c>
      <c r="BS127" s="199">
        <f t="shared" si="292"/>
        <v>1285.8948856581499</v>
      </c>
      <c r="BV127" s="204">
        <f t="shared" si="316"/>
        <v>15</v>
      </c>
      <c r="BW127" s="747">
        <f>'Energy NPV'!$D53*$BX$109</f>
        <v>25.08</v>
      </c>
      <c r="BX127" s="197">
        <f>'Energy margins'!$L$12</f>
        <v>55</v>
      </c>
      <c r="BY127" s="197">
        <f t="shared" si="317"/>
        <v>1379.3999999999999</v>
      </c>
      <c r="BZ127" s="197">
        <f>'Margins summary'!$S$14</f>
        <v>220</v>
      </c>
      <c r="CA127" s="197">
        <f t="shared" si="293"/>
        <v>1599.3999999999999</v>
      </c>
      <c r="CB127" s="197"/>
      <c r="CC127" s="897">
        <f>'Energy NPV'!U53</f>
        <v>233.81200000000001</v>
      </c>
      <c r="CD127" s="197"/>
      <c r="CE127" s="197">
        <f t="shared" si="269"/>
        <v>233.81200000000001</v>
      </c>
      <c r="CF127" s="197">
        <f t="shared" si="270"/>
        <v>1145.5879999999997</v>
      </c>
      <c r="CG127" s="197">
        <f t="shared" si="271"/>
        <v>1365.5879999999997</v>
      </c>
      <c r="CH127" s="196">
        <f t="shared" si="294"/>
        <v>796.56912924439882</v>
      </c>
      <c r="CI127" s="197">
        <f t="shared" si="295"/>
        <v>127.04451822079727</v>
      </c>
      <c r="CJ127" s="197">
        <f t="shared" si="296"/>
        <v>135.02060406473205</v>
      </c>
      <c r="CK127" s="197">
        <f t="shared" si="297"/>
        <v>661.54852517966674</v>
      </c>
      <c r="CL127" s="199">
        <f t="shared" si="298"/>
        <v>788.59304340046401</v>
      </c>
      <c r="CM127" s="196">
        <f t="shared" si="318"/>
        <v>13579.120141671076</v>
      </c>
      <c r="CN127" s="197">
        <f t="shared" si="299"/>
        <v>2543.8870444800655</v>
      </c>
      <c r="CO127" s="197">
        <f t="shared" si="299"/>
        <v>4652.7721942396838</v>
      </c>
      <c r="CP127" s="197">
        <f t="shared" si="299"/>
        <v>8926.3479474313917</v>
      </c>
      <c r="CQ127" s="199">
        <f t="shared" si="299"/>
        <v>11470.234991911455</v>
      </c>
      <c r="CT127" s="204">
        <f t="shared" si="319"/>
        <v>15</v>
      </c>
      <c r="CU127" s="747">
        <f>'Energy NPV'!$D53*$CV$109</f>
        <v>0</v>
      </c>
      <c r="CV127" s="197">
        <f>'Energy margins'!$L$12</f>
        <v>55</v>
      </c>
      <c r="CW127" s="197">
        <f t="shared" si="320"/>
        <v>0</v>
      </c>
      <c r="CX127" s="197">
        <f>'Margins summary'!$S$14</f>
        <v>220</v>
      </c>
      <c r="CY127" s="197">
        <f t="shared" si="300"/>
        <v>220</v>
      </c>
      <c r="CZ127" s="197"/>
      <c r="DA127" s="897">
        <f>'Energy NPV'!U53</f>
        <v>233.81200000000001</v>
      </c>
      <c r="DB127" s="197"/>
      <c r="DC127" s="197">
        <f t="shared" si="272"/>
        <v>233.81200000000001</v>
      </c>
      <c r="DD127" s="197">
        <f t="shared" si="273"/>
        <v>-233.81200000000001</v>
      </c>
      <c r="DE127" s="197">
        <f t="shared" si="274"/>
        <v>-13.812000000000012</v>
      </c>
      <c r="DF127" s="196">
        <f t="shared" si="301"/>
        <v>0</v>
      </c>
      <c r="DG127" s="197">
        <f t="shared" si="302"/>
        <v>127.04451822079727</v>
      </c>
      <c r="DH127" s="197">
        <f t="shared" si="303"/>
        <v>135.02060406473205</v>
      </c>
      <c r="DI127" s="197">
        <f t="shared" si="304"/>
        <v>-135.02060406473205</v>
      </c>
      <c r="DJ127" s="199">
        <f t="shared" si="305"/>
        <v>-7.9760858439347881</v>
      </c>
      <c r="DK127" s="196">
        <f t="shared" si="321"/>
        <v>0</v>
      </c>
      <c r="DL127" s="197">
        <f t="shared" si="306"/>
        <v>2543.8870444800655</v>
      </c>
      <c r="DM127" s="197">
        <f t="shared" si="306"/>
        <v>4652.7721942396838</v>
      </c>
      <c r="DN127" s="197">
        <f t="shared" si="306"/>
        <v>-4652.7721942396838</v>
      </c>
      <c r="DO127" s="199">
        <f t="shared" si="306"/>
        <v>-2108.8851497596188</v>
      </c>
    </row>
    <row r="128" spans="2:119" x14ac:dyDescent="0.3">
      <c r="B128" s="206">
        <f t="shared" si="307"/>
        <v>16</v>
      </c>
      <c r="C128" s="748">
        <f>'Energy NPV'!$D54*$E$109</f>
        <v>12.54</v>
      </c>
      <c r="D128" s="207">
        <f>'Energy margins'!$L$12</f>
        <v>55</v>
      </c>
      <c r="E128" s="207">
        <f t="shared" si="308"/>
        <v>689.69999999999993</v>
      </c>
      <c r="F128" s="207">
        <f>'Margins summary'!$S$14</f>
        <v>220</v>
      </c>
      <c r="G128" s="207">
        <f t="shared" si="275"/>
        <v>909.69999999999993</v>
      </c>
      <c r="H128" s="207"/>
      <c r="I128" s="898">
        <f>'Energy NPV'!U54</f>
        <v>233.81200000000001</v>
      </c>
      <c r="J128" s="207">
        <f>'Energy margins'!$Q$67</f>
        <v>170</v>
      </c>
      <c r="K128" s="207">
        <f t="shared" si="260"/>
        <v>403.81200000000001</v>
      </c>
      <c r="L128" s="207">
        <f t="shared" si="261"/>
        <v>285.88799999999992</v>
      </c>
      <c r="M128" s="207">
        <f t="shared" si="262"/>
        <v>505.88799999999992</v>
      </c>
      <c r="N128" s="208">
        <f t="shared" si="276"/>
        <v>382.96592752134558</v>
      </c>
      <c r="O128" s="207">
        <f t="shared" si="276"/>
        <v>122.15819059692046</v>
      </c>
      <c r="P128" s="207">
        <f t="shared" si="277"/>
        <v>224.22246936965294</v>
      </c>
      <c r="Q128" s="207">
        <f>L128/((1+$B$4)^($B128-1))</f>
        <v>158.74345815169266</v>
      </c>
      <c r="R128" s="209">
        <f>M128/((1+$B$4)^($B128-1))</f>
        <v>280.90164874861313</v>
      </c>
      <c r="S128" s="208">
        <f t="shared" si="309"/>
        <v>7172.5259983568831</v>
      </c>
      <c r="T128" s="207">
        <f t="shared" si="278"/>
        <v>2666.045235076986</v>
      </c>
      <c r="U128" s="207">
        <f t="shared" si="278"/>
        <v>4876.9946636093364</v>
      </c>
      <c r="V128" s="207">
        <f t="shared" si="278"/>
        <v>2295.5313347475462</v>
      </c>
      <c r="W128" s="209">
        <f t="shared" si="278"/>
        <v>4961.5765698245323</v>
      </c>
      <c r="Z128" s="206">
        <f t="shared" si="310"/>
        <v>16</v>
      </c>
      <c r="AA128" s="748">
        <f>'Energy NPV'!$D54*$AB$109</f>
        <v>18.809999999999999</v>
      </c>
      <c r="AB128" s="207">
        <f>'Energy margins'!$L$12</f>
        <v>55</v>
      </c>
      <c r="AC128" s="207">
        <f t="shared" si="311"/>
        <v>1034.55</v>
      </c>
      <c r="AD128" s="207">
        <f>'Margins summary'!$S$14</f>
        <v>220</v>
      </c>
      <c r="AE128" s="207">
        <f t="shared" si="279"/>
        <v>1254.55</v>
      </c>
      <c r="AF128" s="207"/>
      <c r="AG128" s="898">
        <f>'Energy NPV'!U54</f>
        <v>233.81200000000001</v>
      </c>
      <c r="AH128" s="207">
        <f>'Energy margins'!$Q$67</f>
        <v>170</v>
      </c>
      <c r="AI128" s="207">
        <f t="shared" si="263"/>
        <v>403.81200000000001</v>
      </c>
      <c r="AJ128" s="207">
        <f t="shared" si="264"/>
        <v>630.73799999999994</v>
      </c>
      <c r="AK128" s="207">
        <f t="shared" si="265"/>
        <v>850.73799999999994</v>
      </c>
      <c r="AL128" s="208">
        <f t="shared" si="280"/>
        <v>574.44889128201839</v>
      </c>
      <c r="AM128" s="207">
        <f t="shared" si="281"/>
        <v>122.15819059692046</v>
      </c>
      <c r="AN128" s="207">
        <f t="shared" si="282"/>
        <v>224.22246936965294</v>
      </c>
      <c r="AO128" s="207">
        <f t="shared" si="283"/>
        <v>350.22642191236548</v>
      </c>
      <c r="AP128" s="209">
        <f t="shared" si="284"/>
        <v>472.38461250928594</v>
      </c>
      <c r="AQ128" s="208">
        <f>AQ127+AL128</f>
        <v>10758.788997535325</v>
      </c>
      <c r="AR128" s="207">
        <f t="shared" si="285"/>
        <v>2666.045235076986</v>
      </c>
      <c r="AS128" s="207">
        <f t="shared" si="285"/>
        <v>4876.9946636093364</v>
      </c>
      <c r="AT128" s="207">
        <f t="shared" si="285"/>
        <v>5881.7943339259891</v>
      </c>
      <c r="AU128" s="209">
        <f t="shared" si="285"/>
        <v>8547.8395690029738</v>
      </c>
      <c r="AX128" s="206">
        <f t="shared" si="313"/>
        <v>16</v>
      </c>
      <c r="AY128" s="748">
        <f>'Energy NPV'!$D54*$AZ$109</f>
        <v>6.27</v>
      </c>
      <c r="AZ128" s="207">
        <f>'Energy margins'!$L$12</f>
        <v>55</v>
      </c>
      <c r="BA128" s="207">
        <f t="shared" si="314"/>
        <v>344.84999999999997</v>
      </c>
      <c r="BB128" s="207">
        <f>'Margins summary'!$S$14</f>
        <v>220</v>
      </c>
      <c r="BC128" s="207">
        <f t="shared" si="286"/>
        <v>564.84999999999991</v>
      </c>
      <c r="BD128" s="207"/>
      <c r="BE128" s="898">
        <f>'Energy NPV'!U54</f>
        <v>233.81200000000001</v>
      </c>
      <c r="BF128" s="207">
        <f>'Energy margins'!$Q$67</f>
        <v>170</v>
      </c>
      <c r="BG128" s="207">
        <f t="shared" si="266"/>
        <v>403.81200000000001</v>
      </c>
      <c r="BH128" s="207">
        <f t="shared" si="267"/>
        <v>-58.962000000000046</v>
      </c>
      <c r="BI128" s="207">
        <f t="shared" si="268"/>
        <v>161.0379999999999</v>
      </c>
      <c r="BJ128" s="208">
        <f t="shared" si="287"/>
        <v>191.48296376067279</v>
      </c>
      <c r="BK128" s="207">
        <f t="shared" si="288"/>
        <v>122.15819059692046</v>
      </c>
      <c r="BL128" s="207">
        <f t="shared" si="289"/>
        <v>224.22246936965294</v>
      </c>
      <c r="BM128" s="207">
        <f t="shared" si="290"/>
        <v>-32.739505608980132</v>
      </c>
      <c r="BN128" s="209">
        <f>BI128/((1+$B$4)^($AX128-1))</f>
        <v>89.418684987940296</v>
      </c>
      <c r="BO128" s="208">
        <f t="shared" si="315"/>
        <v>3586.2629991784415</v>
      </c>
      <c r="BP128" s="207">
        <f t="shared" si="292"/>
        <v>2666.045235076986</v>
      </c>
      <c r="BQ128" s="207">
        <f>BQ127+BL128</f>
        <v>4876.9946636093364</v>
      </c>
      <c r="BR128" s="207">
        <f t="shared" si="292"/>
        <v>-1290.7316644308958</v>
      </c>
      <c r="BS128" s="209">
        <f t="shared" si="292"/>
        <v>1375.3135706460901</v>
      </c>
      <c r="BV128" s="206">
        <f t="shared" si="316"/>
        <v>16</v>
      </c>
      <c r="BW128" s="748">
        <f>'Energy NPV'!$D54*$BX$109</f>
        <v>25.08</v>
      </c>
      <c r="BX128" s="207">
        <f>'Energy margins'!$L$12</f>
        <v>55</v>
      </c>
      <c r="BY128" s="207">
        <f t="shared" si="317"/>
        <v>1379.3999999999999</v>
      </c>
      <c r="BZ128" s="207">
        <f>'Margins summary'!$S$14</f>
        <v>220</v>
      </c>
      <c r="CA128" s="207">
        <f t="shared" si="293"/>
        <v>1599.3999999999999</v>
      </c>
      <c r="CB128" s="207"/>
      <c r="CC128" s="897">
        <f>'Energy NPV'!U54</f>
        <v>233.81200000000001</v>
      </c>
      <c r="CD128" s="207">
        <f>'Energy margins'!$Q$67</f>
        <v>170</v>
      </c>
      <c r="CE128" s="207">
        <f t="shared" si="269"/>
        <v>403.81200000000001</v>
      </c>
      <c r="CF128" s="207">
        <f t="shared" si="270"/>
        <v>975.58799999999985</v>
      </c>
      <c r="CG128" s="207">
        <f t="shared" si="271"/>
        <v>1195.5879999999997</v>
      </c>
      <c r="CH128" s="208">
        <f t="shared" si="294"/>
        <v>765.93185504269115</v>
      </c>
      <c r="CI128" s="207">
        <f t="shared" si="295"/>
        <v>122.15819059692046</v>
      </c>
      <c r="CJ128" s="207">
        <f t="shared" si="296"/>
        <v>224.22246936965294</v>
      </c>
      <c r="CK128" s="207">
        <f t="shared" si="297"/>
        <v>541.70938567303824</v>
      </c>
      <c r="CL128" s="209">
        <f t="shared" si="298"/>
        <v>663.8675762699587</v>
      </c>
      <c r="CM128" s="208">
        <f t="shared" si="318"/>
        <v>14345.051996713766</v>
      </c>
      <c r="CN128" s="207">
        <f t="shared" si="299"/>
        <v>2666.045235076986</v>
      </c>
      <c r="CO128" s="207">
        <f t="shared" si="299"/>
        <v>4876.9946636093364</v>
      </c>
      <c r="CP128" s="207">
        <f t="shared" si="299"/>
        <v>9468.0573331044307</v>
      </c>
      <c r="CQ128" s="209">
        <f t="shared" si="299"/>
        <v>12134.102568181414</v>
      </c>
      <c r="CT128" s="206">
        <f t="shared" si="319"/>
        <v>16</v>
      </c>
      <c r="CU128" s="748">
        <f>'Energy NPV'!$D54*$CV$109</f>
        <v>0</v>
      </c>
      <c r="CV128" s="207">
        <f>'Energy margins'!$L$12</f>
        <v>55</v>
      </c>
      <c r="CW128" s="207">
        <f t="shared" si="320"/>
        <v>0</v>
      </c>
      <c r="CX128" s="207">
        <f>'Margins summary'!$S$14</f>
        <v>220</v>
      </c>
      <c r="CY128" s="207">
        <f t="shared" si="300"/>
        <v>220</v>
      </c>
      <c r="CZ128" s="207"/>
      <c r="DA128" s="898">
        <f>'Energy NPV'!U54</f>
        <v>233.81200000000001</v>
      </c>
      <c r="DB128" s="207">
        <f>'Energy margins'!$Q$67</f>
        <v>170</v>
      </c>
      <c r="DC128" s="207">
        <f t="shared" si="272"/>
        <v>403.81200000000001</v>
      </c>
      <c r="DD128" s="207">
        <f t="shared" si="273"/>
        <v>-403.81200000000001</v>
      </c>
      <c r="DE128" s="207">
        <f t="shared" si="274"/>
        <v>-183.81200000000001</v>
      </c>
      <c r="DF128" s="208">
        <f t="shared" si="301"/>
        <v>0</v>
      </c>
      <c r="DG128" s="207">
        <f t="shared" si="302"/>
        <v>122.15819059692046</v>
      </c>
      <c r="DH128" s="207">
        <f t="shared" si="303"/>
        <v>224.22246936965294</v>
      </c>
      <c r="DI128" s="207">
        <f t="shared" si="304"/>
        <v>-224.22246936965294</v>
      </c>
      <c r="DJ128" s="209">
        <f t="shared" si="305"/>
        <v>-102.06427877273248</v>
      </c>
      <c r="DK128" s="208">
        <f t="shared" si="321"/>
        <v>0</v>
      </c>
      <c r="DL128" s="207">
        <f t="shared" si="306"/>
        <v>2666.045235076986</v>
      </c>
      <c r="DM128" s="207">
        <f t="shared" si="306"/>
        <v>4876.9946636093364</v>
      </c>
      <c r="DN128" s="207">
        <f t="shared" si="306"/>
        <v>-4876.9946636093364</v>
      </c>
      <c r="DO128" s="209">
        <f t="shared" si="306"/>
        <v>-2210.9494285323512</v>
      </c>
    </row>
    <row r="134" spans="2:172" x14ac:dyDescent="0.3">
      <c r="B134" s="212" t="s">
        <v>260</v>
      </c>
      <c r="C134" s="750" t="s">
        <v>431</v>
      </c>
      <c r="D134" s="269" t="s">
        <v>418</v>
      </c>
      <c r="E134" s="894">
        <v>1</v>
      </c>
      <c r="F134" s="102"/>
      <c r="G134" s="102"/>
      <c r="H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212" t="s">
        <v>260</v>
      </c>
      <c r="Z134" s="750" t="s">
        <v>423</v>
      </c>
      <c r="AA134" s="269" t="s">
        <v>418</v>
      </c>
      <c r="AB134" s="894">
        <v>1.5</v>
      </c>
      <c r="AC134" s="102"/>
      <c r="AD134" s="102"/>
      <c r="AE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X134" s="212" t="s">
        <v>260</v>
      </c>
      <c r="AY134" s="750" t="s">
        <v>424</v>
      </c>
      <c r="AZ134" s="269" t="s">
        <v>418</v>
      </c>
      <c r="BA134" s="894">
        <v>0.5</v>
      </c>
      <c r="BB134" s="102"/>
      <c r="BC134" s="102"/>
      <c r="BD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V134" s="212" t="s">
        <v>260</v>
      </c>
      <c r="BW134" s="750" t="s">
        <v>425</v>
      </c>
      <c r="BX134" s="269" t="s">
        <v>418</v>
      </c>
      <c r="BY134" s="894">
        <v>2</v>
      </c>
      <c r="BZ134" s="102"/>
      <c r="CA134" s="102"/>
      <c r="CB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T134" s="212" t="s">
        <v>260</v>
      </c>
      <c r="CU134" s="750" t="s">
        <v>426</v>
      </c>
      <c r="CV134" s="269" t="s">
        <v>418</v>
      </c>
      <c r="CW134" s="894">
        <v>0</v>
      </c>
      <c r="CX134" s="102"/>
      <c r="CY134" s="102"/>
      <c r="CZ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/>
      <c r="DN134" s="102"/>
      <c r="DX134" s="102"/>
      <c r="DY134" s="102"/>
      <c r="DZ134" s="102"/>
      <c r="EA134" s="102"/>
      <c r="EB134" s="102"/>
      <c r="EC134" s="102"/>
      <c r="ED134" s="102"/>
      <c r="EE134" s="102"/>
      <c r="EF134" s="102"/>
      <c r="EG134" s="102"/>
      <c r="FG134" s="102"/>
      <c r="FH134" s="102"/>
      <c r="FI134" s="102"/>
      <c r="FJ134" s="102"/>
      <c r="FK134" s="102"/>
      <c r="FL134" s="102"/>
      <c r="FM134" s="102"/>
      <c r="FN134" s="102"/>
      <c r="FO134" s="102"/>
      <c r="FP134" s="102"/>
    </row>
    <row r="135" spans="2:172" x14ac:dyDescent="0.3">
      <c r="B135" s="203"/>
      <c r="D135" s="158"/>
      <c r="E135" s="745"/>
      <c r="F135" s="745"/>
      <c r="G135" s="745"/>
      <c r="H135" s="148"/>
      <c r="I135" s="148"/>
      <c r="J135" s="745"/>
      <c r="K135" s="148"/>
      <c r="L135" s="148"/>
      <c r="M135" s="875" t="s">
        <v>279</v>
      </c>
      <c r="N135" s="876"/>
      <c r="O135" s="876"/>
      <c r="P135" s="876"/>
      <c r="Q135" s="877"/>
      <c r="R135" s="875" t="s">
        <v>280</v>
      </c>
      <c r="S135" s="876"/>
      <c r="T135" s="876"/>
      <c r="U135" s="876"/>
      <c r="V135" s="877"/>
      <c r="Y135" s="203"/>
      <c r="AA135" s="158"/>
      <c r="AB135" s="745"/>
      <c r="AC135" s="745"/>
      <c r="AD135" s="745"/>
      <c r="AE135" s="148"/>
      <c r="AF135" s="148"/>
      <c r="AG135" s="745"/>
      <c r="AH135" s="148"/>
      <c r="AI135" s="148"/>
      <c r="AJ135" s="875" t="s">
        <v>279</v>
      </c>
      <c r="AK135" s="876"/>
      <c r="AL135" s="876"/>
      <c r="AM135" s="876"/>
      <c r="AN135" s="877"/>
      <c r="AO135" s="875" t="s">
        <v>280</v>
      </c>
      <c r="AP135" s="876"/>
      <c r="AQ135" s="876"/>
      <c r="AR135" s="876"/>
      <c r="AS135" s="877"/>
      <c r="AX135" s="203"/>
      <c r="AZ135" s="158"/>
      <c r="BA135" s="745"/>
      <c r="BB135" s="745"/>
      <c r="BC135" s="745"/>
      <c r="BD135" s="148"/>
      <c r="BE135" s="148"/>
      <c r="BF135" s="745"/>
      <c r="BG135" s="148"/>
      <c r="BH135" s="148"/>
      <c r="BI135" s="875" t="s">
        <v>279</v>
      </c>
      <c r="BJ135" s="876"/>
      <c r="BK135" s="876"/>
      <c r="BL135" s="876"/>
      <c r="BM135" s="877"/>
      <c r="BN135" s="875" t="s">
        <v>280</v>
      </c>
      <c r="BO135" s="876"/>
      <c r="BP135" s="876"/>
      <c r="BQ135" s="876"/>
      <c r="BR135" s="877"/>
      <c r="BV135" s="203"/>
      <c r="BX135" s="158"/>
      <c r="BY135" s="745"/>
      <c r="BZ135" s="745"/>
      <c r="CA135" s="745"/>
      <c r="CB135" s="148"/>
      <c r="CC135" s="148"/>
      <c r="CD135" s="745"/>
      <c r="CE135" s="148"/>
      <c r="CF135" s="148"/>
      <c r="CG135" s="875" t="s">
        <v>279</v>
      </c>
      <c r="CH135" s="876"/>
      <c r="CI135" s="876"/>
      <c r="CJ135" s="876"/>
      <c r="CK135" s="877"/>
      <c r="CL135" s="875" t="s">
        <v>280</v>
      </c>
      <c r="CM135" s="876"/>
      <c r="CN135" s="876"/>
      <c r="CO135" s="876"/>
      <c r="CP135" s="877"/>
      <c r="CT135" s="203"/>
      <c r="CV135" s="158"/>
      <c r="CW135" s="745"/>
      <c r="CX135" s="745"/>
      <c r="CY135" s="745"/>
      <c r="CZ135" s="148"/>
      <c r="DA135" s="148"/>
      <c r="DB135" s="745"/>
      <c r="DC135" s="148"/>
      <c r="DD135" s="148"/>
      <c r="DE135" s="875" t="s">
        <v>279</v>
      </c>
      <c r="DF135" s="876"/>
      <c r="DG135" s="876"/>
      <c r="DH135" s="876"/>
      <c r="DI135" s="877"/>
      <c r="DJ135" s="875" t="s">
        <v>280</v>
      </c>
      <c r="DK135" s="876"/>
      <c r="DL135" s="876"/>
      <c r="DM135" s="876"/>
      <c r="DN135" s="877"/>
    </row>
    <row r="136" spans="2:172" ht="51" x14ac:dyDescent="0.3">
      <c r="B136" s="204" t="s">
        <v>281</v>
      </c>
      <c r="C136" s="205" t="s">
        <v>307</v>
      </c>
      <c r="D136" s="205" t="s">
        <v>308</v>
      </c>
      <c r="E136" s="171" t="s">
        <v>283</v>
      </c>
      <c r="F136" s="171" t="s">
        <v>10</v>
      </c>
      <c r="G136" s="171" t="s">
        <v>284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287</v>
      </c>
      <c r="K136" s="171" t="s">
        <v>288</v>
      </c>
      <c r="L136" s="171" t="s">
        <v>289</v>
      </c>
      <c r="M136" s="195" t="s">
        <v>290</v>
      </c>
      <c r="N136" s="171" t="s">
        <v>291</v>
      </c>
      <c r="O136" s="171" t="s">
        <v>292</v>
      </c>
      <c r="P136" s="171" t="s">
        <v>293</v>
      </c>
      <c r="Q136" s="198" t="s">
        <v>294</v>
      </c>
      <c r="R136" s="195" t="s">
        <v>295</v>
      </c>
      <c r="S136" s="171" t="s">
        <v>296</v>
      </c>
      <c r="T136" s="171" t="s">
        <v>297</v>
      </c>
      <c r="U136" s="171" t="s">
        <v>298</v>
      </c>
      <c r="V136" s="198" t="s">
        <v>299</v>
      </c>
      <c r="Y136" s="204" t="s">
        <v>281</v>
      </c>
      <c r="Z136" s="205" t="s">
        <v>307</v>
      </c>
      <c r="AA136" s="205" t="s">
        <v>308</v>
      </c>
      <c r="AB136" s="171" t="s">
        <v>283</v>
      </c>
      <c r="AC136" s="171" t="s">
        <v>10</v>
      </c>
      <c r="AD136" s="171" t="s">
        <v>284</v>
      </c>
      <c r="AE136" s="205" t="str">
        <f>'Arable NPV'!$G$141</f>
        <v>Total Variable Costs</v>
      </c>
      <c r="AF136" s="205" t="str">
        <f>'Arable NPV'!$H$141</f>
        <v>Total Fixed Costs</v>
      </c>
      <c r="AG136" s="171" t="s">
        <v>287</v>
      </c>
      <c r="AH136" s="171" t="s">
        <v>288</v>
      </c>
      <c r="AI136" s="171" t="s">
        <v>289</v>
      </c>
      <c r="AJ136" s="195" t="s">
        <v>290</v>
      </c>
      <c r="AK136" s="171" t="s">
        <v>291</v>
      </c>
      <c r="AL136" s="171" t="s">
        <v>292</v>
      </c>
      <c r="AM136" s="171" t="s">
        <v>293</v>
      </c>
      <c r="AN136" s="198" t="s">
        <v>294</v>
      </c>
      <c r="AO136" s="195" t="s">
        <v>295</v>
      </c>
      <c r="AP136" s="171" t="s">
        <v>296</v>
      </c>
      <c r="AQ136" s="171" t="s">
        <v>297</v>
      </c>
      <c r="AR136" s="171" t="s">
        <v>298</v>
      </c>
      <c r="AS136" s="198" t="s">
        <v>299</v>
      </c>
      <c r="AX136" s="204" t="s">
        <v>281</v>
      </c>
      <c r="AY136" s="205" t="s">
        <v>307</v>
      </c>
      <c r="AZ136" s="205" t="s">
        <v>308</v>
      </c>
      <c r="BA136" s="171" t="s">
        <v>283</v>
      </c>
      <c r="BB136" s="171" t="s">
        <v>10</v>
      </c>
      <c r="BC136" s="171" t="s">
        <v>284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287</v>
      </c>
      <c r="BG136" s="171" t="s">
        <v>288</v>
      </c>
      <c r="BH136" s="171" t="s">
        <v>289</v>
      </c>
      <c r="BI136" s="195" t="s">
        <v>290</v>
      </c>
      <c r="BJ136" s="171" t="s">
        <v>291</v>
      </c>
      <c r="BK136" s="171" t="s">
        <v>292</v>
      </c>
      <c r="BL136" s="171" t="s">
        <v>293</v>
      </c>
      <c r="BM136" s="198" t="s">
        <v>294</v>
      </c>
      <c r="BN136" s="195" t="s">
        <v>295</v>
      </c>
      <c r="BO136" s="171" t="s">
        <v>296</v>
      </c>
      <c r="BP136" s="171" t="s">
        <v>297</v>
      </c>
      <c r="BQ136" s="171" t="s">
        <v>298</v>
      </c>
      <c r="BR136" s="198" t="s">
        <v>299</v>
      </c>
      <c r="BV136" s="204" t="s">
        <v>281</v>
      </c>
      <c r="BW136" s="205" t="s">
        <v>307</v>
      </c>
      <c r="BX136" s="205" t="s">
        <v>308</v>
      </c>
      <c r="BY136" s="171" t="s">
        <v>283</v>
      </c>
      <c r="BZ136" s="171" t="s">
        <v>10</v>
      </c>
      <c r="CA136" s="171" t="s">
        <v>284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287</v>
      </c>
      <c r="CE136" s="171" t="s">
        <v>288</v>
      </c>
      <c r="CF136" s="171" t="s">
        <v>289</v>
      </c>
      <c r="CG136" s="195" t="s">
        <v>290</v>
      </c>
      <c r="CH136" s="171" t="s">
        <v>291</v>
      </c>
      <c r="CI136" s="171" t="s">
        <v>292</v>
      </c>
      <c r="CJ136" s="171" t="s">
        <v>293</v>
      </c>
      <c r="CK136" s="198" t="s">
        <v>294</v>
      </c>
      <c r="CL136" s="195" t="s">
        <v>295</v>
      </c>
      <c r="CM136" s="171" t="s">
        <v>296</v>
      </c>
      <c r="CN136" s="171" t="s">
        <v>297</v>
      </c>
      <c r="CO136" s="171" t="s">
        <v>298</v>
      </c>
      <c r="CP136" s="198" t="s">
        <v>299</v>
      </c>
      <c r="CT136" s="204" t="s">
        <v>281</v>
      </c>
      <c r="CU136" s="205" t="s">
        <v>307</v>
      </c>
      <c r="CV136" s="205" t="s">
        <v>308</v>
      </c>
      <c r="CW136" s="171" t="s">
        <v>283</v>
      </c>
      <c r="CX136" s="171" t="s">
        <v>10</v>
      </c>
      <c r="CY136" s="171" t="s">
        <v>284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287</v>
      </c>
      <c r="DC136" s="171" t="s">
        <v>288</v>
      </c>
      <c r="DD136" s="171" t="s">
        <v>289</v>
      </c>
      <c r="DE136" s="195" t="s">
        <v>290</v>
      </c>
      <c r="DF136" s="171" t="s">
        <v>291</v>
      </c>
      <c r="DG136" s="171" t="s">
        <v>292</v>
      </c>
      <c r="DH136" s="171" t="s">
        <v>293</v>
      </c>
      <c r="DI136" s="198" t="s">
        <v>294</v>
      </c>
      <c r="DJ136" s="195" t="s">
        <v>295</v>
      </c>
      <c r="DK136" s="171" t="s">
        <v>296</v>
      </c>
      <c r="DL136" s="171" t="s">
        <v>297</v>
      </c>
      <c r="DM136" s="171" t="s">
        <v>298</v>
      </c>
      <c r="DN136" s="198" t="s">
        <v>299</v>
      </c>
    </row>
    <row r="137" spans="2:172" x14ac:dyDescent="0.3">
      <c r="B137" s="173"/>
      <c r="C137" s="226" t="s">
        <v>356</v>
      </c>
      <c r="D137" s="226" t="s">
        <v>476</v>
      </c>
      <c r="E137" s="201" t="s">
        <v>474</v>
      </c>
      <c r="F137" s="201" t="s">
        <v>474</v>
      </c>
      <c r="G137" s="201" t="s">
        <v>474</v>
      </c>
      <c r="H137" s="201" t="s">
        <v>474</v>
      </c>
      <c r="I137" s="201" t="s">
        <v>474</v>
      </c>
      <c r="J137" s="201" t="s">
        <v>474</v>
      </c>
      <c r="K137" s="201" t="s">
        <v>474</v>
      </c>
      <c r="L137" s="202" t="s">
        <v>474</v>
      </c>
      <c r="M137" s="201" t="s">
        <v>474</v>
      </c>
      <c r="N137" s="201" t="s">
        <v>474</v>
      </c>
      <c r="O137" s="201" t="s">
        <v>474</v>
      </c>
      <c r="P137" s="201" t="s">
        <v>474</v>
      </c>
      <c r="Q137" s="202" t="s">
        <v>474</v>
      </c>
      <c r="R137" s="201" t="s">
        <v>474</v>
      </c>
      <c r="S137" s="201" t="s">
        <v>474</v>
      </c>
      <c r="T137" s="201" t="s">
        <v>474</v>
      </c>
      <c r="U137" s="201" t="s">
        <v>474</v>
      </c>
      <c r="V137" s="202" t="s">
        <v>474</v>
      </c>
      <c r="Y137" s="173"/>
      <c r="Z137" s="226" t="s">
        <v>356</v>
      </c>
      <c r="AA137" s="226" t="s">
        <v>476</v>
      </c>
      <c r="AB137" s="201" t="s">
        <v>474</v>
      </c>
      <c r="AC137" s="201" t="s">
        <v>474</v>
      </c>
      <c r="AD137" s="201" t="s">
        <v>474</v>
      </c>
      <c r="AE137" s="201" t="s">
        <v>474</v>
      </c>
      <c r="AF137" s="201" t="s">
        <v>474</v>
      </c>
      <c r="AG137" s="201" t="s">
        <v>474</v>
      </c>
      <c r="AH137" s="201" t="s">
        <v>474</v>
      </c>
      <c r="AI137" s="202" t="s">
        <v>474</v>
      </c>
      <c r="AJ137" s="201" t="s">
        <v>474</v>
      </c>
      <c r="AK137" s="201" t="s">
        <v>474</v>
      </c>
      <c r="AL137" s="201" t="s">
        <v>474</v>
      </c>
      <c r="AM137" s="201" t="s">
        <v>474</v>
      </c>
      <c r="AN137" s="202" t="s">
        <v>474</v>
      </c>
      <c r="AO137" s="201" t="s">
        <v>474</v>
      </c>
      <c r="AP137" s="201" t="s">
        <v>474</v>
      </c>
      <c r="AQ137" s="201" t="s">
        <v>474</v>
      </c>
      <c r="AR137" s="201" t="s">
        <v>474</v>
      </c>
      <c r="AS137" s="202" t="s">
        <v>474</v>
      </c>
      <c r="AX137" s="173"/>
      <c r="AY137" s="226" t="s">
        <v>356</v>
      </c>
      <c r="AZ137" s="226" t="s">
        <v>476</v>
      </c>
      <c r="BA137" s="201" t="s">
        <v>474</v>
      </c>
      <c r="BB137" s="201" t="s">
        <v>474</v>
      </c>
      <c r="BC137" s="201" t="s">
        <v>474</v>
      </c>
      <c r="BD137" s="201" t="s">
        <v>474</v>
      </c>
      <c r="BE137" s="201" t="s">
        <v>474</v>
      </c>
      <c r="BF137" s="201" t="s">
        <v>474</v>
      </c>
      <c r="BG137" s="201" t="s">
        <v>474</v>
      </c>
      <c r="BH137" s="202" t="s">
        <v>474</v>
      </c>
      <c r="BI137" s="201" t="s">
        <v>474</v>
      </c>
      <c r="BJ137" s="201" t="s">
        <v>474</v>
      </c>
      <c r="BK137" s="201" t="s">
        <v>474</v>
      </c>
      <c r="BL137" s="201" t="s">
        <v>474</v>
      </c>
      <c r="BM137" s="202" t="s">
        <v>474</v>
      </c>
      <c r="BN137" s="201" t="s">
        <v>474</v>
      </c>
      <c r="BO137" s="201" t="s">
        <v>474</v>
      </c>
      <c r="BP137" s="201" t="s">
        <v>474</v>
      </c>
      <c r="BQ137" s="201" t="s">
        <v>474</v>
      </c>
      <c r="BR137" s="202" t="s">
        <v>474</v>
      </c>
      <c r="BV137" s="173"/>
      <c r="BW137" s="226" t="s">
        <v>356</v>
      </c>
      <c r="BX137" s="226" t="s">
        <v>476</v>
      </c>
      <c r="BY137" s="201" t="s">
        <v>474</v>
      </c>
      <c r="BZ137" s="201" t="s">
        <v>474</v>
      </c>
      <c r="CA137" s="201" t="s">
        <v>474</v>
      </c>
      <c r="CB137" s="201" t="s">
        <v>474</v>
      </c>
      <c r="CC137" s="201" t="s">
        <v>474</v>
      </c>
      <c r="CD137" s="201" t="s">
        <v>474</v>
      </c>
      <c r="CE137" s="201" t="s">
        <v>474</v>
      </c>
      <c r="CF137" s="202" t="s">
        <v>474</v>
      </c>
      <c r="CG137" s="201" t="s">
        <v>474</v>
      </c>
      <c r="CH137" s="201" t="s">
        <v>474</v>
      </c>
      <c r="CI137" s="201" t="s">
        <v>474</v>
      </c>
      <c r="CJ137" s="201" t="s">
        <v>474</v>
      </c>
      <c r="CK137" s="202" t="s">
        <v>474</v>
      </c>
      <c r="CL137" s="201" t="s">
        <v>474</v>
      </c>
      <c r="CM137" s="201" t="s">
        <v>474</v>
      </c>
      <c r="CN137" s="201" t="s">
        <v>474</v>
      </c>
      <c r="CO137" s="201" t="s">
        <v>474</v>
      </c>
      <c r="CP137" s="202" t="s">
        <v>474</v>
      </c>
      <c r="CT137" s="173"/>
      <c r="CU137" s="226" t="s">
        <v>356</v>
      </c>
      <c r="CV137" s="226" t="s">
        <v>476</v>
      </c>
      <c r="CW137" s="201" t="s">
        <v>474</v>
      </c>
      <c r="CX137" s="201" t="s">
        <v>474</v>
      </c>
      <c r="CY137" s="201" t="s">
        <v>474</v>
      </c>
      <c r="CZ137" s="201" t="s">
        <v>474</v>
      </c>
      <c r="DA137" s="201" t="s">
        <v>474</v>
      </c>
      <c r="DB137" s="201" t="s">
        <v>474</v>
      </c>
      <c r="DC137" s="201" t="s">
        <v>474</v>
      </c>
      <c r="DD137" s="202" t="s">
        <v>474</v>
      </c>
      <c r="DE137" s="201" t="s">
        <v>474</v>
      </c>
      <c r="DF137" s="201" t="s">
        <v>474</v>
      </c>
      <c r="DG137" s="201" t="s">
        <v>474</v>
      </c>
      <c r="DH137" s="201" t="s">
        <v>474</v>
      </c>
      <c r="DI137" s="202" t="s">
        <v>474</v>
      </c>
      <c r="DJ137" s="201" t="s">
        <v>474</v>
      </c>
      <c r="DK137" s="201" t="s">
        <v>474</v>
      </c>
      <c r="DL137" s="201" t="s">
        <v>474</v>
      </c>
      <c r="DM137" s="201" t="s">
        <v>474</v>
      </c>
      <c r="DN137" s="202" t="s">
        <v>474</v>
      </c>
    </row>
    <row r="138" spans="2:172" x14ac:dyDescent="0.3">
      <c r="B138" s="880">
        <v>1</v>
      </c>
      <c r="C138" s="892">
        <f>'Arable Inputs'!$H$18*$E$134</f>
        <v>12</v>
      </c>
      <c r="D138" s="747">
        <f>'Arable Inputs'!$H$25</f>
        <v>107.1</v>
      </c>
      <c r="E138" s="749">
        <f>C138*D138</f>
        <v>1285.1999999999998</v>
      </c>
      <c r="F138" s="197">
        <f>'Arable NPV'!$D117</f>
        <v>220</v>
      </c>
      <c r="G138" s="197">
        <f>E138+F138</f>
        <v>1505.1999999999998</v>
      </c>
      <c r="H138" s="197">
        <f>'Arable NPV'!$F117</f>
        <v>528.51499999999999</v>
      </c>
      <c r="I138" s="197">
        <f>'Arable NPV'!$G117</f>
        <v>552.40000000000009</v>
      </c>
      <c r="J138" s="197">
        <f t="shared" ref="J138:J153" si="322">H138+I138</f>
        <v>1080.915</v>
      </c>
      <c r="K138" s="197">
        <f t="shared" ref="K138:K153" si="323">E138-J138</f>
        <v>204.28499999999985</v>
      </c>
      <c r="L138" s="197">
        <f t="shared" ref="L138:L153" si="324">G138-J138</f>
        <v>424.28499999999985</v>
      </c>
      <c r="M138" s="1016">
        <f>E138/(1+$B$4)^(B138-1)</f>
        <v>1285.1999999999998</v>
      </c>
      <c r="N138" s="213">
        <f>F138/(1+$B$4)^(B138-1)</f>
        <v>220</v>
      </c>
      <c r="O138" s="213">
        <f>J138/(1+$B$4)^(B138-1)</f>
        <v>1080.915</v>
      </c>
      <c r="P138" s="213">
        <f>K138/(1+$B$4)^(B138-1)</f>
        <v>204.28499999999985</v>
      </c>
      <c r="Q138" s="908">
        <f>L138/(1+$B$4)^(B138-1)</f>
        <v>424.28499999999985</v>
      </c>
      <c r="R138" s="196">
        <f>M138</f>
        <v>1285.1999999999998</v>
      </c>
      <c r="S138" s="197">
        <f>N138</f>
        <v>220</v>
      </c>
      <c r="T138" s="197">
        <f>O138</f>
        <v>1080.915</v>
      </c>
      <c r="U138" s="197">
        <f>P138</f>
        <v>204.28499999999985</v>
      </c>
      <c r="V138" s="199">
        <f>Q138</f>
        <v>424.28499999999985</v>
      </c>
      <c r="Y138" s="880">
        <v>1</v>
      </c>
      <c r="Z138" s="892">
        <f>'Arable Inputs'!$H$18*$AB$134</f>
        <v>18</v>
      </c>
      <c r="AA138" s="747">
        <f>'Arable Inputs'!$H$25</f>
        <v>107.1</v>
      </c>
      <c r="AB138" s="749">
        <f>Z138*AA138</f>
        <v>1927.8</v>
      </c>
      <c r="AC138" s="197">
        <f>'Arable NPV'!$D117</f>
        <v>220</v>
      </c>
      <c r="AD138" s="197">
        <f>AB138+AC138</f>
        <v>2147.8000000000002</v>
      </c>
      <c r="AE138" s="197">
        <f>'Arable NPV'!$F117</f>
        <v>528.51499999999999</v>
      </c>
      <c r="AF138" s="197">
        <f>'Arable NPV'!$G117</f>
        <v>552.40000000000009</v>
      </c>
      <c r="AG138" s="197">
        <f t="shared" ref="AG138:AG153" si="325">AE138+AF138</f>
        <v>1080.915</v>
      </c>
      <c r="AH138" s="197">
        <f t="shared" ref="AH138:AH153" si="326">AB138-AG138</f>
        <v>846.88499999999999</v>
      </c>
      <c r="AI138" s="197">
        <f t="shared" ref="AI138:AI153" si="327">AD138-AG138</f>
        <v>1066.8850000000002</v>
      </c>
      <c r="AJ138" s="1016">
        <f>AB138/(1+$B$4)^(Y138-1)</f>
        <v>1927.8</v>
      </c>
      <c r="AK138" s="213">
        <f>AC138/(1+$B$4)^(Y138-1)</f>
        <v>220</v>
      </c>
      <c r="AL138" s="213">
        <f>AG138/(1+$B$4)^(Y138-1)</f>
        <v>1080.915</v>
      </c>
      <c r="AM138" s="213">
        <f>AH138/(1+$B$4)^(Y138-1)</f>
        <v>846.88499999999999</v>
      </c>
      <c r="AN138" s="908">
        <f>AI138/(1+$B$4)^(Y138-1)</f>
        <v>1066.8850000000002</v>
      </c>
      <c r="AO138" s="196">
        <f>AJ138</f>
        <v>1927.8</v>
      </c>
      <c r="AP138" s="197">
        <f>AK138</f>
        <v>220</v>
      </c>
      <c r="AQ138" s="197">
        <f>AL138</f>
        <v>1080.915</v>
      </c>
      <c r="AR138" s="197">
        <f>AM138</f>
        <v>846.88499999999999</v>
      </c>
      <c r="AS138" s="199">
        <f>AN138</f>
        <v>1066.8850000000002</v>
      </c>
      <c r="AX138" s="880">
        <v>1</v>
      </c>
      <c r="AY138" s="892">
        <f>'Arable Inputs'!$H$18*$BA$134</f>
        <v>6</v>
      </c>
      <c r="AZ138" s="747">
        <f>'Arable Inputs'!$H$25</f>
        <v>107.1</v>
      </c>
      <c r="BA138" s="749">
        <f>AY138*AZ138</f>
        <v>642.59999999999991</v>
      </c>
      <c r="BB138" s="197">
        <f>'Arable NPV'!$D117</f>
        <v>220</v>
      </c>
      <c r="BC138" s="197">
        <f>BA138+BB138</f>
        <v>862.59999999999991</v>
      </c>
      <c r="BD138" s="197">
        <f>'Arable NPV'!$F117</f>
        <v>528.51499999999999</v>
      </c>
      <c r="BE138" s="197">
        <f>'Arable NPV'!$G117</f>
        <v>552.40000000000009</v>
      </c>
      <c r="BF138" s="197">
        <f t="shared" ref="BF138:BF153" si="328">BD138+BE138</f>
        <v>1080.915</v>
      </c>
      <c r="BG138" s="197">
        <f t="shared" ref="BG138:BG153" si="329">BA138-BF138</f>
        <v>-438.31500000000005</v>
      </c>
      <c r="BH138" s="197">
        <f t="shared" ref="BH138:BH153" si="330">BC138-BF138</f>
        <v>-218.31500000000005</v>
      </c>
      <c r="BI138" s="1016">
        <f>BA138/(1+$B$4)^(AX138-1)</f>
        <v>642.59999999999991</v>
      </c>
      <c r="BJ138" s="213">
        <f>BB138/(1+$B$4)^(AX138-1)</f>
        <v>220</v>
      </c>
      <c r="BK138" s="213">
        <f>BF138/(1+$B$4)^(AX138-1)</f>
        <v>1080.915</v>
      </c>
      <c r="BL138" s="213">
        <f>BG138/(1+$B$4)^(AX138-1)</f>
        <v>-438.31500000000005</v>
      </c>
      <c r="BM138" s="908">
        <f>BH138/(1+$B$4)^(AX138-1)</f>
        <v>-218.31500000000005</v>
      </c>
      <c r="BN138" s="196">
        <f>BI138</f>
        <v>642.59999999999991</v>
      </c>
      <c r="BO138" s="197">
        <f>BJ138</f>
        <v>220</v>
      </c>
      <c r="BP138" s="197">
        <f>BK138</f>
        <v>1080.915</v>
      </c>
      <c r="BQ138" s="197">
        <f>BL138</f>
        <v>-438.31500000000005</v>
      </c>
      <c r="BR138" s="199">
        <f>BM138</f>
        <v>-218.31500000000005</v>
      </c>
      <c r="BV138" s="880">
        <v>1</v>
      </c>
      <c r="BW138" s="892">
        <f>'Arable Inputs'!$H$18*$BY$134</f>
        <v>24</v>
      </c>
      <c r="BX138" s="747">
        <f>'Arable Inputs'!$H$25</f>
        <v>107.1</v>
      </c>
      <c r="BY138" s="749">
        <f>BW138*BX138</f>
        <v>2570.3999999999996</v>
      </c>
      <c r="BZ138" s="197">
        <f>'Arable NPV'!$D117</f>
        <v>220</v>
      </c>
      <c r="CA138" s="197">
        <f>BY138+BZ138</f>
        <v>2790.3999999999996</v>
      </c>
      <c r="CB138" s="197">
        <f>'Arable NPV'!$F117</f>
        <v>528.51499999999999</v>
      </c>
      <c r="CC138" s="197">
        <f>'Arable NPV'!$G117</f>
        <v>552.40000000000009</v>
      </c>
      <c r="CD138" s="197">
        <f t="shared" ref="CD138:CD153" si="331">CB138+CC138</f>
        <v>1080.915</v>
      </c>
      <c r="CE138" s="197">
        <f t="shared" ref="CE138:CE153" si="332">BY138-CD138</f>
        <v>1489.4849999999997</v>
      </c>
      <c r="CF138" s="197">
        <f t="shared" ref="CF138:CF153" si="333">CA138-CD138</f>
        <v>1709.4849999999997</v>
      </c>
      <c r="CG138" s="1016">
        <f>BY138/(1+$B$4)^(BV138-1)</f>
        <v>2570.3999999999996</v>
      </c>
      <c r="CH138" s="213">
        <f>BZ138/(1+$B$4)^(BV138-1)</f>
        <v>220</v>
      </c>
      <c r="CI138" s="213">
        <f>CD138/(1+$B$4)^(BV138-1)</f>
        <v>1080.915</v>
      </c>
      <c r="CJ138" s="213">
        <f>CE138/(1+$B$4)^(BV138-1)</f>
        <v>1489.4849999999997</v>
      </c>
      <c r="CK138" s="908">
        <f>CF138/(1+$B$4)^(BV138-1)</f>
        <v>1709.4849999999997</v>
      </c>
      <c r="CL138" s="196">
        <f>CG138</f>
        <v>2570.3999999999996</v>
      </c>
      <c r="CM138" s="197">
        <f>CH138</f>
        <v>220</v>
      </c>
      <c r="CN138" s="197">
        <f>CI138</f>
        <v>1080.915</v>
      </c>
      <c r="CO138" s="197">
        <f>CJ138</f>
        <v>1489.4849999999997</v>
      </c>
      <c r="CP138" s="199">
        <f>CK138</f>
        <v>1709.4849999999997</v>
      </c>
      <c r="CT138" s="880">
        <v>1</v>
      </c>
      <c r="CU138" s="892">
        <f>'Arable Inputs'!$H$18*$CW$134</f>
        <v>0</v>
      </c>
      <c r="CV138" s="747">
        <f>'Arable Inputs'!$H$25</f>
        <v>107.1</v>
      </c>
      <c r="CW138" s="749">
        <f>CU138*CV138</f>
        <v>0</v>
      </c>
      <c r="CX138" s="197">
        <f>'Arable NPV'!$D117</f>
        <v>220</v>
      </c>
      <c r="CY138" s="197">
        <f>CW138+CX138</f>
        <v>220</v>
      </c>
      <c r="CZ138" s="197">
        <f>'Arable NPV'!$F117</f>
        <v>528.51499999999999</v>
      </c>
      <c r="DA138" s="197">
        <f>'Arable NPV'!$G117</f>
        <v>552.40000000000009</v>
      </c>
      <c r="DB138" s="197">
        <f t="shared" ref="DB138:DB153" si="334">CZ138+DA138</f>
        <v>1080.915</v>
      </c>
      <c r="DC138" s="197">
        <f t="shared" ref="DC138:DC153" si="335">CW138-DB138</f>
        <v>-1080.915</v>
      </c>
      <c r="DD138" s="197">
        <f t="shared" ref="DD138:DD153" si="336">CY138-DB138</f>
        <v>-860.91499999999996</v>
      </c>
      <c r="DE138" s="1016">
        <f>CW138/(1+$B$4)^(CT138-1)</f>
        <v>0</v>
      </c>
      <c r="DF138" s="213">
        <f>CX138/(1+$B$4)^(CT138-1)</f>
        <v>220</v>
      </c>
      <c r="DG138" s="213">
        <f>DB138/(1+$B$4)^(CT138-1)</f>
        <v>1080.915</v>
      </c>
      <c r="DH138" s="213">
        <f>DC138/(1+$B$4)^(CT138-1)</f>
        <v>-1080.915</v>
      </c>
      <c r="DI138" s="908">
        <f>DD138/(1+$B$4)^(CT138-1)</f>
        <v>-860.91499999999996</v>
      </c>
      <c r="DJ138" s="196">
        <f>DE138</f>
        <v>0</v>
      </c>
      <c r="DK138" s="197">
        <f>DF138</f>
        <v>220</v>
      </c>
      <c r="DL138" s="197">
        <f>DG138</f>
        <v>1080.915</v>
      </c>
      <c r="DM138" s="197">
        <f>DH138</f>
        <v>-1080.915</v>
      </c>
      <c r="DN138" s="199">
        <f>DI138</f>
        <v>-860.91499999999996</v>
      </c>
    </row>
    <row r="139" spans="2:172" x14ac:dyDescent="0.3">
      <c r="B139" s="881">
        <v>2</v>
      </c>
      <c r="C139" s="892">
        <f>'Arable Inputs'!$H$18*$E$134</f>
        <v>12</v>
      </c>
      <c r="D139" s="747">
        <f>'Arable Inputs'!$H$25</f>
        <v>107.1</v>
      </c>
      <c r="E139" s="749">
        <f t="shared" ref="E139:E153" si="337">C139*D139</f>
        <v>1285.1999999999998</v>
      </c>
      <c r="F139" s="197">
        <f>'Arable NPV'!$D118</f>
        <v>220</v>
      </c>
      <c r="G139" s="197">
        <f>E139+F139</f>
        <v>1505.1999999999998</v>
      </c>
      <c r="H139" s="197">
        <f>'Arable NPV'!$F118</f>
        <v>528.51499999999999</v>
      </c>
      <c r="I139" s="197">
        <f>'Arable NPV'!$G118</f>
        <v>552.40000000000009</v>
      </c>
      <c r="J139" s="197">
        <f t="shared" si="322"/>
        <v>1080.915</v>
      </c>
      <c r="K139" s="197">
        <f t="shared" si="323"/>
        <v>204.28499999999985</v>
      </c>
      <c r="L139" s="197">
        <f t="shared" si="324"/>
        <v>424.28499999999985</v>
      </c>
      <c r="M139" s="196">
        <f t="shared" ref="M139:M153" si="338">E139/(1+$B$4)^(B139-1)</f>
        <v>1235.7692307692305</v>
      </c>
      <c r="N139" s="197">
        <f t="shared" ref="N139:N153" si="339">F139/(1+$B$4)^(B139-1)</f>
        <v>211.53846153846152</v>
      </c>
      <c r="O139" s="197">
        <f t="shared" ref="O139:O153" si="340">J139/(1+$B$4)^(B139-1)</f>
        <v>1039.3413461538462</v>
      </c>
      <c r="P139" s="197">
        <f t="shared" ref="P139:P153" si="341">K139/(1+$B$4)^(B139-1)</f>
        <v>196.42788461538447</v>
      </c>
      <c r="Q139" s="199">
        <f t="shared" ref="Q139:Q153" si="342">L139/(1+$B$4)^(B139-1)</f>
        <v>407.96634615384602</v>
      </c>
      <c r="R139" s="196">
        <f t="shared" ref="R139:V153" si="343">R138+M139</f>
        <v>2520.9692307692303</v>
      </c>
      <c r="S139" s="197">
        <f t="shared" si="343"/>
        <v>431.53846153846155</v>
      </c>
      <c r="T139" s="197">
        <f t="shared" si="343"/>
        <v>2120.2563461538462</v>
      </c>
      <c r="U139" s="197">
        <f t="shared" si="343"/>
        <v>400.71288461538433</v>
      </c>
      <c r="V139" s="199">
        <f t="shared" si="343"/>
        <v>832.25134615384582</v>
      </c>
      <c r="Y139" s="881">
        <v>2</v>
      </c>
      <c r="Z139" s="892">
        <f>'Arable Inputs'!$H$18*$AB$134</f>
        <v>18</v>
      </c>
      <c r="AA139" s="747">
        <f>'Arable Inputs'!$H$25</f>
        <v>107.1</v>
      </c>
      <c r="AB139" s="749">
        <f t="shared" ref="AB139:AB153" si="344">Z139*AA139</f>
        <v>1927.8</v>
      </c>
      <c r="AC139" s="197">
        <f>'Arable NPV'!$D118</f>
        <v>220</v>
      </c>
      <c r="AD139" s="197">
        <f>AB139+AC139</f>
        <v>2147.8000000000002</v>
      </c>
      <c r="AE139" s="197">
        <f>'Arable NPV'!$F118</f>
        <v>528.51499999999999</v>
      </c>
      <c r="AF139" s="197">
        <f>'Arable NPV'!$G118</f>
        <v>552.40000000000009</v>
      </c>
      <c r="AG139" s="197">
        <f t="shared" si="325"/>
        <v>1080.915</v>
      </c>
      <c r="AH139" s="197">
        <f t="shared" si="326"/>
        <v>846.88499999999999</v>
      </c>
      <c r="AI139" s="197">
        <f t="shared" si="327"/>
        <v>1066.8850000000002</v>
      </c>
      <c r="AJ139" s="196">
        <f t="shared" ref="AJ139:AJ153" si="345">AB139/(1+$B$4)^(Y139-1)</f>
        <v>1853.653846153846</v>
      </c>
      <c r="AK139" s="197">
        <f t="shared" ref="AK139:AK153" si="346">AC139/(1+$B$4)^(Y139-1)</f>
        <v>211.53846153846152</v>
      </c>
      <c r="AL139" s="197">
        <f t="shared" ref="AL139:AL153" si="347">AG139/(1+$B$4)^(Y139-1)</f>
        <v>1039.3413461538462</v>
      </c>
      <c r="AM139" s="197">
        <f t="shared" ref="AM139:AM153" si="348">AH139/(1+$B$4)^(Y139-1)</f>
        <v>814.3125</v>
      </c>
      <c r="AN139" s="199">
        <f t="shared" ref="AN139:AN152" si="349">AI139/(1+$B$4)^(Y139-1)</f>
        <v>1025.8509615384617</v>
      </c>
      <c r="AO139" s="196">
        <f t="shared" ref="AO139:AO153" si="350">AO138+AJ139</f>
        <v>3781.4538461538459</v>
      </c>
      <c r="AP139" s="197">
        <f t="shared" ref="AP139:AP153" si="351">AP138+AK139</f>
        <v>431.53846153846155</v>
      </c>
      <c r="AQ139" s="197">
        <f t="shared" ref="AQ139:AQ153" si="352">AQ138+AL139</f>
        <v>2120.2563461538462</v>
      </c>
      <c r="AR139" s="197">
        <f t="shared" ref="AR139:AR153" si="353">AR138+AM139</f>
        <v>1661.1975</v>
      </c>
      <c r="AS139" s="199">
        <f t="shared" ref="AS139:AS153" si="354">AS138+AN139</f>
        <v>2092.7359615384621</v>
      </c>
      <c r="AX139" s="881">
        <v>2</v>
      </c>
      <c r="AY139" s="892">
        <f>'Arable Inputs'!$H$18*$BA$134</f>
        <v>6</v>
      </c>
      <c r="AZ139" s="747">
        <f>'Arable Inputs'!$H$25</f>
        <v>107.1</v>
      </c>
      <c r="BA139" s="749">
        <f t="shared" ref="BA139:BA153" si="355">AY139*AZ139</f>
        <v>642.59999999999991</v>
      </c>
      <c r="BB139" s="197">
        <f>'Arable NPV'!$D118</f>
        <v>220</v>
      </c>
      <c r="BC139" s="197">
        <f>BA139+BB139</f>
        <v>862.59999999999991</v>
      </c>
      <c r="BD139" s="197">
        <f>'Arable NPV'!$F118</f>
        <v>528.51499999999999</v>
      </c>
      <c r="BE139" s="197">
        <f>'Arable NPV'!$G118</f>
        <v>552.40000000000009</v>
      </c>
      <c r="BF139" s="197">
        <f t="shared" si="328"/>
        <v>1080.915</v>
      </c>
      <c r="BG139" s="197">
        <f t="shared" si="329"/>
        <v>-438.31500000000005</v>
      </c>
      <c r="BH139" s="197">
        <f t="shared" si="330"/>
        <v>-218.31500000000005</v>
      </c>
      <c r="BI139" s="196">
        <f t="shared" ref="BI139:BI153" si="356">BA139/(1+$B$4)^(AX139-1)</f>
        <v>617.88461538461524</v>
      </c>
      <c r="BJ139" s="197">
        <f t="shared" ref="BJ139:BJ153" si="357">BB139/(1+$B$4)^(AX139-1)</f>
        <v>211.53846153846152</v>
      </c>
      <c r="BK139" s="197">
        <f t="shared" ref="BK139:BK153" si="358">BF139/(1+$B$4)^(AX139-1)</f>
        <v>1039.3413461538462</v>
      </c>
      <c r="BL139" s="197">
        <f t="shared" ref="BL139:BL153" si="359">BG139/(1+$B$4)^(AX139-1)</f>
        <v>-421.45673076923083</v>
      </c>
      <c r="BM139" s="199">
        <f t="shared" ref="BM139:BM152" si="360">BH139/(1+$B$4)^(AX139-1)</f>
        <v>-209.91826923076928</v>
      </c>
      <c r="BN139" s="196">
        <f t="shared" ref="BN139:BN153" si="361">BN138+BI139</f>
        <v>1260.4846153846152</v>
      </c>
      <c r="BO139" s="197">
        <f t="shared" ref="BO139:BO153" si="362">BO138+BJ139</f>
        <v>431.53846153846155</v>
      </c>
      <c r="BP139" s="197">
        <f t="shared" ref="BP139:BP153" si="363">BP138+BK139</f>
        <v>2120.2563461538462</v>
      </c>
      <c r="BQ139" s="197">
        <f t="shared" ref="BQ139:BQ153" si="364">BQ138+BL139</f>
        <v>-859.77173076923089</v>
      </c>
      <c r="BR139" s="199">
        <f t="shared" ref="BR139:BR153" si="365">BR138+BM139</f>
        <v>-428.23326923076934</v>
      </c>
      <c r="BV139" s="881">
        <v>2</v>
      </c>
      <c r="BW139" s="892">
        <f>'Arable Inputs'!$H$18*$BY$134</f>
        <v>24</v>
      </c>
      <c r="BX139" s="747">
        <f>'Arable Inputs'!$H$25</f>
        <v>107.1</v>
      </c>
      <c r="BY139" s="749">
        <f t="shared" ref="BY139:BY153" si="366">BW139*BX139</f>
        <v>2570.3999999999996</v>
      </c>
      <c r="BZ139" s="197">
        <f>'Arable NPV'!$D118</f>
        <v>220</v>
      </c>
      <c r="CA139" s="197">
        <f>BY139+BZ139</f>
        <v>2790.3999999999996</v>
      </c>
      <c r="CB139" s="197">
        <f>'Arable NPV'!$F118</f>
        <v>528.51499999999999</v>
      </c>
      <c r="CC139" s="197">
        <f>'Arable NPV'!$G118</f>
        <v>552.40000000000009</v>
      </c>
      <c r="CD139" s="197">
        <f t="shared" si="331"/>
        <v>1080.915</v>
      </c>
      <c r="CE139" s="197">
        <f t="shared" si="332"/>
        <v>1489.4849999999997</v>
      </c>
      <c r="CF139" s="197">
        <f t="shared" si="333"/>
        <v>1709.4849999999997</v>
      </c>
      <c r="CG139" s="196">
        <f t="shared" ref="CG139:CG153" si="367">BY139/(1+$B$4)^(BV139-1)</f>
        <v>2471.538461538461</v>
      </c>
      <c r="CH139" s="197">
        <f t="shared" ref="CH139:CH153" si="368">BZ139/(1+$B$4)^(BV139-1)</f>
        <v>211.53846153846152</v>
      </c>
      <c r="CI139" s="197">
        <f t="shared" ref="CI139:CI153" si="369">CD139/(1+$B$4)^(BV139-1)</f>
        <v>1039.3413461538462</v>
      </c>
      <c r="CJ139" s="197">
        <f t="shared" ref="CJ139:CJ153" si="370">CE139/(1+$B$4)^(BV139-1)</f>
        <v>1432.197115384615</v>
      </c>
      <c r="CK139" s="199">
        <f t="shared" ref="CK139:CK152" si="371">CF139/(1+$B$4)^(BV139-1)</f>
        <v>1643.7355769230765</v>
      </c>
      <c r="CL139" s="196">
        <f t="shared" ref="CL139:CL153" si="372">CL138+CG139</f>
        <v>5041.9384615384606</v>
      </c>
      <c r="CM139" s="197">
        <f t="shared" ref="CM139:CM153" si="373">CM138+CH139</f>
        <v>431.53846153846155</v>
      </c>
      <c r="CN139" s="197">
        <f t="shared" ref="CN139:CN153" si="374">CN138+CI139</f>
        <v>2120.2563461538462</v>
      </c>
      <c r="CO139" s="197">
        <f t="shared" ref="CO139:CO153" si="375">CO138+CJ139</f>
        <v>2921.6821153846149</v>
      </c>
      <c r="CP139" s="199">
        <f t="shared" ref="CP139:CP153" si="376">CP138+CK139</f>
        <v>3353.2205769230759</v>
      </c>
      <c r="CT139" s="881">
        <v>2</v>
      </c>
      <c r="CU139" s="892">
        <f>'Arable Inputs'!$H$18*$CW$134</f>
        <v>0</v>
      </c>
      <c r="CV139" s="747">
        <f>'Arable Inputs'!$H$25</f>
        <v>107.1</v>
      </c>
      <c r="CW139" s="749">
        <f t="shared" ref="CW139:CW153" si="377">CU139*CV139</f>
        <v>0</v>
      </c>
      <c r="CX139" s="197">
        <f>'Arable NPV'!$D118</f>
        <v>220</v>
      </c>
      <c r="CY139" s="197">
        <f>CW139+CX139</f>
        <v>220</v>
      </c>
      <c r="CZ139" s="197">
        <f>'Arable NPV'!$F118</f>
        <v>528.51499999999999</v>
      </c>
      <c r="DA139" s="197">
        <f>'Arable NPV'!$G118</f>
        <v>552.40000000000009</v>
      </c>
      <c r="DB139" s="197">
        <f t="shared" si="334"/>
        <v>1080.915</v>
      </c>
      <c r="DC139" s="197">
        <f t="shared" si="335"/>
        <v>-1080.915</v>
      </c>
      <c r="DD139" s="197">
        <f t="shared" si="336"/>
        <v>-860.91499999999996</v>
      </c>
      <c r="DE139" s="196">
        <f t="shared" ref="DE139:DE153" si="378">CW139/(1+$B$4)^(CT139-1)</f>
        <v>0</v>
      </c>
      <c r="DF139" s="197">
        <f t="shared" ref="DF139:DF153" si="379">CX139/(1+$B$4)^(CT139-1)</f>
        <v>211.53846153846152</v>
      </c>
      <c r="DG139" s="197">
        <f t="shared" ref="DG139:DG153" si="380">DB139/(1+$B$4)^(CT139-1)</f>
        <v>1039.3413461538462</v>
      </c>
      <c r="DH139" s="197">
        <f t="shared" ref="DH139:DH153" si="381">DC139/(1+$B$4)^(CT139-1)</f>
        <v>-1039.3413461538462</v>
      </c>
      <c r="DI139" s="199">
        <f t="shared" ref="DI139:DI152" si="382">DD139/(1+$B$4)^(CT139-1)</f>
        <v>-827.80288461538453</v>
      </c>
      <c r="DJ139" s="196">
        <f t="shared" ref="DJ139:DJ153" si="383">DJ138+DE139</f>
        <v>0</v>
      </c>
      <c r="DK139" s="197">
        <f t="shared" ref="DK139:DK153" si="384">DK138+DF139</f>
        <v>431.53846153846155</v>
      </c>
      <c r="DL139" s="197">
        <f t="shared" ref="DL139:DL153" si="385">DL138+DG139</f>
        <v>2120.2563461538462</v>
      </c>
      <c r="DM139" s="197">
        <f t="shared" ref="DM139:DM153" si="386">DM138+DH139</f>
        <v>-2120.2563461538462</v>
      </c>
      <c r="DN139" s="199">
        <f t="shared" ref="DN139:DN153" si="387">DN138+DI139</f>
        <v>-1688.7178846153845</v>
      </c>
    </row>
    <row r="140" spans="2:172" x14ac:dyDescent="0.3">
      <c r="B140" s="881">
        <v>3</v>
      </c>
      <c r="C140" s="892">
        <f>'Arable Inputs'!$H$18*$E$134</f>
        <v>12</v>
      </c>
      <c r="D140" s="747">
        <f>'Arable Inputs'!$H$25</f>
        <v>107.1</v>
      </c>
      <c r="E140" s="749">
        <f t="shared" si="337"/>
        <v>1285.1999999999998</v>
      </c>
      <c r="F140" s="197">
        <f>'Arable NPV'!$D119</f>
        <v>220</v>
      </c>
      <c r="G140" s="197">
        <f t="shared" ref="G140:G152" si="388">E140+F140</f>
        <v>1505.1999999999998</v>
      </c>
      <c r="H140" s="197">
        <f>'Arable NPV'!$F119</f>
        <v>528.51499999999999</v>
      </c>
      <c r="I140" s="197">
        <f>'Arable NPV'!$G119</f>
        <v>552.40000000000009</v>
      </c>
      <c r="J140" s="197">
        <f t="shared" si="322"/>
        <v>1080.915</v>
      </c>
      <c r="K140" s="197">
        <f t="shared" si="323"/>
        <v>204.28499999999985</v>
      </c>
      <c r="L140" s="197">
        <f t="shared" si="324"/>
        <v>424.28499999999985</v>
      </c>
      <c r="M140" s="196">
        <f t="shared" si="338"/>
        <v>1188.2396449704138</v>
      </c>
      <c r="N140" s="197">
        <f t="shared" si="339"/>
        <v>203.40236686390531</v>
      </c>
      <c r="O140" s="197">
        <f t="shared" si="340"/>
        <v>999.36667899408269</v>
      </c>
      <c r="P140" s="197">
        <f t="shared" si="341"/>
        <v>188.87296597633122</v>
      </c>
      <c r="Q140" s="199">
        <f t="shared" si="342"/>
        <v>392.2753328402365</v>
      </c>
      <c r="R140" s="196">
        <f t="shared" si="343"/>
        <v>3709.2088757396441</v>
      </c>
      <c r="S140" s="197">
        <f t="shared" si="343"/>
        <v>634.94082840236683</v>
      </c>
      <c r="T140" s="197">
        <f t="shared" si="343"/>
        <v>3119.6230251479287</v>
      </c>
      <c r="U140" s="197">
        <f t="shared" si="343"/>
        <v>589.5858505917156</v>
      </c>
      <c r="V140" s="199">
        <f t="shared" si="343"/>
        <v>1224.5266789940824</v>
      </c>
      <c r="Y140" s="881">
        <v>3</v>
      </c>
      <c r="Z140" s="892">
        <f>'Arable Inputs'!$H$18*$AB$134</f>
        <v>18</v>
      </c>
      <c r="AA140" s="747">
        <f>'Arable Inputs'!$H$25</f>
        <v>107.1</v>
      </c>
      <c r="AB140" s="749">
        <f t="shared" si="344"/>
        <v>1927.8</v>
      </c>
      <c r="AC140" s="197">
        <f>'Arable NPV'!$D119</f>
        <v>220</v>
      </c>
      <c r="AD140" s="197">
        <f t="shared" ref="AD140:AD152" si="389">AB140+AC140</f>
        <v>2147.8000000000002</v>
      </c>
      <c r="AE140" s="197">
        <f>'Arable NPV'!$F119</f>
        <v>528.51499999999999</v>
      </c>
      <c r="AF140" s="197">
        <f>'Arable NPV'!$G119</f>
        <v>552.40000000000009</v>
      </c>
      <c r="AG140" s="197">
        <f t="shared" si="325"/>
        <v>1080.915</v>
      </c>
      <c r="AH140" s="197">
        <f t="shared" si="326"/>
        <v>846.88499999999999</v>
      </c>
      <c r="AI140" s="197">
        <f t="shared" si="327"/>
        <v>1066.8850000000002</v>
      </c>
      <c r="AJ140" s="196">
        <f t="shared" si="345"/>
        <v>1782.3594674556211</v>
      </c>
      <c r="AK140" s="197">
        <f t="shared" si="346"/>
        <v>203.40236686390531</v>
      </c>
      <c r="AL140" s="197">
        <f t="shared" si="347"/>
        <v>999.36667899408269</v>
      </c>
      <c r="AM140" s="197">
        <f t="shared" si="348"/>
        <v>782.99278846153834</v>
      </c>
      <c r="AN140" s="199">
        <f t="shared" si="349"/>
        <v>986.39515532544385</v>
      </c>
      <c r="AO140" s="196">
        <f t="shared" si="350"/>
        <v>5563.8133136094675</v>
      </c>
      <c r="AP140" s="197">
        <f t="shared" si="351"/>
        <v>634.94082840236683</v>
      </c>
      <c r="AQ140" s="197">
        <f t="shared" si="352"/>
        <v>3119.6230251479287</v>
      </c>
      <c r="AR140" s="197">
        <f t="shared" si="353"/>
        <v>2444.1902884615383</v>
      </c>
      <c r="AS140" s="199">
        <f t="shared" si="354"/>
        <v>3079.1311168639058</v>
      </c>
      <c r="AX140" s="881">
        <v>3</v>
      </c>
      <c r="AY140" s="892">
        <f>'Arable Inputs'!$H$18*$BA$134</f>
        <v>6</v>
      </c>
      <c r="AZ140" s="747">
        <f>'Arable Inputs'!$H$25</f>
        <v>107.1</v>
      </c>
      <c r="BA140" s="749">
        <f t="shared" si="355"/>
        <v>642.59999999999991</v>
      </c>
      <c r="BB140" s="197">
        <f>'Arable NPV'!$D119</f>
        <v>220</v>
      </c>
      <c r="BC140" s="197">
        <f t="shared" ref="BC140:BC152" si="390">BA140+BB140</f>
        <v>862.59999999999991</v>
      </c>
      <c r="BD140" s="197">
        <f>'Arable NPV'!$F119</f>
        <v>528.51499999999999</v>
      </c>
      <c r="BE140" s="197">
        <f>'Arable NPV'!$G119</f>
        <v>552.40000000000009</v>
      </c>
      <c r="BF140" s="197">
        <f t="shared" si="328"/>
        <v>1080.915</v>
      </c>
      <c r="BG140" s="197">
        <f t="shared" si="329"/>
        <v>-438.31500000000005</v>
      </c>
      <c r="BH140" s="197">
        <f t="shared" si="330"/>
        <v>-218.31500000000005</v>
      </c>
      <c r="BI140" s="196">
        <f t="shared" si="356"/>
        <v>594.1198224852069</v>
      </c>
      <c r="BJ140" s="197">
        <f t="shared" si="357"/>
        <v>203.40236686390531</v>
      </c>
      <c r="BK140" s="197">
        <f t="shared" si="358"/>
        <v>999.36667899408269</v>
      </c>
      <c r="BL140" s="197">
        <f t="shared" si="359"/>
        <v>-405.24685650887574</v>
      </c>
      <c r="BM140" s="199">
        <f t="shared" si="360"/>
        <v>-201.84448964497045</v>
      </c>
      <c r="BN140" s="196">
        <f t="shared" si="361"/>
        <v>1854.604437869822</v>
      </c>
      <c r="BO140" s="197">
        <f t="shared" si="362"/>
        <v>634.94082840236683</v>
      </c>
      <c r="BP140" s="197">
        <f t="shared" si="363"/>
        <v>3119.6230251479287</v>
      </c>
      <c r="BQ140" s="197">
        <f t="shared" si="364"/>
        <v>-1265.0185872781067</v>
      </c>
      <c r="BR140" s="199">
        <f t="shared" si="365"/>
        <v>-630.07775887573985</v>
      </c>
      <c r="BV140" s="881">
        <v>3</v>
      </c>
      <c r="BW140" s="892">
        <f>'Arable Inputs'!$H$18*$BY$134</f>
        <v>24</v>
      </c>
      <c r="BX140" s="747">
        <f>'Arable Inputs'!$H$25</f>
        <v>107.1</v>
      </c>
      <c r="BY140" s="749">
        <f t="shared" si="366"/>
        <v>2570.3999999999996</v>
      </c>
      <c r="BZ140" s="197">
        <f>'Arable NPV'!$D119</f>
        <v>220</v>
      </c>
      <c r="CA140" s="197">
        <f t="shared" ref="CA140:CA152" si="391">BY140+BZ140</f>
        <v>2790.3999999999996</v>
      </c>
      <c r="CB140" s="197">
        <f>'Arable NPV'!$F119</f>
        <v>528.51499999999999</v>
      </c>
      <c r="CC140" s="197">
        <f>'Arable NPV'!$G119</f>
        <v>552.40000000000009</v>
      </c>
      <c r="CD140" s="197">
        <f t="shared" si="331"/>
        <v>1080.915</v>
      </c>
      <c r="CE140" s="197">
        <f t="shared" si="332"/>
        <v>1489.4849999999997</v>
      </c>
      <c r="CF140" s="197">
        <f t="shared" si="333"/>
        <v>1709.4849999999997</v>
      </c>
      <c r="CG140" s="196">
        <f t="shared" si="367"/>
        <v>2376.4792899408276</v>
      </c>
      <c r="CH140" s="197">
        <f t="shared" si="368"/>
        <v>203.40236686390531</v>
      </c>
      <c r="CI140" s="197">
        <f t="shared" si="369"/>
        <v>999.36667899408269</v>
      </c>
      <c r="CJ140" s="197">
        <f t="shared" si="370"/>
        <v>1377.112610946745</v>
      </c>
      <c r="CK140" s="199">
        <f t="shared" si="371"/>
        <v>1580.5149778106504</v>
      </c>
      <c r="CL140" s="196">
        <f t="shared" si="372"/>
        <v>7418.4177514792882</v>
      </c>
      <c r="CM140" s="197">
        <f t="shared" si="373"/>
        <v>634.94082840236683</v>
      </c>
      <c r="CN140" s="197">
        <f t="shared" si="374"/>
        <v>3119.6230251479287</v>
      </c>
      <c r="CO140" s="197">
        <f t="shared" si="375"/>
        <v>4298.7947263313599</v>
      </c>
      <c r="CP140" s="199">
        <f t="shared" si="376"/>
        <v>4933.7355547337265</v>
      </c>
      <c r="CT140" s="881">
        <v>3</v>
      </c>
      <c r="CU140" s="892">
        <f>'Arable Inputs'!$H$18*$CW$134</f>
        <v>0</v>
      </c>
      <c r="CV140" s="747">
        <f>'Arable Inputs'!$H$25</f>
        <v>107.1</v>
      </c>
      <c r="CW140" s="749">
        <f t="shared" si="377"/>
        <v>0</v>
      </c>
      <c r="CX140" s="197">
        <f>'Arable NPV'!$D119</f>
        <v>220</v>
      </c>
      <c r="CY140" s="197">
        <f t="shared" ref="CY140:CY152" si="392">CW140+CX140</f>
        <v>220</v>
      </c>
      <c r="CZ140" s="197">
        <f>'Arable NPV'!$F119</f>
        <v>528.51499999999999</v>
      </c>
      <c r="DA140" s="197">
        <f>'Arable NPV'!$G119</f>
        <v>552.40000000000009</v>
      </c>
      <c r="DB140" s="197">
        <f t="shared" si="334"/>
        <v>1080.915</v>
      </c>
      <c r="DC140" s="197">
        <f t="shared" si="335"/>
        <v>-1080.915</v>
      </c>
      <c r="DD140" s="197">
        <f t="shared" si="336"/>
        <v>-860.91499999999996</v>
      </c>
      <c r="DE140" s="196">
        <f t="shared" si="378"/>
        <v>0</v>
      </c>
      <c r="DF140" s="197">
        <f t="shared" si="379"/>
        <v>203.40236686390531</v>
      </c>
      <c r="DG140" s="197">
        <f t="shared" si="380"/>
        <v>999.36667899408269</v>
      </c>
      <c r="DH140" s="197">
        <f t="shared" si="381"/>
        <v>-999.36667899408269</v>
      </c>
      <c r="DI140" s="199">
        <f t="shared" si="382"/>
        <v>-795.9643121301774</v>
      </c>
      <c r="DJ140" s="196">
        <f t="shared" si="383"/>
        <v>0</v>
      </c>
      <c r="DK140" s="197">
        <f t="shared" si="384"/>
        <v>634.94082840236683</v>
      </c>
      <c r="DL140" s="197">
        <f t="shared" si="385"/>
        <v>3119.6230251479287</v>
      </c>
      <c r="DM140" s="197">
        <f t="shared" si="386"/>
        <v>-3119.6230251479287</v>
      </c>
      <c r="DN140" s="199">
        <f t="shared" si="387"/>
        <v>-2484.6821967455617</v>
      </c>
    </row>
    <row r="141" spans="2:172" x14ac:dyDescent="0.3">
      <c r="B141" s="881">
        <v>4</v>
      </c>
      <c r="C141" s="892">
        <f>'Arable Inputs'!$H$18*$E$134</f>
        <v>12</v>
      </c>
      <c r="D141" s="747">
        <f>'Arable Inputs'!$H$25</f>
        <v>107.1</v>
      </c>
      <c r="E141" s="749">
        <f t="shared" si="337"/>
        <v>1285.1999999999998</v>
      </c>
      <c r="F141" s="197">
        <f>'Arable NPV'!$D120</f>
        <v>220</v>
      </c>
      <c r="G141" s="197">
        <f t="shared" si="388"/>
        <v>1505.1999999999998</v>
      </c>
      <c r="H141" s="197">
        <f>'Arable NPV'!$F120</f>
        <v>528.51499999999999</v>
      </c>
      <c r="I141" s="197">
        <f>'Arable NPV'!$G120</f>
        <v>552.40000000000009</v>
      </c>
      <c r="J141" s="197">
        <f t="shared" si="322"/>
        <v>1080.915</v>
      </c>
      <c r="K141" s="197">
        <f t="shared" si="323"/>
        <v>204.28499999999985</v>
      </c>
      <c r="L141" s="197">
        <f t="shared" si="324"/>
        <v>424.28499999999985</v>
      </c>
      <c r="M141" s="196">
        <f t="shared" si="338"/>
        <v>1142.5381201638595</v>
      </c>
      <c r="N141" s="197">
        <f t="shared" si="339"/>
        <v>195.57919890760127</v>
      </c>
      <c r="O141" s="197">
        <f t="shared" si="340"/>
        <v>960.9294990327719</v>
      </c>
      <c r="P141" s="197">
        <f t="shared" si="341"/>
        <v>181.60862113108772</v>
      </c>
      <c r="Q141" s="199">
        <f t="shared" si="342"/>
        <v>377.18782003868898</v>
      </c>
      <c r="R141" s="196">
        <f t="shared" si="343"/>
        <v>4851.7469959035034</v>
      </c>
      <c r="S141" s="197">
        <f t="shared" si="343"/>
        <v>830.5200273099681</v>
      </c>
      <c r="T141" s="197">
        <f t="shared" si="343"/>
        <v>4080.5525241807009</v>
      </c>
      <c r="U141" s="197">
        <f t="shared" si="343"/>
        <v>771.19447172280331</v>
      </c>
      <c r="V141" s="199">
        <f t="shared" si="343"/>
        <v>1601.7144990327715</v>
      </c>
      <c r="Y141" s="881">
        <v>4</v>
      </c>
      <c r="Z141" s="892">
        <f>'Arable Inputs'!$H$18*$AB$134</f>
        <v>18</v>
      </c>
      <c r="AA141" s="747">
        <f>'Arable Inputs'!$H$25</f>
        <v>107.1</v>
      </c>
      <c r="AB141" s="749">
        <f t="shared" si="344"/>
        <v>1927.8</v>
      </c>
      <c r="AC141" s="197">
        <f>'Arable NPV'!$D120</f>
        <v>220</v>
      </c>
      <c r="AD141" s="197">
        <f t="shared" si="389"/>
        <v>2147.8000000000002</v>
      </c>
      <c r="AE141" s="197">
        <f>'Arable NPV'!$F120</f>
        <v>528.51499999999999</v>
      </c>
      <c r="AF141" s="197">
        <f>'Arable NPV'!$G120</f>
        <v>552.40000000000009</v>
      </c>
      <c r="AG141" s="197">
        <f t="shared" si="325"/>
        <v>1080.915</v>
      </c>
      <c r="AH141" s="197">
        <f t="shared" si="326"/>
        <v>846.88499999999999</v>
      </c>
      <c r="AI141" s="197">
        <f t="shared" si="327"/>
        <v>1066.8850000000002</v>
      </c>
      <c r="AJ141" s="196">
        <f t="shared" si="345"/>
        <v>1713.8071802457896</v>
      </c>
      <c r="AK141" s="197">
        <f t="shared" si="346"/>
        <v>195.57919890760127</v>
      </c>
      <c r="AL141" s="197">
        <f t="shared" si="347"/>
        <v>960.9294990327719</v>
      </c>
      <c r="AM141" s="197">
        <f t="shared" si="348"/>
        <v>752.87768121301769</v>
      </c>
      <c r="AN141" s="199">
        <f t="shared" si="349"/>
        <v>948.45688012061919</v>
      </c>
      <c r="AO141" s="196">
        <f t="shared" si="350"/>
        <v>7277.6204938552573</v>
      </c>
      <c r="AP141" s="197">
        <f t="shared" si="351"/>
        <v>830.5200273099681</v>
      </c>
      <c r="AQ141" s="197">
        <f t="shared" si="352"/>
        <v>4080.5525241807009</v>
      </c>
      <c r="AR141" s="197">
        <f t="shared" si="353"/>
        <v>3197.067969674556</v>
      </c>
      <c r="AS141" s="199">
        <f t="shared" si="354"/>
        <v>4027.587996984525</v>
      </c>
      <c r="AX141" s="881">
        <v>4</v>
      </c>
      <c r="AY141" s="892">
        <f>'Arable Inputs'!$H$18*$BA$134</f>
        <v>6</v>
      </c>
      <c r="AZ141" s="747">
        <f>'Arable Inputs'!$H$25</f>
        <v>107.1</v>
      </c>
      <c r="BA141" s="749">
        <f t="shared" si="355"/>
        <v>642.59999999999991</v>
      </c>
      <c r="BB141" s="197">
        <f>'Arable NPV'!$D120</f>
        <v>220</v>
      </c>
      <c r="BC141" s="197">
        <f t="shared" si="390"/>
        <v>862.59999999999991</v>
      </c>
      <c r="BD141" s="197">
        <f>'Arable NPV'!$F120</f>
        <v>528.51499999999999</v>
      </c>
      <c r="BE141" s="197">
        <f>'Arable NPV'!$G120</f>
        <v>552.40000000000009</v>
      </c>
      <c r="BF141" s="197">
        <f t="shared" si="328"/>
        <v>1080.915</v>
      </c>
      <c r="BG141" s="197">
        <f t="shared" si="329"/>
        <v>-438.31500000000005</v>
      </c>
      <c r="BH141" s="197">
        <f t="shared" si="330"/>
        <v>-218.31500000000005</v>
      </c>
      <c r="BI141" s="196">
        <f t="shared" si="356"/>
        <v>571.26906008192975</v>
      </c>
      <c r="BJ141" s="197">
        <f t="shared" si="357"/>
        <v>195.57919890760127</v>
      </c>
      <c r="BK141" s="197">
        <f t="shared" si="358"/>
        <v>960.9294990327719</v>
      </c>
      <c r="BL141" s="197">
        <f t="shared" si="359"/>
        <v>-389.66043895084209</v>
      </c>
      <c r="BM141" s="199">
        <f t="shared" si="360"/>
        <v>-194.08124004324083</v>
      </c>
      <c r="BN141" s="196">
        <f t="shared" si="361"/>
        <v>2425.8734979517517</v>
      </c>
      <c r="BO141" s="197">
        <f t="shared" si="362"/>
        <v>830.5200273099681</v>
      </c>
      <c r="BP141" s="197">
        <f t="shared" si="363"/>
        <v>4080.5525241807009</v>
      </c>
      <c r="BQ141" s="197">
        <f t="shared" si="364"/>
        <v>-1654.6790262289487</v>
      </c>
      <c r="BR141" s="199">
        <f t="shared" si="365"/>
        <v>-824.15899891898061</v>
      </c>
      <c r="BV141" s="881">
        <v>4</v>
      </c>
      <c r="BW141" s="892">
        <f>'Arable Inputs'!$H$18*$BY$134</f>
        <v>24</v>
      </c>
      <c r="BX141" s="747">
        <f>'Arable Inputs'!$H$25</f>
        <v>107.1</v>
      </c>
      <c r="BY141" s="749">
        <f t="shared" si="366"/>
        <v>2570.3999999999996</v>
      </c>
      <c r="BZ141" s="197">
        <f>'Arable NPV'!$D120</f>
        <v>220</v>
      </c>
      <c r="CA141" s="197">
        <f t="shared" si="391"/>
        <v>2790.3999999999996</v>
      </c>
      <c r="CB141" s="197">
        <f>'Arable NPV'!$F120</f>
        <v>528.51499999999999</v>
      </c>
      <c r="CC141" s="197">
        <f>'Arable NPV'!$G120</f>
        <v>552.40000000000009</v>
      </c>
      <c r="CD141" s="197">
        <f t="shared" si="331"/>
        <v>1080.915</v>
      </c>
      <c r="CE141" s="197">
        <f t="shared" si="332"/>
        <v>1489.4849999999997</v>
      </c>
      <c r="CF141" s="197">
        <f t="shared" si="333"/>
        <v>1709.4849999999997</v>
      </c>
      <c r="CG141" s="196">
        <f t="shared" si="367"/>
        <v>2285.076240327719</v>
      </c>
      <c r="CH141" s="197">
        <f t="shared" si="368"/>
        <v>195.57919890760127</v>
      </c>
      <c r="CI141" s="197">
        <f t="shared" si="369"/>
        <v>960.9294990327719</v>
      </c>
      <c r="CJ141" s="197">
        <f t="shared" si="370"/>
        <v>1324.1467412949473</v>
      </c>
      <c r="CK141" s="199">
        <f t="shared" si="371"/>
        <v>1519.7259402025486</v>
      </c>
      <c r="CL141" s="196">
        <f t="shared" si="372"/>
        <v>9703.4939918070068</v>
      </c>
      <c r="CM141" s="197">
        <f t="shared" si="373"/>
        <v>830.5200273099681</v>
      </c>
      <c r="CN141" s="197">
        <f t="shared" si="374"/>
        <v>4080.5525241807009</v>
      </c>
      <c r="CO141" s="197">
        <f t="shared" si="375"/>
        <v>5622.9414676263077</v>
      </c>
      <c r="CP141" s="199">
        <f t="shared" si="376"/>
        <v>6453.4614949362749</v>
      </c>
      <c r="CT141" s="881">
        <v>4</v>
      </c>
      <c r="CU141" s="892">
        <f>'Arable Inputs'!$H$18*$CW$134</f>
        <v>0</v>
      </c>
      <c r="CV141" s="747">
        <f>'Arable Inputs'!$H$25</f>
        <v>107.1</v>
      </c>
      <c r="CW141" s="749">
        <f t="shared" si="377"/>
        <v>0</v>
      </c>
      <c r="CX141" s="197">
        <f>'Arable NPV'!$D120</f>
        <v>220</v>
      </c>
      <c r="CY141" s="197">
        <f t="shared" si="392"/>
        <v>220</v>
      </c>
      <c r="CZ141" s="197">
        <f>'Arable NPV'!$F120</f>
        <v>528.51499999999999</v>
      </c>
      <c r="DA141" s="197">
        <f>'Arable NPV'!$G120</f>
        <v>552.40000000000009</v>
      </c>
      <c r="DB141" s="197">
        <f t="shared" si="334"/>
        <v>1080.915</v>
      </c>
      <c r="DC141" s="197">
        <f t="shared" si="335"/>
        <v>-1080.915</v>
      </c>
      <c r="DD141" s="197">
        <f t="shared" si="336"/>
        <v>-860.91499999999996</v>
      </c>
      <c r="DE141" s="196">
        <f t="shared" si="378"/>
        <v>0</v>
      </c>
      <c r="DF141" s="197">
        <f t="shared" si="379"/>
        <v>195.57919890760127</v>
      </c>
      <c r="DG141" s="197">
        <f t="shared" si="380"/>
        <v>960.9294990327719</v>
      </c>
      <c r="DH141" s="197">
        <f t="shared" si="381"/>
        <v>-960.9294990327719</v>
      </c>
      <c r="DI141" s="199">
        <f t="shared" si="382"/>
        <v>-765.35030012517063</v>
      </c>
      <c r="DJ141" s="196">
        <f t="shared" si="383"/>
        <v>0</v>
      </c>
      <c r="DK141" s="197">
        <f t="shared" si="384"/>
        <v>830.5200273099681</v>
      </c>
      <c r="DL141" s="197">
        <f t="shared" si="385"/>
        <v>4080.5525241807009</v>
      </c>
      <c r="DM141" s="197">
        <f t="shared" si="386"/>
        <v>-4080.5525241807009</v>
      </c>
      <c r="DN141" s="199">
        <f t="shared" si="387"/>
        <v>-3250.0324968707323</v>
      </c>
    </row>
    <row r="142" spans="2:172" x14ac:dyDescent="0.3">
      <c r="B142" s="881">
        <v>5</v>
      </c>
      <c r="C142" s="892">
        <f>'Arable Inputs'!$H$18*$E$134</f>
        <v>12</v>
      </c>
      <c r="D142" s="747">
        <f>'Arable Inputs'!$H$25</f>
        <v>107.1</v>
      </c>
      <c r="E142" s="749">
        <f t="shared" si="337"/>
        <v>1285.1999999999998</v>
      </c>
      <c r="F142" s="197">
        <f>'Arable NPV'!$D121</f>
        <v>220</v>
      </c>
      <c r="G142" s="197">
        <f t="shared" si="388"/>
        <v>1505.1999999999998</v>
      </c>
      <c r="H142" s="197">
        <f>'Arable NPV'!$F121</f>
        <v>528.51499999999999</v>
      </c>
      <c r="I142" s="197">
        <f>'Arable NPV'!$G121</f>
        <v>552.40000000000009</v>
      </c>
      <c r="J142" s="197">
        <f t="shared" si="322"/>
        <v>1080.915</v>
      </c>
      <c r="K142" s="197">
        <f t="shared" si="323"/>
        <v>204.28499999999985</v>
      </c>
      <c r="L142" s="197">
        <f t="shared" si="324"/>
        <v>424.28499999999985</v>
      </c>
      <c r="M142" s="196">
        <f t="shared" si="338"/>
        <v>1098.5943463114033</v>
      </c>
      <c r="N142" s="197">
        <f t="shared" si="339"/>
        <v>188.05692202653967</v>
      </c>
      <c r="O142" s="197">
        <f t="shared" si="340"/>
        <v>923.97067214689594</v>
      </c>
      <c r="P142" s="197">
        <f t="shared" si="341"/>
        <v>174.62367416450738</v>
      </c>
      <c r="Q142" s="199">
        <f t="shared" si="342"/>
        <v>362.68059619104702</v>
      </c>
      <c r="R142" s="196">
        <f t="shared" si="343"/>
        <v>5950.3413422149069</v>
      </c>
      <c r="S142" s="197">
        <f t="shared" si="343"/>
        <v>1018.5769493365078</v>
      </c>
      <c r="T142" s="197">
        <f t="shared" si="343"/>
        <v>5004.5231963275965</v>
      </c>
      <c r="U142" s="197">
        <f t="shared" si="343"/>
        <v>945.81814588731072</v>
      </c>
      <c r="V142" s="199">
        <f t="shared" si="343"/>
        <v>1964.3950952238185</v>
      </c>
      <c r="Y142" s="881">
        <v>5</v>
      </c>
      <c r="Z142" s="892">
        <f>'Arable Inputs'!$H$18*$AB$134</f>
        <v>18</v>
      </c>
      <c r="AA142" s="747">
        <f>'Arable Inputs'!$H$25</f>
        <v>107.1</v>
      </c>
      <c r="AB142" s="749">
        <f t="shared" si="344"/>
        <v>1927.8</v>
      </c>
      <c r="AC142" s="197">
        <f>'Arable NPV'!$D121</f>
        <v>220</v>
      </c>
      <c r="AD142" s="197">
        <f t="shared" si="389"/>
        <v>2147.8000000000002</v>
      </c>
      <c r="AE142" s="197">
        <f>'Arable NPV'!$F121</f>
        <v>528.51499999999999</v>
      </c>
      <c r="AF142" s="197">
        <f>'Arable NPV'!$G121</f>
        <v>552.40000000000009</v>
      </c>
      <c r="AG142" s="197">
        <f t="shared" si="325"/>
        <v>1080.915</v>
      </c>
      <c r="AH142" s="197">
        <f t="shared" si="326"/>
        <v>846.88499999999999</v>
      </c>
      <c r="AI142" s="197">
        <f t="shared" si="327"/>
        <v>1066.8850000000002</v>
      </c>
      <c r="AJ142" s="196">
        <f t="shared" si="345"/>
        <v>1647.8915194671051</v>
      </c>
      <c r="AK142" s="197">
        <f t="shared" si="346"/>
        <v>188.05692202653967</v>
      </c>
      <c r="AL142" s="197">
        <f t="shared" si="347"/>
        <v>923.97067214689594</v>
      </c>
      <c r="AM142" s="197">
        <f t="shared" si="348"/>
        <v>723.92084732020919</v>
      </c>
      <c r="AN142" s="199">
        <f t="shared" si="349"/>
        <v>911.97776934674903</v>
      </c>
      <c r="AO142" s="196">
        <f t="shared" si="350"/>
        <v>8925.5120133223627</v>
      </c>
      <c r="AP142" s="197">
        <f t="shared" si="351"/>
        <v>1018.5769493365078</v>
      </c>
      <c r="AQ142" s="197">
        <f t="shared" si="352"/>
        <v>5004.5231963275965</v>
      </c>
      <c r="AR142" s="197">
        <f t="shared" si="353"/>
        <v>3920.9888169947653</v>
      </c>
      <c r="AS142" s="199">
        <f t="shared" si="354"/>
        <v>4939.5657663312741</v>
      </c>
      <c r="AX142" s="881">
        <v>5</v>
      </c>
      <c r="AY142" s="892">
        <f>'Arable Inputs'!$H$18*$BA$134</f>
        <v>6</v>
      </c>
      <c r="AZ142" s="747">
        <f>'Arable Inputs'!$H$25</f>
        <v>107.1</v>
      </c>
      <c r="BA142" s="749">
        <f t="shared" si="355"/>
        <v>642.59999999999991</v>
      </c>
      <c r="BB142" s="197">
        <f>'Arable NPV'!$D121</f>
        <v>220</v>
      </c>
      <c r="BC142" s="197">
        <f t="shared" si="390"/>
        <v>862.59999999999991</v>
      </c>
      <c r="BD142" s="197">
        <f>'Arable NPV'!$F121</f>
        <v>528.51499999999999</v>
      </c>
      <c r="BE142" s="197">
        <f>'Arable NPV'!$G121</f>
        <v>552.40000000000009</v>
      </c>
      <c r="BF142" s="197">
        <f t="shared" si="328"/>
        <v>1080.915</v>
      </c>
      <c r="BG142" s="197">
        <f t="shared" si="329"/>
        <v>-438.31500000000005</v>
      </c>
      <c r="BH142" s="197">
        <f t="shared" si="330"/>
        <v>-218.31500000000005</v>
      </c>
      <c r="BI142" s="196">
        <f t="shared" si="356"/>
        <v>549.29717315570167</v>
      </c>
      <c r="BJ142" s="197">
        <f t="shared" si="357"/>
        <v>188.05692202653967</v>
      </c>
      <c r="BK142" s="197">
        <f t="shared" si="358"/>
        <v>923.97067214689594</v>
      </c>
      <c r="BL142" s="197">
        <f t="shared" si="359"/>
        <v>-374.67349899119426</v>
      </c>
      <c r="BM142" s="199">
        <f t="shared" si="360"/>
        <v>-186.6165769646546</v>
      </c>
      <c r="BN142" s="196">
        <f t="shared" si="361"/>
        <v>2975.1706711074535</v>
      </c>
      <c r="BO142" s="197">
        <f t="shared" si="362"/>
        <v>1018.5769493365078</v>
      </c>
      <c r="BP142" s="197">
        <f t="shared" si="363"/>
        <v>5004.5231963275965</v>
      </c>
      <c r="BQ142" s="197">
        <f t="shared" si="364"/>
        <v>-2029.352525220143</v>
      </c>
      <c r="BR142" s="199">
        <f t="shared" si="365"/>
        <v>-1010.7755758836352</v>
      </c>
      <c r="BV142" s="881">
        <v>5</v>
      </c>
      <c r="BW142" s="892">
        <f>'Arable Inputs'!$H$18*$BY$134</f>
        <v>24</v>
      </c>
      <c r="BX142" s="747">
        <f>'Arable Inputs'!$H$25</f>
        <v>107.1</v>
      </c>
      <c r="BY142" s="749">
        <f t="shared" si="366"/>
        <v>2570.3999999999996</v>
      </c>
      <c r="BZ142" s="197">
        <f>'Arable NPV'!$D121</f>
        <v>220</v>
      </c>
      <c r="CA142" s="197">
        <f t="shared" si="391"/>
        <v>2790.3999999999996</v>
      </c>
      <c r="CB142" s="197">
        <f>'Arable NPV'!$F121</f>
        <v>528.51499999999999</v>
      </c>
      <c r="CC142" s="197">
        <f>'Arable NPV'!$G121</f>
        <v>552.40000000000009</v>
      </c>
      <c r="CD142" s="197">
        <f t="shared" si="331"/>
        <v>1080.915</v>
      </c>
      <c r="CE142" s="197">
        <f t="shared" si="332"/>
        <v>1489.4849999999997</v>
      </c>
      <c r="CF142" s="197">
        <f t="shared" si="333"/>
        <v>1709.4849999999997</v>
      </c>
      <c r="CG142" s="196">
        <f t="shared" si="367"/>
        <v>2197.1886926228067</v>
      </c>
      <c r="CH142" s="197">
        <f t="shared" si="368"/>
        <v>188.05692202653967</v>
      </c>
      <c r="CI142" s="197">
        <f t="shared" si="369"/>
        <v>923.97067214689594</v>
      </c>
      <c r="CJ142" s="197">
        <f t="shared" si="370"/>
        <v>1273.2180204759106</v>
      </c>
      <c r="CK142" s="199">
        <f t="shared" si="371"/>
        <v>1461.2749425024504</v>
      </c>
      <c r="CL142" s="196">
        <f t="shared" si="372"/>
        <v>11900.682684429814</v>
      </c>
      <c r="CM142" s="197">
        <f t="shared" si="373"/>
        <v>1018.5769493365078</v>
      </c>
      <c r="CN142" s="197">
        <f t="shared" si="374"/>
        <v>5004.5231963275965</v>
      </c>
      <c r="CO142" s="197">
        <f t="shared" si="375"/>
        <v>6896.1594881022183</v>
      </c>
      <c r="CP142" s="199">
        <f t="shared" si="376"/>
        <v>7914.7364374387253</v>
      </c>
      <c r="CT142" s="881">
        <v>5</v>
      </c>
      <c r="CU142" s="892">
        <f>'Arable Inputs'!$H$18*$CW$134</f>
        <v>0</v>
      </c>
      <c r="CV142" s="747">
        <f>'Arable Inputs'!$H$25</f>
        <v>107.1</v>
      </c>
      <c r="CW142" s="749">
        <f t="shared" si="377"/>
        <v>0</v>
      </c>
      <c r="CX142" s="197">
        <f>'Arable NPV'!$D121</f>
        <v>220</v>
      </c>
      <c r="CY142" s="197">
        <f t="shared" si="392"/>
        <v>220</v>
      </c>
      <c r="CZ142" s="197">
        <f>'Arable NPV'!$F121</f>
        <v>528.51499999999999</v>
      </c>
      <c r="DA142" s="197">
        <f>'Arable NPV'!$G121</f>
        <v>552.40000000000009</v>
      </c>
      <c r="DB142" s="197">
        <f t="shared" si="334"/>
        <v>1080.915</v>
      </c>
      <c r="DC142" s="197">
        <f t="shared" si="335"/>
        <v>-1080.915</v>
      </c>
      <c r="DD142" s="197">
        <f t="shared" si="336"/>
        <v>-860.91499999999996</v>
      </c>
      <c r="DE142" s="196">
        <f t="shared" si="378"/>
        <v>0</v>
      </c>
      <c r="DF142" s="197">
        <f t="shared" si="379"/>
        <v>188.05692202653967</v>
      </c>
      <c r="DG142" s="197">
        <f t="shared" si="380"/>
        <v>923.97067214689594</v>
      </c>
      <c r="DH142" s="197">
        <f t="shared" si="381"/>
        <v>-923.97067214689594</v>
      </c>
      <c r="DI142" s="199">
        <f t="shared" si="382"/>
        <v>-735.91375012035621</v>
      </c>
      <c r="DJ142" s="196">
        <f t="shared" si="383"/>
        <v>0</v>
      </c>
      <c r="DK142" s="197">
        <f t="shared" si="384"/>
        <v>1018.5769493365078</v>
      </c>
      <c r="DL142" s="197">
        <f t="shared" si="385"/>
        <v>5004.5231963275965</v>
      </c>
      <c r="DM142" s="197">
        <f t="shared" si="386"/>
        <v>-5004.5231963275965</v>
      </c>
      <c r="DN142" s="199">
        <f t="shared" si="387"/>
        <v>-3985.9462469910886</v>
      </c>
    </row>
    <row r="143" spans="2:172" x14ac:dyDescent="0.3">
      <c r="B143" s="881">
        <v>6</v>
      </c>
      <c r="C143" s="892">
        <f>'Arable Inputs'!$H$18*$E$134</f>
        <v>12</v>
      </c>
      <c r="D143" s="747">
        <f>'Arable Inputs'!$H$25</f>
        <v>107.1</v>
      </c>
      <c r="E143" s="749">
        <f t="shared" si="337"/>
        <v>1285.1999999999998</v>
      </c>
      <c r="F143" s="197">
        <f>'Arable NPV'!$D122</f>
        <v>220</v>
      </c>
      <c r="G143" s="197">
        <f t="shared" si="388"/>
        <v>1505.1999999999998</v>
      </c>
      <c r="H143" s="197">
        <f>'Arable NPV'!$F122</f>
        <v>528.51499999999999</v>
      </c>
      <c r="I143" s="197">
        <f>'Arable NPV'!$G122</f>
        <v>552.40000000000009</v>
      </c>
      <c r="J143" s="197">
        <f t="shared" si="322"/>
        <v>1080.915</v>
      </c>
      <c r="K143" s="197">
        <f t="shared" si="323"/>
        <v>204.28499999999985</v>
      </c>
      <c r="L143" s="197">
        <f t="shared" si="324"/>
        <v>424.28499999999985</v>
      </c>
      <c r="M143" s="196">
        <f t="shared" si="338"/>
        <v>1056.3407176071184</v>
      </c>
      <c r="N143" s="197">
        <f t="shared" si="339"/>
        <v>180.82396348705734</v>
      </c>
      <c r="O143" s="197">
        <f t="shared" si="340"/>
        <v>888.43333860278449</v>
      </c>
      <c r="P143" s="197">
        <f t="shared" si="341"/>
        <v>167.90737900433402</v>
      </c>
      <c r="Q143" s="199">
        <f t="shared" si="342"/>
        <v>348.73134249139133</v>
      </c>
      <c r="R143" s="196">
        <f t="shared" si="343"/>
        <v>7006.6820598220256</v>
      </c>
      <c r="S143" s="197">
        <f t="shared" si="343"/>
        <v>1199.4009128235652</v>
      </c>
      <c r="T143" s="197">
        <f t="shared" si="343"/>
        <v>5892.9565349303812</v>
      </c>
      <c r="U143" s="197">
        <f t="shared" si="343"/>
        <v>1113.7255248916447</v>
      </c>
      <c r="V143" s="199">
        <f t="shared" si="343"/>
        <v>2313.1264377152097</v>
      </c>
      <c r="Y143" s="881">
        <v>6</v>
      </c>
      <c r="Z143" s="892">
        <f>'Arable Inputs'!$H$18*$AB$134</f>
        <v>18</v>
      </c>
      <c r="AA143" s="747">
        <f>'Arable Inputs'!$H$25</f>
        <v>107.1</v>
      </c>
      <c r="AB143" s="749">
        <f t="shared" si="344"/>
        <v>1927.8</v>
      </c>
      <c r="AC143" s="197">
        <f>'Arable NPV'!$D122</f>
        <v>220</v>
      </c>
      <c r="AD143" s="197">
        <f t="shared" si="389"/>
        <v>2147.8000000000002</v>
      </c>
      <c r="AE143" s="197">
        <f>'Arable NPV'!$F122</f>
        <v>528.51499999999999</v>
      </c>
      <c r="AF143" s="197">
        <f>'Arable NPV'!$G122</f>
        <v>552.40000000000009</v>
      </c>
      <c r="AG143" s="197">
        <f t="shared" si="325"/>
        <v>1080.915</v>
      </c>
      <c r="AH143" s="197">
        <f t="shared" si="326"/>
        <v>846.88499999999999</v>
      </c>
      <c r="AI143" s="197">
        <f t="shared" si="327"/>
        <v>1066.8850000000002</v>
      </c>
      <c r="AJ143" s="196">
        <f t="shared" si="345"/>
        <v>1584.5110764106778</v>
      </c>
      <c r="AK143" s="197">
        <f t="shared" si="346"/>
        <v>180.82396348705734</v>
      </c>
      <c r="AL143" s="197">
        <f t="shared" si="347"/>
        <v>888.43333860278449</v>
      </c>
      <c r="AM143" s="197">
        <f t="shared" si="348"/>
        <v>696.07773780789341</v>
      </c>
      <c r="AN143" s="199">
        <f t="shared" si="349"/>
        <v>876.90170129495095</v>
      </c>
      <c r="AO143" s="196">
        <f t="shared" si="350"/>
        <v>10510.02308973304</v>
      </c>
      <c r="AP143" s="197">
        <f t="shared" si="351"/>
        <v>1199.4009128235652</v>
      </c>
      <c r="AQ143" s="197">
        <f t="shared" si="352"/>
        <v>5892.9565349303812</v>
      </c>
      <c r="AR143" s="197">
        <f t="shared" si="353"/>
        <v>4617.0665548026591</v>
      </c>
      <c r="AS143" s="199">
        <f t="shared" si="354"/>
        <v>5816.4674676262248</v>
      </c>
      <c r="AX143" s="881">
        <v>6</v>
      </c>
      <c r="AY143" s="892">
        <f>'Arable Inputs'!$H$18*$BA$134</f>
        <v>6</v>
      </c>
      <c r="AZ143" s="747">
        <f>'Arable Inputs'!$H$25</f>
        <v>107.1</v>
      </c>
      <c r="BA143" s="749">
        <f t="shared" si="355"/>
        <v>642.59999999999991</v>
      </c>
      <c r="BB143" s="197">
        <f>'Arable NPV'!$D122</f>
        <v>220</v>
      </c>
      <c r="BC143" s="197">
        <f t="shared" si="390"/>
        <v>862.59999999999991</v>
      </c>
      <c r="BD143" s="197">
        <f>'Arable NPV'!$F122</f>
        <v>528.51499999999999</v>
      </c>
      <c r="BE143" s="197">
        <f>'Arable NPV'!$G122</f>
        <v>552.40000000000009</v>
      </c>
      <c r="BF143" s="197">
        <f t="shared" si="328"/>
        <v>1080.915</v>
      </c>
      <c r="BG143" s="197">
        <f t="shared" si="329"/>
        <v>-438.31500000000005</v>
      </c>
      <c r="BH143" s="197">
        <f t="shared" si="330"/>
        <v>-218.31500000000005</v>
      </c>
      <c r="BI143" s="196">
        <f t="shared" si="356"/>
        <v>528.17035880355922</v>
      </c>
      <c r="BJ143" s="197">
        <f t="shared" si="357"/>
        <v>180.82396348705734</v>
      </c>
      <c r="BK143" s="197">
        <f t="shared" si="358"/>
        <v>888.43333860278449</v>
      </c>
      <c r="BL143" s="197">
        <f t="shared" si="359"/>
        <v>-360.26297979922521</v>
      </c>
      <c r="BM143" s="199">
        <f t="shared" si="360"/>
        <v>-179.43901631216787</v>
      </c>
      <c r="BN143" s="196">
        <f t="shared" si="361"/>
        <v>3503.3410299110128</v>
      </c>
      <c r="BO143" s="197">
        <f t="shared" si="362"/>
        <v>1199.4009128235652</v>
      </c>
      <c r="BP143" s="197">
        <f t="shared" si="363"/>
        <v>5892.9565349303812</v>
      </c>
      <c r="BQ143" s="197">
        <f t="shared" si="364"/>
        <v>-2389.6155050193684</v>
      </c>
      <c r="BR143" s="199">
        <f t="shared" si="365"/>
        <v>-1190.2145921958031</v>
      </c>
      <c r="BV143" s="881">
        <v>6</v>
      </c>
      <c r="BW143" s="892">
        <f>'Arable Inputs'!$H$18*$BY$134</f>
        <v>24</v>
      </c>
      <c r="BX143" s="747">
        <f>'Arable Inputs'!$H$25</f>
        <v>107.1</v>
      </c>
      <c r="BY143" s="749">
        <f t="shared" si="366"/>
        <v>2570.3999999999996</v>
      </c>
      <c r="BZ143" s="197">
        <f>'Arable NPV'!$D122</f>
        <v>220</v>
      </c>
      <c r="CA143" s="197">
        <f t="shared" si="391"/>
        <v>2790.3999999999996</v>
      </c>
      <c r="CB143" s="197">
        <f>'Arable NPV'!$F122</f>
        <v>528.51499999999999</v>
      </c>
      <c r="CC143" s="197">
        <f>'Arable NPV'!$G122</f>
        <v>552.40000000000009</v>
      </c>
      <c r="CD143" s="197">
        <f t="shared" si="331"/>
        <v>1080.915</v>
      </c>
      <c r="CE143" s="197">
        <f t="shared" si="332"/>
        <v>1489.4849999999997</v>
      </c>
      <c r="CF143" s="197">
        <f t="shared" si="333"/>
        <v>1709.4849999999997</v>
      </c>
      <c r="CG143" s="196">
        <f t="shared" si="367"/>
        <v>2112.6814352142369</v>
      </c>
      <c r="CH143" s="197">
        <f t="shared" si="368"/>
        <v>180.82396348705734</v>
      </c>
      <c r="CI143" s="197">
        <f t="shared" si="369"/>
        <v>888.43333860278449</v>
      </c>
      <c r="CJ143" s="197">
        <f t="shared" si="370"/>
        <v>1224.2480966114524</v>
      </c>
      <c r="CK143" s="199">
        <f t="shared" si="371"/>
        <v>1405.0720600985098</v>
      </c>
      <c r="CL143" s="196">
        <f t="shared" si="372"/>
        <v>14013.364119644051</v>
      </c>
      <c r="CM143" s="197">
        <f t="shared" si="373"/>
        <v>1199.4009128235652</v>
      </c>
      <c r="CN143" s="197">
        <f t="shared" si="374"/>
        <v>5892.9565349303812</v>
      </c>
      <c r="CO143" s="197">
        <f t="shared" si="375"/>
        <v>8120.407584713671</v>
      </c>
      <c r="CP143" s="199">
        <f t="shared" si="376"/>
        <v>9319.8084975372349</v>
      </c>
      <c r="CT143" s="881">
        <v>6</v>
      </c>
      <c r="CU143" s="892">
        <f>'Arable Inputs'!$H$18*$CW$134</f>
        <v>0</v>
      </c>
      <c r="CV143" s="747">
        <f>'Arable Inputs'!$H$25</f>
        <v>107.1</v>
      </c>
      <c r="CW143" s="749">
        <f t="shared" si="377"/>
        <v>0</v>
      </c>
      <c r="CX143" s="197">
        <f>'Arable NPV'!$D122</f>
        <v>220</v>
      </c>
      <c r="CY143" s="197">
        <f t="shared" si="392"/>
        <v>220</v>
      </c>
      <c r="CZ143" s="197">
        <f>'Arable NPV'!$F122</f>
        <v>528.51499999999999</v>
      </c>
      <c r="DA143" s="197">
        <f>'Arable NPV'!$G122</f>
        <v>552.40000000000009</v>
      </c>
      <c r="DB143" s="197">
        <f t="shared" si="334"/>
        <v>1080.915</v>
      </c>
      <c r="DC143" s="197">
        <f t="shared" si="335"/>
        <v>-1080.915</v>
      </c>
      <c r="DD143" s="197">
        <f t="shared" si="336"/>
        <v>-860.91499999999996</v>
      </c>
      <c r="DE143" s="196">
        <f t="shared" si="378"/>
        <v>0</v>
      </c>
      <c r="DF143" s="197">
        <f t="shared" si="379"/>
        <v>180.82396348705734</v>
      </c>
      <c r="DG143" s="197">
        <f t="shared" si="380"/>
        <v>888.43333860278449</v>
      </c>
      <c r="DH143" s="197">
        <f t="shared" si="381"/>
        <v>-888.43333860278449</v>
      </c>
      <c r="DI143" s="199">
        <f t="shared" si="382"/>
        <v>-707.60937511572706</v>
      </c>
      <c r="DJ143" s="196">
        <f t="shared" si="383"/>
        <v>0</v>
      </c>
      <c r="DK143" s="197">
        <f t="shared" si="384"/>
        <v>1199.4009128235652</v>
      </c>
      <c r="DL143" s="197">
        <f t="shared" si="385"/>
        <v>5892.9565349303812</v>
      </c>
      <c r="DM143" s="197">
        <f t="shared" si="386"/>
        <v>-5892.9565349303812</v>
      </c>
      <c r="DN143" s="199">
        <f t="shared" si="387"/>
        <v>-4693.5556221068155</v>
      </c>
    </row>
    <row r="144" spans="2:172" x14ac:dyDescent="0.3">
      <c r="B144" s="881">
        <v>7</v>
      </c>
      <c r="C144" s="892">
        <f>'Arable Inputs'!$H$18*$E$134</f>
        <v>12</v>
      </c>
      <c r="D144" s="747">
        <f>'Arable Inputs'!$H$25</f>
        <v>107.1</v>
      </c>
      <c r="E144" s="749">
        <f t="shared" si="337"/>
        <v>1285.1999999999998</v>
      </c>
      <c r="F144" s="197">
        <f>'Arable NPV'!$D123</f>
        <v>220</v>
      </c>
      <c r="G144" s="197">
        <f t="shared" si="388"/>
        <v>1505.1999999999998</v>
      </c>
      <c r="H144" s="197">
        <f>'Arable NPV'!$F123</f>
        <v>528.51499999999999</v>
      </c>
      <c r="I144" s="197">
        <f>'Arable NPV'!$G123</f>
        <v>552.40000000000009</v>
      </c>
      <c r="J144" s="197">
        <f t="shared" si="322"/>
        <v>1080.915</v>
      </c>
      <c r="K144" s="197">
        <f t="shared" si="323"/>
        <v>204.28499999999985</v>
      </c>
      <c r="L144" s="197">
        <f t="shared" si="324"/>
        <v>424.28499999999985</v>
      </c>
      <c r="M144" s="196">
        <f t="shared" si="338"/>
        <v>1015.7122284683832</v>
      </c>
      <c r="N144" s="197">
        <f t="shared" si="339"/>
        <v>173.86919566063204</v>
      </c>
      <c r="O144" s="197">
        <f t="shared" si="340"/>
        <v>854.26282557960042</v>
      </c>
      <c r="P144" s="197">
        <f t="shared" si="341"/>
        <v>161.44940288878271</v>
      </c>
      <c r="Q144" s="199">
        <f t="shared" si="342"/>
        <v>335.31859854941473</v>
      </c>
      <c r="R144" s="196">
        <f t="shared" si="343"/>
        <v>8022.3942882904084</v>
      </c>
      <c r="S144" s="197">
        <f t="shared" si="343"/>
        <v>1373.2701084841974</v>
      </c>
      <c r="T144" s="197">
        <f t="shared" si="343"/>
        <v>6747.2193605099819</v>
      </c>
      <c r="U144" s="197">
        <f t="shared" si="343"/>
        <v>1275.1749277804274</v>
      </c>
      <c r="V144" s="199">
        <f t="shared" si="343"/>
        <v>2648.4450362646244</v>
      </c>
      <c r="Y144" s="881">
        <v>7</v>
      </c>
      <c r="Z144" s="892">
        <f>'Arable Inputs'!$H$18*$AB$134</f>
        <v>18</v>
      </c>
      <c r="AA144" s="747">
        <f>'Arable Inputs'!$H$25</f>
        <v>107.1</v>
      </c>
      <c r="AB144" s="749">
        <f t="shared" si="344"/>
        <v>1927.8</v>
      </c>
      <c r="AC144" s="197">
        <f>'Arable NPV'!$D123</f>
        <v>220</v>
      </c>
      <c r="AD144" s="197">
        <f t="shared" si="389"/>
        <v>2147.8000000000002</v>
      </c>
      <c r="AE144" s="197">
        <f>'Arable NPV'!$F123</f>
        <v>528.51499999999999</v>
      </c>
      <c r="AF144" s="197">
        <f>'Arable NPV'!$G123</f>
        <v>552.40000000000009</v>
      </c>
      <c r="AG144" s="197">
        <f t="shared" si="325"/>
        <v>1080.915</v>
      </c>
      <c r="AH144" s="197">
        <f t="shared" si="326"/>
        <v>846.88499999999999</v>
      </c>
      <c r="AI144" s="197">
        <f t="shared" si="327"/>
        <v>1066.8850000000002</v>
      </c>
      <c r="AJ144" s="196">
        <f t="shared" si="345"/>
        <v>1523.5683427025749</v>
      </c>
      <c r="AK144" s="197">
        <f t="shared" si="346"/>
        <v>173.86919566063204</v>
      </c>
      <c r="AL144" s="197">
        <f t="shared" si="347"/>
        <v>854.26282557960042</v>
      </c>
      <c r="AM144" s="197">
        <f t="shared" si="348"/>
        <v>669.30551712297449</v>
      </c>
      <c r="AN144" s="199">
        <f t="shared" si="349"/>
        <v>843.17471278360665</v>
      </c>
      <c r="AO144" s="196">
        <f t="shared" si="350"/>
        <v>12033.591432435614</v>
      </c>
      <c r="AP144" s="197">
        <f t="shared" si="351"/>
        <v>1373.2701084841974</v>
      </c>
      <c r="AQ144" s="197">
        <f t="shared" si="352"/>
        <v>6747.2193605099819</v>
      </c>
      <c r="AR144" s="197">
        <f t="shared" si="353"/>
        <v>5286.3720719256335</v>
      </c>
      <c r="AS144" s="199">
        <f t="shared" si="354"/>
        <v>6659.6421804098318</v>
      </c>
      <c r="AX144" s="881">
        <v>7</v>
      </c>
      <c r="AY144" s="892">
        <f>'Arable Inputs'!$H$18*$BA$134</f>
        <v>6</v>
      </c>
      <c r="AZ144" s="747">
        <f>'Arable Inputs'!$H$25</f>
        <v>107.1</v>
      </c>
      <c r="BA144" s="749">
        <f t="shared" si="355"/>
        <v>642.59999999999991</v>
      </c>
      <c r="BB144" s="197">
        <f>'Arable NPV'!$D123</f>
        <v>220</v>
      </c>
      <c r="BC144" s="197">
        <f t="shared" si="390"/>
        <v>862.59999999999991</v>
      </c>
      <c r="BD144" s="197">
        <f>'Arable NPV'!$F123</f>
        <v>528.51499999999999</v>
      </c>
      <c r="BE144" s="197">
        <f>'Arable NPV'!$G123</f>
        <v>552.40000000000009</v>
      </c>
      <c r="BF144" s="197">
        <f t="shared" si="328"/>
        <v>1080.915</v>
      </c>
      <c r="BG144" s="197">
        <f t="shared" si="329"/>
        <v>-438.31500000000005</v>
      </c>
      <c r="BH144" s="197">
        <f t="shared" si="330"/>
        <v>-218.31500000000005</v>
      </c>
      <c r="BI144" s="196">
        <f t="shared" si="356"/>
        <v>507.85611423419158</v>
      </c>
      <c r="BJ144" s="197">
        <f t="shared" si="357"/>
        <v>173.86919566063204</v>
      </c>
      <c r="BK144" s="197">
        <f t="shared" si="358"/>
        <v>854.26282557960042</v>
      </c>
      <c r="BL144" s="197">
        <f t="shared" si="359"/>
        <v>-346.40671134540884</v>
      </c>
      <c r="BM144" s="199">
        <f t="shared" si="360"/>
        <v>-172.53751568477679</v>
      </c>
      <c r="BN144" s="196">
        <f t="shared" si="361"/>
        <v>4011.1971441452042</v>
      </c>
      <c r="BO144" s="197">
        <f t="shared" si="362"/>
        <v>1373.2701084841974</v>
      </c>
      <c r="BP144" s="197">
        <f t="shared" si="363"/>
        <v>6747.2193605099819</v>
      </c>
      <c r="BQ144" s="197">
        <f t="shared" si="364"/>
        <v>-2736.0222163647773</v>
      </c>
      <c r="BR144" s="199">
        <f t="shared" si="365"/>
        <v>-1362.7521078805798</v>
      </c>
      <c r="BV144" s="881">
        <v>7</v>
      </c>
      <c r="BW144" s="892">
        <f>'Arable Inputs'!$H$18*$BY$134</f>
        <v>24</v>
      </c>
      <c r="BX144" s="747">
        <f>'Arable Inputs'!$H$25</f>
        <v>107.1</v>
      </c>
      <c r="BY144" s="749">
        <f t="shared" si="366"/>
        <v>2570.3999999999996</v>
      </c>
      <c r="BZ144" s="197">
        <f>'Arable NPV'!$D123</f>
        <v>220</v>
      </c>
      <c r="CA144" s="197">
        <f t="shared" si="391"/>
        <v>2790.3999999999996</v>
      </c>
      <c r="CB144" s="197">
        <f>'Arable NPV'!$F123</f>
        <v>528.51499999999999</v>
      </c>
      <c r="CC144" s="197">
        <f>'Arable NPV'!$G123</f>
        <v>552.40000000000009</v>
      </c>
      <c r="CD144" s="197">
        <f t="shared" si="331"/>
        <v>1080.915</v>
      </c>
      <c r="CE144" s="197">
        <f t="shared" si="332"/>
        <v>1489.4849999999997</v>
      </c>
      <c r="CF144" s="197">
        <f t="shared" si="333"/>
        <v>1709.4849999999997</v>
      </c>
      <c r="CG144" s="196">
        <f t="shared" si="367"/>
        <v>2031.4244569367663</v>
      </c>
      <c r="CH144" s="197">
        <f t="shared" si="368"/>
        <v>173.86919566063204</v>
      </c>
      <c r="CI144" s="197">
        <f t="shared" si="369"/>
        <v>854.26282557960042</v>
      </c>
      <c r="CJ144" s="197">
        <f t="shared" si="370"/>
        <v>1177.1616313571658</v>
      </c>
      <c r="CK144" s="199">
        <f t="shared" si="371"/>
        <v>1351.0308270177979</v>
      </c>
      <c r="CL144" s="196">
        <f t="shared" si="372"/>
        <v>16044.788576580817</v>
      </c>
      <c r="CM144" s="197">
        <f t="shared" si="373"/>
        <v>1373.2701084841974</v>
      </c>
      <c r="CN144" s="197">
        <f t="shared" si="374"/>
        <v>6747.2193605099819</v>
      </c>
      <c r="CO144" s="197">
        <f t="shared" si="375"/>
        <v>9297.5692160708368</v>
      </c>
      <c r="CP144" s="199">
        <f t="shared" si="376"/>
        <v>10670.839324555032</v>
      </c>
      <c r="CT144" s="881">
        <v>7</v>
      </c>
      <c r="CU144" s="892">
        <f>'Arable Inputs'!$H$18*$CW$134</f>
        <v>0</v>
      </c>
      <c r="CV144" s="747">
        <f>'Arable Inputs'!$H$25</f>
        <v>107.1</v>
      </c>
      <c r="CW144" s="749">
        <f t="shared" si="377"/>
        <v>0</v>
      </c>
      <c r="CX144" s="197">
        <f>'Arable NPV'!$D123</f>
        <v>220</v>
      </c>
      <c r="CY144" s="197">
        <f t="shared" si="392"/>
        <v>220</v>
      </c>
      <c r="CZ144" s="197">
        <f>'Arable NPV'!$F123</f>
        <v>528.51499999999999</v>
      </c>
      <c r="DA144" s="197">
        <f>'Arable NPV'!$G123</f>
        <v>552.40000000000009</v>
      </c>
      <c r="DB144" s="197">
        <f t="shared" si="334"/>
        <v>1080.915</v>
      </c>
      <c r="DC144" s="197">
        <f t="shared" si="335"/>
        <v>-1080.915</v>
      </c>
      <c r="DD144" s="197">
        <f t="shared" si="336"/>
        <v>-860.91499999999996</v>
      </c>
      <c r="DE144" s="196">
        <f t="shared" si="378"/>
        <v>0</v>
      </c>
      <c r="DF144" s="197">
        <f t="shared" si="379"/>
        <v>173.86919566063204</v>
      </c>
      <c r="DG144" s="197">
        <f t="shared" si="380"/>
        <v>854.26282557960042</v>
      </c>
      <c r="DH144" s="197">
        <f t="shared" si="381"/>
        <v>-854.26282557960042</v>
      </c>
      <c r="DI144" s="199">
        <f t="shared" si="382"/>
        <v>-680.39362991896837</v>
      </c>
      <c r="DJ144" s="196">
        <f t="shared" si="383"/>
        <v>0</v>
      </c>
      <c r="DK144" s="197">
        <f t="shared" si="384"/>
        <v>1373.2701084841974</v>
      </c>
      <c r="DL144" s="197">
        <f t="shared" si="385"/>
        <v>6747.2193605099819</v>
      </c>
      <c r="DM144" s="197">
        <f t="shared" si="386"/>
        <v>-6747.2193605099819</v>
      </c>
      <c r="DN144" s="199">
        <f t="shared" si="387"/>
        <v>-5373.9492520257836</v>
      </c>
    </row>
    <row r="145" spans="2:118" x14ac:dyDescent="0.3">
      <c r="B145" s="881">
        <v>8</v>
      </c>
      <c r="C145" s="892">
        <f>'Arable Inputs'!$H$18*$E$134</f>
        <v>12</v>
      </c>
      <c r="D145" s="747">
        <f>'Arable Inputs'!$H$25</f>
        <v>107.1</v>
      </c>
      <c r="E145" s="749">
        <f t="shared" si="337"/>
        <v>1285.1999999999998</v>
      </c>
      <c r="F145" s="197">
        <f>'Arable NPV'!$D124</f>
        <v>220</v>
      </c>
      <c r="G145" s="197">
        <f t="shared" si="388"/>
        <v>1505.1999999999998</v>
      </c>
      <c r="H145" s="197">
        <f>'Arable NPV'!$F124</f>
        <v>528.51499999999999</v>
      </c>
      <c r="I145" s="197">
        <f>'Arable NPV'!$G124</f>
        <v>552.40000000000009</v>
      </c>
      <c r="J145" s="197">
        <f t="shared" si="322"/>
        <v>1080.915</v>
      </c>
      <c r="K145" s="197">
        <f t="shared" si="323"/>
        <v>204.28499999999985</v>
      </c>
      <c r="L145" s="197">
        <f t="shared" si="324"/>
        <v>424.28499999999985</v>
      </c>
      <c r="M145" s="196">
        <f t="shared" si="338"/>
        <v>976.64637352729153</v>
      </c>
      <c r="N145" s="197">
        <f t="shared" si="339"/>
        <v>167.18191890445391</v>
      </c>
      <c r="O145" s="197">
        <f t="shared" si="340"/>
        <v>821.40656305730818</v>
      </c>
      <c r="P145" s="197">
        <f t="shared" si="341"/>
        <v>155.23981046998338</v>
      </c>
      <c r="Q145" s="199">
        <f t="shared" si="342"/>
        <v>322.42172937443729</v>
      </c>
      <c r="R145" s="196">
        <f t="shared" si="343"/>
        <v>8999.0406618177003</v>
      </c>
      <c r="S145" s="197">
        <f t="shared" si="343"/>
        <v>1540.4520273886512</v>
      </c>
      <c r="T145" s="197">
        <f t="shared" si="343"/>
        <v>7568.6259235672896</v>
      </c>
      <c r="U145" s="197">
        <f t="shared" si="343"/>
        <v>1430.4147382504109</v>
      </c>
      <c r="V145" s="199">
        <f t="shared" si="343"/>
        <v>2970.8667656390617</v>
      </c>
      <c r="Y145" s="881">
        <v>8</v>
      </c>
      <c r="Z145" s="892">
        <f>'Arable Inputs'!$H$18*$AB$134</f>
        <v>18</v>
      </c>
      <c r="AA145" s="747">
        <f>'Arable Inputs'!$H$25</f>
        <v>107.1</v>
      </c>
      <c r="AB145" s="749">
        <f t="shared" si="344"/>
        <v>1927.8</v>
      </c>
      <c r="AC145" s="197">
        <f>'Arable NPV'!$D124</f>
        <v>220</v>
      </c>
      <c r="AD145" s="197">
        <f t="shared" si="389"/>
        <v>2147.8000000000002</v>
      </c>
      <c r="AE145" s="197">
        <f>'Arable NPV'!$F124</f>
        <v>528.51499999999999</v>
      </c>
      <c r="AF145" s="197">
        <f>'Arable NPV'!$G124</f>
        <v>552.40000000000009</v>
      </c>
      <c r="AG145" s="197">
        <f t="shared" si="325"/>
        <v>1080.915</v>
      </c>
      <c r="AH145" s="197">
        <f t="shared" si="326"/>
        <v>846.88499999999999</v>
      </c>
      <c r="AI145" s="197">
        <f t="shared" si="327"/>
        <v>1066.8850000000002</v>
      </c>
      <c r="AJ145" s="196">
        <f t="shared" si="345"/>
        <v>1464.9695602909376</v>
      </c>
      <c r="AK145" s="197">
        <f t="shared" si="346"/>
        <v>167.18191890445391</v>
      </c>
      <c r="AL145" s="197">
        <f t="shared" si="347"/>
        <v>821.40656305730818</v>
      </c>
      <c r="AM145" s="197">
        <f t="shared" si="348"/>
        <v>643.56299723362929</v>
      </c>
      <c r="AN145" s="199">
        <f t="shared" si="349"/>
        <v>810.74491613808345</v>
      </c>
      <c r="AO145" s="196">
        <f t="shared" si="350"/>
        <v>13498.560992726552</v>
      </c>
      <c r="AP145" s="197">
        <f t="shared" si="351"/>
        <v>1540.4520273886512</v>
      </c>
      <c r="AQ145" s="197">
        <f t="shared" si="352"/>
        <v>7568.6259235672896</v>
      </c>
      <c r="AR145" s="197">
        <f t="shared" si="353"/>
        <v>5929.9350691592626</v>
      </c>
      <c r="AS145" s="199">
        <f t="shared" si="354"/>
        <v>7470.3870965479155</v>
      </c>
      <c r="AX145" s="881">
        <v>8</v>
      </c>
      <c r="AY145" s="892">
        <f>'Arable Inputs'!$H$18*$BA$134</f>
        <v>6</v>
      </c>
      <c r="AZ145" s="747">
        <f>'Arable Inputs'!$H$25</f>
        <v>107.1</v>
      </c>
      <c r="BA145" s="749">
        <f t="shared" si="355"/>
        <v>642.59999999999991</v>
      </c>
      <c r="BB145" s="197">
        <f>'Arable NPV'!$D124</f>
        <v>220</v>
      </c>
      <c r="BC145" s="197">
        <f t="shared" si="390"/>
        <v>862.59999999999991</v>
      </c>
      <c r="BD145" s="197">
        <f>'Arable NPV'!$F124</f>
        <v>528.51499999999999</v>
      </c>
      <c r="BE145" s="197">
        <f>'Arable NPV'!$G124</f>
        <v>552.40000000000009</v>
      </c>
      <c r="BF145" s="197">
        <f t="shared" si="328"/>
        <v>1080.915</v>
      </c>
      <c r="BG145" s="197">
        <f t="shared" si="329"/>
        <v>-438.31500000000005</v>
      </c>
      <c r="BH145" s="197">
        <f t="shared" si="330"/>
        <v>-218.31500000000005</v>
      </c>
      <c r="BI145" s="196">
        <f t="shared" si="356"/>
        <v>488.32318676364577</v>
      </c>
      <c r="BJ145" s="197">
        <f t="shared" si="357"/>
        <v>167.18191890445391</v>
      </c>
      <c r="BK145" s="197">
        <f t="shared" si="358"/>
        <v>821.40656305730818</v>
      </c>
      <c r="BL145" s="197">
        <f t="shared" si="359"/>
        <v>-333.08337629366241</v>
      </c>
      <c r="BM145" s="199">
        <f t="shared" si="360"/>
        <v>-165.90145738920847</v>
      </c>
      <c r="BN145" s="196">
        <f t="shared" si="361"/>
        <v>4499.5203309088502</v>
      </c>
      <c r="BO145" s="197">
        <f t="shared" si="362"/>
        <v>1540.4520273886512</v>
      </c>
      <c r="BP145" s="197">
        <f t="shared" si="363"/>
        <v>7568.6259235672896</v>
      </c>
      <c r="BQ145" s="197">
        <f t="shared" si="364"/>
        <v>-3069.1055926584395</v>
      </c>
      <c r="BR145" s="199">
        <f t="shared" si="365"/>
        <v>-1528.6535652697883</v>
      </c>
      <c r="BV145" s="881">
        <v>8</v>
      </c>
      <c r="BW145" s="892">
        <f>'Arable Inputs'!$H$18*$BY$134</f>
        <v>24</v>
      </c>
      <c r="BX145" s="747">
        <f>'Arable Inputs'!$H$25</f>
        <v>107.1</v>
      </c>
      <c r="BY145" s="749">
        <f t="shared" si="366"/>
        <v>2570.3999999999996</v>
      </c>
      <c r="BZ145" s="197">
        <f>'Arable NPV'!$D124</f>
        <v>220</v>
      </c>
      <c r="CA145" s="197">
        <f t="shared" si="391"/>
        <v>2790.3999999999996</v>
      </c>
      <c r="CB145" s="197">
        <f>'Arable NPV'!$F124</f>
        <v>528.51499999999999</v>
      </c>
      <c r="CC145" s="197">
        <f>'Arable NPV'!$G124</f>
        <v>552.40000000000009</v>
      </c>
      <c r="CD145" s="197">
        <f t="shared" si="331"/>
        <v>1080.915</v>
      </c>
      <c r="CE145" s="197">
        <f t="shared" si="332"/>
        <v>1489.4849999999997</v>
      </c>
      <c r="CF145" s="197">
        <f t="shared" si="333"/>
        <v>1709.4849999999997</v>
      </c>
      <c r="CG145" s="196">
        <f t="shared" si="367"/>
        <v>1953.2927470545831</v>
      </c>
      <c r="CH145" s="197">
        <f t="shared" si="368"/>
        <v>167.18191890445391</v>
      </c>
      <c r="CI145" s="197">
        <f t="shared" si="369"/>
        <v>821.40656305730818</v>
      </c>
      <c r="CJ145" s="197">
        <f t="shared" si="370"/>
        <v>1131.8861839972749</v>
      </c>
      <c r="CK145" s="199">
        <f t="shared" si="371"/>
        <v>1299.0681029017289</v>
      </c>
      <c r="CL145" s="196">
        <f t="shared" si="372"/>
        <v>17998.081323635401</v>
      </c>
      <c r="CM145" s="197">
        <f t="shared" si="373"/>
        <v>1540.4520273886512</v>
      </c>
      <c r="CN145" s="197">
        <f t="shared" si="374"/>
        <v>7568.6259235672896</v>
      </c>
      <c r="CO145" s="197">
        <f t="shared" si="375"/>
        <v>10429.455400068111</v>
      </c>
      <c r="CP145" s="199">
        <f t="shared" si="376"/>
        <v>11969.907427456761</v>
      </c>
      <c r="CT145" s="881">
        <v>8</v>
      </c>
      <c r="CU145" s="892">
        <f>'Arable Inputs'!$H$18*$CW$134</f>
        <v>0</v>
      </c>
      <c r="CV145" s="747">
        <f>'Arable Inputs'!$H$25</f>
        <v>107.1</v>
      </c>
      <c r="CW145" s="749">
        <f t="shared" si="377"/>
        <v>0</v>
      </c>
      <c r="CX145" s="197">
        <f>'Arable NPV'!$D124</f>
        <v>220</v>
      </c>
      <c r="CY145" s="197">
        <f t="shared" si="392"/>
        <v>220</v>
      </c>
      <c r="CZ145" s="197">
        <f>'Arable NPV'!$F124</f>
        <v>528.51499999999999</v>
      </c>
      <c r="DA145" s="197">
        <f>'Arable NPV'!$G124</f>
        <v>552.40000000000009</v>
      </c>
      <c r="DB145" s="197">
        <f t="shared" si="334"/>
        <v>1080.915</v>
      </c>
      <c r="DC145" s="197">
        <f t="shared" si="335"/>
        <v>-1080.915</v>
      </c>
      <c r="DD145" s="197">
        <f t="shared" si="336"/>
        <v>-860.91499999999996</v>
      </c>
      <c r="DE145" s="196">
        <f t="shared" si="378"/>
        <v>0</v>
      </c>
      <c r="DF145" s="197">
        <f t="shared" si="379"/>
        <v>167.18191890445391</v>
      </c>
      <c r="DG145" s="197">
        <f t="shared" si="380"/>
        <v>821.40656305730818</v>
      </c>
      <c r="DH145" s="197">
        <f t="shared" si="381"/>
        <v>-821.40656305730818</v>
      </c>
      <c r="DI145" s="199">
        <f t="shared" si="382"/>
        <v>-654.22464415285424</v>
      </c>
      <c r="DJ145" s="196">
        <f t="shared" si="383"/>
        <v>0</v>
      </c>
      <c r="DK145" s="197">
        <f t="shared" si="384"/>
        <v>1540.4520273886512</v>
      </c>
      <c r="DL145" s="197">
        <f t="shared" si="385"/>
        <v>7568.6259235672896</v>
      </c>
      <c r="DM145" s="197">
        <f t="shared" si="386"/>
        <v>-7568.6259235672896</v>
      </c>
      <c r="DN145" s="199">
        <f t="shared" si="387"/>
        <v>-6028.1738961786377</v>
      </c>
    </row>
    <row r="146" spans="2:118" x14ac:dyDescent="0.3">
      <c r="B146" s="881">
        <v>9</v>
      </c>
      <c r="C146" s="892">
        <f>'Arable Inputs'!$H$18*$E$134</f>
        <v>12</v>
      </c>
      <c r="D146" s="747">
        <f>'Arable Inputs'!$H$25</f>
        <v>107.1</v>
      </c>
      <c r="E146" s="749">
        <f t="shared" si="337"/>
        <v>1285.1999999999998</v>
      </c>
      <c r="F146" s="197">
        <f>'Arable NPV'!$D125</f>
        <v>220</v>
      </c>
      <c r="G146" s="197">
        <f t="shared" si="388"/>
        <v>1505.1999999999998</v>
      </c>
      <c r="H146" s="197">
        <f>'Arable NPV'!$F125</f>
        <v>528.51499999999999</v>
      </c>
      <c r="I146" s="197">
        <f>'Arable NPV'!$G125</f>
        <v>552.40000000000009</v>
      </c>
      <c r="J146" s="197">
        <f t="shared" si="322"/>
        <v>1080.915</v>
      </c>
      <c r="K146" s="197">
        <f t="shared" si="323"/>
        <v>204.28499999999985</v>
      </c>
      <c r="L146" s="197">
        <f t="shared" si="324"/>
        <v>424.28499999999985</v>
      </c>
      <c r="M146" s="196">
        <f t="shared" si="338"/>
        <v>939.08305146854946</v>
      </c>
      <c r="N146" s="197">
        <f t="shared" si="339"/>
        <v>160.75184510043644</v>
      </c>
      <c r="O146" s="197">
        <f t="shared" si="340"/>
        <v>789.81400293971922</v>
      </c>
      <c r="P146" s="197">
        <f t="shared" si="341"/>
        <v>149.26904852883015</v>
      </c>
      <c r="Q146" s="199">
        <f t="shared" si="342"/>
        <v>310.0208936292666</v>
      </c>
      <c r="R146" s="196">
        <f t="shared" si="343"/>
        <v>9938.1237132862498</v>
      </c>
      <c r="S146" s="197">
        <f t="shared" si="343"/>
        <v>1701.2038724890876</v>
      </c>
      <c r="T146" s="197">
        <f t="shared" si="343"/>
        <v>8358.4399265070097</v>
      </c>
      <c r="U146" s="197">
        <f t="shared" si="343"/>
        <v>1579.683786779241</v>
      </c>
      <c r="V146" s="199">
        <f t="shared" si="343"/>
        <v>3280.8876592683282</v>
      </c>
      <c r="Y146" s="881">
        <v>9</v>
      </c>
      <c r="Z146" s="892">
        <f>'Arable Inputs'!$H$18*$AB$134</f>
        <v>18</v>
      </c>
      <c r="AA146" s="747">
        <f>'Arable Inputs'!$H$25</f>
        <v>107.1</v>
      </c>
      <c r="AB146" s="749">
        <f t="shared" si="344"/>
        <v>1927.8</v>
      </c>
      <c r="AC146" s="197">
        <f>'Arable NPV'!$D125</f>
        <v>220</v>
      </c>
      <c r="AD146" s="197">
        <f t="shared" si="389"/>
        <v>2147.8000000000002</v>
      </c>
      <c r="AE146" s="197">
        <f>'Arable NPV'!$F125</f>
        <v>528.51499999999999</v>
      </c>
      <c r="AF146" s="197">
        <f>'Arable NPV'!$G125</f>
        <v>552.40000000000009</v>
      </c>
      <c r="AG146" s="197">
        <f t="shared" si="325"/>
        <v>1080.915</v>
      </c>
      <c r="AH146" s="197">
        <f t="shared" si="326"/>
        <v>846.88499999999999</v>
      </c>
      <c r="AI146" s="197">
        <f t="shared" si="327"/>
        <v>1066.8850000000002</v>
      </c>
      <c r="AJ146" s="196">
        <f t="shared" si="345"/>
        <v>1408.6245772028242</v>
      </c>
      <c r="AK146" s="197">
        <f t="shared" si="346"/>
        <v>160.75184510043644</v>
      </c>
      <c r="AL146" s="197">
        <f t="shared" si="347"/>
        <v>789.81400293971922</v>
      </c>
      <c r="AM146" s="197">
        <f t="shared" si="348"/>
        <v>618.81057426310497</v>
      </c>
      <c r="AN146" s="199">
        <f t="shared" si="349"/>
        <v>779.56241936354161</v>
      </c>
      <c r="AO146" s="196">
        <f t="shared" si="350"/>
        <v>14907.185569929377</v>
      </c>
      <c r="AP146" s="197">
        <f t="shared" si="351"/>
        <v>1701.2038724890876</v>
      </c>
      <c r="AQ146" s="197">
        <f t="shared" si="352"/>
        <v>8358.4399265070097</v>
      </c>
      <c r="AR146" s="197">
        <f t="shared" si="353"/>
        <v>6548.7456434223677</v>
      </c>
      <c r="AS146" s="199">
        <f t="shared" si="354"/>
        <v>8249.9495159114576</v>
      </c>
      <c r="AX146" s="881">
        <v>9</v>
      </c>
      <c r="AY146" s="892">
        <f>'Arable Inputs'!$H$18*$BA$134</f>
        <v>6</v>
      </c>
      <c r="AZ146" s="747">
        <f>'Arable Inputs'!$H$25</f>
        <v>107.1</v>
      </c>
      <c r="BA146" s="749">
        <f t="shared" si="355"/>
        <v>642.59999999999991</v>
      </c>
      <c r="BB146" s="197">
        <f>'Arable NPV'!$D125</f>
        <v>220</v>
      </c>
      <c r="BC146" s="197">
        <f t="shared" si="390"/>
        <v>862.59999999999991</v>
      </c>
      <c r="BD146" s="197">
        <f>'Arable NPV'!$F125</f>
        <v>528.51499999999999</v>
      </c>
      <c r="BE146" s="197">
        <f>'Arable NPV'!$G125</f>
        <v>552.40000000000009</v>
      </c>
      <c r="BF146" s="197">
        <f t="shared" si="328"/>
        <v>1080.915</v>
      </c>
      <c r="BG146" s="197">
        <f t="shared" si="329"/>
        <v>-438.31500000000005</v>
      </c>
      <c r="BH146" s="197">
        <f t="shared" si="330"/>
        <v>-218.31500000000005</v>
      </c>
      <c r="BI146" s="196">
        <f t="shared" si="356"/>
        <v>469.54152573427473</v>
      </c>
      <c r="BJ146" s="197">
        <f t="shared" si="357"/>
        <v>160.75184510043644</v>
      </c>
      <c r="BK146" s="197">
        <f t="shared" si="358"/>
        <v>789.81400293971922</v>
      </c>
      <c r="BL146" s="197">
        <f t="shared" si="359"/>
        <v>-320.27247720544455</v>
      </c>
      <c r="BM146" s="199">
        <f t="shared" si="360"/>
        <v>-159.52063210500813</v>
      </c>
      <c r="BN146" s="196">
        <f t="shared" si="361"/>
        <v>4969.0618566431249</v>
      </c>
      <c r="BO146" s="197">
        <f t="shared" si="362"/>
        <v>1701.2038724890876</v>
      </c>
      <c r="BP146" s="197">
        <f t="shared" si="363"/>
        <v>8358.4399265070097</v>
      </c>
      <c r="BQ146" s="197">
        <f t="shared" si="364"/>
        <v>-3389.3780698638839</v>
      </c>
      <c r="BR146" s="199">
        <f t="shared" si="365"/>
        <v>-1688.1741973747964</v>
      </c>
      <c r="BV146" s="881">
        <v>9</v>
      </c>
      <c r="BW146" s="892">
        <f>'Arable Inputs'!$H$18*$BY$134</f>
        <v>24</v>
      </c>
      <c r="BX146" s="747">
        <f>'Arable Inputs'!$H$25</f>
        <v>107.1</v>
      </c>
      <c r="BY146" s="749">
        <f t="shared" si="366"/>
        <v>2570.3999999999996</v>
      </c>
      <c r="BZ146" s="197">
        <f>'Arable NPV'!$D125</f>
        <v>220</v>
      </c>
      <c r="CA146" s="197">
        <f t="shared" si="391"/>
        <v>2790.3999999999996</v>
      </c>
      <c r="CB146" s="197">
        <f>'Arable NPV'!$F125</f>
        <v>528.51499999999999</v>
      </c>
      <c r="CC146" s="197">
        <f>'Arable NPV'!$G125</f>
        <v>552.40000000000009</v>
      </c>
      <c r="CD146" s="197">
        <f t="shared" si="331"/>
        <v>1080.915</v>
      </c>
      <c r="CE146" s="197">
        <f t="shared" si="332"/>
        <v>1489.4849999999997</v>
      </c>
      <c r="CF146" s="197">
        <f t="shared" si="333"/>
        <v>1709.4849999999997</v>
      </c>
      <c r="CG146" s="196">
        <f t="shared" si="367"/>
        <v>1878.1661029370989</v>
      </c>
      <c r="CH146" s="197">
        <f t="shared" si="368"/>
        <v>160.75184510043644</v>
      </c>
      <c r="CI146" s="197">
        <f t="shared" si="369"/>
        <v>789.81400293971922</v>
      </c>
      <c r="CJ146" s="197">
        <f t="shared" si="370"/>
        <v>1088.3520999973796</v>
      </c>
      <c r="CK146" s="199">
        <f t="shared" si="371"/>
        <v>1249.103945097816</v>
      </c>
      <c r="CL146" s="196">
        <f t="shared" si="372"/>
        <v>19876.2474265725</v>
      </c>
      <c r="CM146" s="197">
        <f t="shared" si="373"/>
        <v>1701.2038724890876</v>
      </c>
      <c r="CN146" s="197">
        <f t="shared" si="374"/>
        <v>8358.4399265070097</v>
      </c>
      <c r="CO146" s="197">
        <f t="shared" si="375"/>
        <v>11517.80750006549</v>
      </c>
      <c r="CP146" s="199">
        <f t="shared" si="376"/>
        <v>13219.011372554578</v>
      </c>
      <c r="CT146" s="881">
        <v>9</v>
      </c>
      <c r="CU146" s="892">
        <f>'Arable Inputs'!$H$18*$CW$134</f>
        <v>0</v>
      </c>
      <c r="CV146" s="747">
        <f>'Arable Inputs'!$H$25</f>
        <v>107.1</v>
      </c>
      <c r="CW146" s="749">
        <f t="shared" si="377"/>
        <v>0</v>
      </c>
      <c r="CX146" s="197">
        <f>'Arable NPV'!$D125</f>
        <v>220</v>
      </c>
      <c r="CY146" s="197">
        <f t="shared" si="392"/>
        <v>220</v>
      </c>
      <c r="CZ146" s="197">
        <f>'Arable NPV'!$F125</f>
        <v>528.51499999999999</v>
      </c>
      <c r="DA146" s="197">
        <f>'Arable NPV'!$G125</f>
        <v>552.40000000000009</v>
      </c>
      <c r="DB146" s="197">
        <f t="shared" si="334"/>
        <v>1080.915</v>
      </c>
      <c r="DC146" s="197">
        <f t="shared" si="335"/>
        <v>-1080.915</v>
      </c>
      <c r="DD146" s="197">
        <f t="shared" si="336"/>
        <v>-860.91499999999996</v>
      </c>
      <c r="DE146" s="196">
        <f t="shared" si="378"/>
        <v>0</v>
      </c>
      <c r="DF146" s="197">
        <f t="shared" si="379"/>
        <v>160.75184510043644</v>
      </c>
      <c r="DG146" s="197">
        <f t="shared" si="380"/>
        <v>789.81400293971922</v>
      </c>
      <c r="DH146" s="197">
        <f t="shared" si="381"/>
        <v>-789.81400293971922</v>
      </c>
      <c r="DI146" s="199">
        <f t="shared" si="382"/>
        <v>-629.0621578392828</v>
      </c>
      <c r="DJ146" s="196">
        <f t="shared" si="383"/>
        <v>0</v>
      </c>
      <c r="DK146" s="197">
        <f t="shared" si="384"/>
        <v>1701.2038724890876</v>
      </c>
      <c r="DL146" s="197">
        <f t="shared" si="385"/>
        <v>8358.4399265070097</v>
      </c>
      <c r="DM146" s="197">
        <f t="shared" si="386"/>
        <v>-8358.4399265070097</v>
      </c>
      <c r="DN146" s="199">
        <f t="shared" si="387"/>
        <v>-6657.2360540179207</v>
      </c>
    </row>
    <row r="147" spans="2:118" x14ac:dyDescent="0.3">
      <c r="B147" s="881">
        <v>10</v>
      </c>
      <c r="C147" s="892">
        <f>'Arable Inputs'!$H$18*$E$134</f>
        <v>12</v>
      </c>
      <c r="D147" s="747">
        <f>'Arable Inputs'!$H$25</f>
        <v>107.1</v>
      </c>
      <c r="E147" s="749">
        <f t="shared" si="337"/>
        <v>1285.1999999999998</v>
      </c>
      <c r="F147" s="197">
        <f>'Arable NPV'!$D126</f>
        <v>220</v>
      </c>
      <c r="G147" s="197">
        <f t="shared" si="388"/>
        <v>1505.1999999999998</v>
      </c>
      <c r="H147" s="197">
        <f>'Arable NPV'!$F126</f>
        <v>528.51499999999999</v>
      </c>
      <c r="I147" s="197">
        <f>'Arable NPV'!$G126</f>
        <v>552.40000000000009</v>
      </c>
      <c r="J147" s="197">
        <f t="shared" si="322"/>
        <v>1080.915</v>
      </c>
      <c r="K147" s="197">
        <f t="shared" si="323"/>
        <v>204.28499999999985</v>
      </c>
      <c r="L147" s="197">
        <f t="shared" si="324"/>
        <v>424.28499999999985</v>
      </c>
      <c r="M147" s="196">
        <f t="shared" si="338"/>
        <v>902.96447256591284</v>
      </c>
      <c r="N147" s="197">
        <f t="shared" si="339"/>
        <v>154.5690818273427</v>
      </c>
      <c r="O147" s="197">
        <f t="shared" si="340"/>
        <v>759.43654128819151</v>
      </c>
      <c r="P147" s="197">
        <f t="shared" si="341"/>
        <v>143.52793127772128</v>
      </c>
      <c r="Q147" s="199">
        <f t="shared" si="342"/>
        <v>298.09701310506398</v>
      </c>
      <c r="R147" s="196">
        <f t="shared" si="343"/>
        <v>10841.088185852162</v>
      </c>
      <c r="S147" s="197">
        <f t="shared" si="343"/>
        <v>1855.7729543164303</v>
      </c>
      <c r="T147" s="197">
        <f t="shared" si="343"/>
        <v>9117.8764677952004</v>
      </c>
      <c r="U147" s="197">
        <f t="shared" si="343"/>
        <v>1723.2117180569624</v>
      </c>
      <c r="V147" s="199">
        <f t="shared" si="343"/>
        <v>3578.9846723733922</v>
      </c>
      <c r="Y147" s="881">
        <v>10</v>
      </c>
      <c r="Z147" s="892">
        <f>'Arable Inputs'!$H$18*$AB$134</f>
        <v>18</v>
      </c>
      <c r="AA147" s="747">
        <f>'Arable Inputs'!$H$25</f>
        <v>107.1</v>
      </c>
      <c r="AB147" s="749">
        <f t="shared" si="344"/>
        <v>1927.8</v>
      </c>
      <c r="AC147" s="197">
        <f>'Arable NPV'!$D126</f>
        <v>220</v>
      </c>
      <c r="AD147" s="197">
        <f t="shared" si="389"/>
        <v>2147.8000000000002</v>
      </c>
      <c r="AE147" s="197">
        <f>'Arable NPV'!$F126</f>
        <v>528.51499999999999</v>
      </c>
      <c r="AF147" s="197">
        <f>'Arable NPV'!$G126</f>
        <v>552.40000000000009</v>
      </c>
      <c r="AG147" s="197">
        <f t="shared" si="325"/>
        <v>1080.915</v>
      </c>
      <c r="AH147" s="197">
        <f t="shared" si="326"/>
        <v>846.88499999999999</v>
      </c>
      <c r="AI147" s="197">
        <f t="shared" si="327"/>
        <v>1066.8850000000002</v>
      </c>
      <c r="AJ147" s="196">
        <f t="shared" si="345"/>
        <v>1354.4467088488693</v>
      </c>
      <c r="AK147" s="197">
        <f t="shared" si="346"/>
        <v>154.5690818273427</v>
      </c>
      <c r="AL147" s="197">
        <f t="shared" si="347"/>
        <v>759.43654128819151</v>
      </c>
      <c r="AM147" s="197">
        <f t="shared" si="348"/>
        <v>595.01016756067781</v>
      </c>
      <c r="AN147" s="199">
        <f t="shared" si="349"/>
        <v>749.57924938802068</v>
      </c>
      <c r="AO147" s="196">
        <f t="shared" si="350"/>
        <v>16261.632278778246</v>
      </c>
      <c r="AP147" s="197">
        <f t="shared" si="351"/>
        <v>1855.7729543164303</v>
      </c>
      <c r="AQ147" s="197">
        <f t="shared" si="352"/>
        <v>9117.8764677952004</v>
      </c>
      <c r="AR147" s="197">
        <f t="shared" si="353"/>
        <v>7143.7558109830452</v>
      </c>
      <c r="AS147" s="199">
        <f t="shared" si="354"/>
        <v>8999.5287652994775</v>
      </c>
      <c r="AX147" s="881">
        <v>10</v>
      </c>
      <c r="AY147" s="892">
        <f>'Arable Inputs'!$H$18*$BA$134</f>
        <v>6</v>
      </c>
      <c r="AZ147" s="747">
        <f>'Arable Inputs'!$H$25</f>
        <v>107.1</v>
      </c>
      <c r="BA147" s="749">
        <f t="shared" si="355"/>
        <v>642.59999999999991</v>
      </c>
      <c r="BB147" s="197">
        <f>'Arable NPV'!$D126</f>
        <v>220</v>
      </c>
      <c r="BC147" s="197">
        <f t="shared" si="390"/>
        <v>862.59999999999991</v>
      </c>
      <c r="BD147" s="197">
        <f>'Arable NPV'!$F126</f>
        <v>528.51499999999999</v>
      </c>
      <c r="BE147" s="197">
        <f>'Arable NPV'!$G126</f>
        <v>552.40000000000009</v>
      </c>
      <c r="BF147" s="197">
        <f t="shared" si="328"/>
        <v>1080.915</v>
      </c>
      <c r="BG147" s="197">
        <f t="shared" si="329"/>
        <v>-438.31500000000005</v>
      </c>
      <c r="BH147" s="197">
        <f t="shared" si="330"/>
        <v>-218.31500000000005</v>
      </c>
      <c r="BI147" s="196">
        <f t="shared" si="356"/>
        <v>451.48223628295642</v>
      </c>
      <c r="BJ147" s="197">
        <f t="shared" si="357"/>
        <v>154.5690818273427</v>
      </c>
      <c r="BK147" s="197">
        <f t="shared" si="358"/>
        <v>759.43654128819151</v>
      </c>
      <c r="BL147" s="197">
        <f t="shared" si="359"/>
        <v>-307.95430500523514</v>
      </c>
      <c r="BM147" s="199">
        <f t="shared" si="360"/>
        <v>-153.38522317789241</v>
      </c>
      <c r="BN147" s="196">
        <f t="shared" si="361"/>
        <v>5420.5440929260812</v>
      </c>
      <c r="BO147" s="197">
        <f t="shared" si="362"/>
        <v>1855.7729543164303</v>
      </c>
      <c r="BP147" s="197">
        <f t="shared" si="363"/>
        <v>9117.8764677952004</v>
      </c>
      <c r="BQ147" s="197">
        <f t="shared" si="364"/>
        <v>-3697.3323748691191</v>
      </c>
      <c r="BR147" s="199">
        <f t="shared" si="365"/>
        <v>-1841.5594205526888</v>
      </c>
      <c r="BV147" s="881">
        <v>10</v>
      </c>
      <c r="BW147" s="892">
        <f>'Arable Inputs'!$H$18*$BY$134</f>
        <v>24</v>
      </c>
      <c r="BX147" s="747">
        <f>'Arable Inputs'!$H$25</f>
        <v>107.1</v>
      </c>
      <c r="BY147" s="749">
        <f t="shared" si="366"/>
        <v>2570.3999999999996</v>
      </c>
      <c r="BZ147" s="197">
        <f>'Arable NPV'!$D126</f>
        <v>220</v>
      </c>
      <c r="CA147" s="197">
        <f t="shared" si="391"/>
        <v>2790.3999999999996</v>
      </c>
      <c r="CB147" s="197">
        <f>'Arable NPV'!$F126</f>
        <v>528.51499999999999</v>
      </c>
      <c r="CC147" s="197">
        <f>'Arable NPV'!$G126</f>
        <v>552.40000000000009</v>
      </c>
      <c r="CD147" s="197">
        <f t="shared" si="331"/>
        <v>1080.915</v>
      </c>
      <c r="CE147" s="197">
        <f t="shared" si="332"/>
        <v>1489.4849999999997</v>
      </c>
      <c r="CF147" s="197">
        <f t="shared" si="333"/>
        <v>1709.4849999999997</v>
      </c>
      <c r="CG147" s="196">
        <f t="shared" si="367"/>
        <v>1805.9289451318257</v>
      </c>
      <c r="CH147" s="197">
        <f t="shared" si="368"/>
        <v>154.5690818273427</v>
      </c>
      <c r="CI147" s="197">
        <f t="shared" si="369"/>
        <v>759.43654128819151</v>
      </c>
      <c r="CJ147" s="197">
        <f t="shared" si="370"/>
        <v>1046.4924038436341</v>
      </c>
      <c r="CK147" s="199">
        <f t="shared" si="371"/>
        <v>1201.0614856709767</v>
      </c>
      <c r="CL147" s="196">
        <f t="shared" si="372"/>
        <v>21682.176371704325</v>
      </c>
      <c r="CM147" s="197">
        <f t="shared" si="373"/>
        <v>1855.7729543164303</v>
      </c>
      <c r="CN147" s="197">
        <f t="shared" si="374"/>
        <v>9117.8764677952004</v>
      </c>
      <c r="CO147" s="197">
        <f t="shared" si="375"/>
        <v>12564.299903909125</v>
      </c>
      <c r="CP147" s="199">
        <f t="shared" si="376"/>
        <v>14420.072858225554</v>
      </c>
      <c r="CT147" s="881">
        <v>10</v>
      </c>
      <c r="CU147" s="892">
        <f>'Arable Inputs'!$H$18*$CW$134</f>
        <v>0</v>
      </c>
      <c r="CV147" s="747">
        <f>'Arable Inputs'!$H$25</f>
        <v>107.1</v>
      </c>
      <c r="CW147" s="749">
        <f t="shared" si="377"/>
        <v>0</v>
      </c>
      <c r="CX147" s="197">
        <f>'Arable NPV'!$D126</f>
        <v>220</v>
      </c>
      <c r="CY147" s="197">
        <f t="shared" si="392"/>
        <v>220</v>
      </c>
      <c r="CZ147" s="197">
        <f>'Arable NPV'!$F126</f>
        <v>528.51499999999999</v>
      </c>
      <c r="DA147" s="197">
        <f>'Arable NPV'!$G126</f>
        <v>552.40000000000009</v>
      </c>
      <c r="DB147" s="197">
        <f t="shared" si="334"/>
        <v>1080.915</v>
      </c>
      <c r="DC147" s="197">
        <f t="shared" si="335"/>
        <v>-1080.915</v>
      </c>
      <c r="DD147" s="197">
        <f t="shared" si="336"/>
        <v>-860.91499999999996</v>
      </c>
      <c r="DE147" s="196">
        <f t="shared" si="378"/>
        <v>0</v>
      </c>
      <c r="DF147" s="197">
        <f t="shared" si="379"/>
        <v>154.5690818273427</v>
      </c>
      <c r="DG147" s="197">
        <f t="shared" si="380"/>
        <v>759.43654128819151</v>
      </c>
      <c r="DH147" s="197">
        <f t="shared" si="381"/>
        <v>-759.43654128819151</v>
      </c>
      <c r="DI147" s="199">
        <f t="shared" si="382"/>
        <v>-604.86745946084886</v>
      </c>
      <c r="DJ147" s="196">
        <f t="shared" si="383"/>
        <v>0</v>
      </c>
      <c r="DK147" s="197">
        <f t="shared" si="384"/>
        <v>1855.7729543164303</v>
      </c>
      <c r="DL147" s="197">
        <f t="shared" si="385"/>
        <v>9117.8764677952004</v>
      </c>
      <c r="DM147" s="197">
        <f t="shared" si="386"/>
        <v>-9117.8764677952004</v>
      </c>
      <c r="DN147" s="199">
        <f t="shared" si="387"/>
        <v>-7262.1035134787699</v>
      </c>
    </row>
    <row r="148" spans="2:118" x14ac:dyDescent="0.3">
      <c r="B148" s="881">
        <v>11</v>
      </c>
      <c r="C148" s="892">
        <f>'Arable Inputs'!$H$18*$E$134</f>
        <v>12</v>
      </c>
      <c r="D148" s="747">
        <f>'Arable Inputs'!$H$25</f>
        <v>107.1</v>
      </c>
      <c r="E148" s="749">
        <f t="shared" si="337"/>
        <v>1285.1999999999998</v>
      </c>
      <c r="F148" s="197">
        <f>'Arable NPV'!$D127</f>
        <v>220</v>
      </c>
      <c r="G148" s="197">
        <f t="shared" si="388"/>
        <v>1505.1999999999998</v>
      </c>
      <c r="H148" s="197">
        <f>'Arable NPV'!$F127</f>
        <v>528.51499999999999</v>
      </c>
      <c r="I148" s="197">
        <f>'Arable NPV'!$G127</f>
        <v>552.40000000000009</v>
      </c>
      <c r="J148" s="197">
        <f t="shared" si="322"/>
        <v>1080.915</v>
      </c>
      <c r="K148" s="197">
        <f t="shared" si="323"/>
        <v>204.28499999999985</v>
      </c>
      <c r="L148" s="197">
        <f t="shared" si="324"/>
        <v>424.28499999999985</v>
      </c>
      <c r="M148" s="196">
        <f t="shared" si="338"/>
        <v>868.23506977491616</v>
      </c>
      <c r="N148" s="197">
        <f t="shared" si="339"/>
        <v>148.62411714167567</v>
      </c>
      <c r="O148" s="197">
        <f t="shared" si="340"/>
        <v>730.22744354633801</v>
      </c>
      <c r="P148" s="197">
        <f t="shared" si="341"/>
        <v>138.00762622857815</v>
      </c>
      <c r="Q148" s="199">
        <f t="shared" si="342"/>
        <v>286.63174337025384</v>
      </c>
      <c r="R148" s="196">
        <f t="shared" si="343"/>
        <v>11709.323255627078</v>
      </c>
      <c r="S148" s="197">
        <f t="shared" si="343"/>
        <v>2004.397071458106</v>
      </c>
      <c r="T148" s="197">
        <f t="shared" si="343"/>
        <v>9848.1039113415391</v>
      </c>
      <c r="U148" s="197">
        <f t="shared" si="343"/>
        <v>1861.2193442855405</v>
      </c>
      <c r="V148" s="199">
        <f t="shared" si="343"/>
        <v>3865.616415743646</v>
      </c>
      <c r="Y148" s="881">
        <v>11</v>
      </c>
      <c r="Z148" s="892">
        <f>'Arable Inputs'!$H$18*$AB$134</f>
        <v>18</v>
      </c>
      <c r="AA148" s="747">
        <f>'Arable Inputs'!$H$25</f>
        <v>107.1</v>
      </c>
      <c r="AB148" s="749">
        <f t="shared" si="344"/>
        <v>1927.8</v>
      </c>
      <c r="AC148" s="197">
        <f>'Arable NPV'!$D127</f>
        <v>220</v>
      </c>
      <c r="AD148" s="197">
        <f t="shared" si="389"/>
        <v>2147.8000000000002</v>
      </c>
      <c r="AE148" s="197">
        <f>'Arable NPV'!$F127</f>
        <v>528.51499999999999</v>
      </c>
      <c r="AF148" s="197">
        <f>'Arable NPV'!$G127</f>
        <v>552.40000000000009</v>
      </c>
      <c r="AG148" s="197">
        <f t="shared" si="325"/>
        <v>1080.915</v>
      </c>
      <c r="AH148" s="197">
        <f t="shared" si="326"/>
        <v>846.88499999999999</v>
      </c>
      <c r="AI148" s="197">
        <f t="shared" si="327"/>
        <v>1066.8850000000002</v>
      </c>
      <c r="AJ148" s="196">
        <f t="shared" si="345"/>
        <v>1302.3526046623745</v>
      </c>
      <c r="AK148" s="197">
        <f t="shared" si="346"/>
        <v>148.62411714167567</v>
      </c>
      <c r="AL148" s="197">
        <f t="shared" si="347"/>
        <v>730.22744354633801</v>
      </c>
      <c r="AM148" s="197">
        <f t="shared" si="348"/>
        <v>572.12516111603645</v>
      </c>
      <c r="AN148" s="199">
        <f t="shared" si="349"/>
        <v>720.74927825771226</v>
      </c>
      <c r="AO148" s="196">
        <f t="shared" si="350"/>
        <v>17563.984883440622</v>
      </c>
      <c r="AP148" s="197">
        <f t="shared" si="351"/>
        <v>2004.397071458106</v>
      </c>
      <c r="AQ148" s="197">
        <f t="shared" si="352"/>
        <v>9848.1039113415391</v>
      </c>
      <c r="AR148" s="197">
        <f t="shared" si="353"/>
        <v>7715.8809720990812</v>
      </c>
      <c r="AS148" s="199">
        <f t="shared" si="354"/>
        <v>9720.2780435571894</v>
      </c>
      <c r="AX148" s="881">
        <v>11</v>
      </c>
      <c r="AY148" s="892">
        <f>'Arable Inputs'!$H$18*$BA$134</f>
        <v>6</v>
      </c>
      <c r="AZ148" s="747">
        <f>'Arable Inputs'!$H$25</f>
        <v>107.1</v>
      </c>
      <c r="BA148" s="749">
        <f t="shared" si="355"/>
        <v>642.59999999999991</v>
      </c>
      <c r="BB148" s="197">
        <f>'Arable NPV'!$D127</f>
        <v>220</v>
      </c>
      <c r="BC148" s="197">
        <f t="shared" si="390"/>
        <v>862.59999999999991</v>
      </c>
      <c r="BD148" s="197">
        <f>'Arable NPV'!$F127</f>
        <v>528.51499999999999</v>
      </c>
      <c r="BE148" s="197">
        <f>'Arable NPV'!$G127</f>
        <v>552.40000000000009</v>
      </c>
      <c r="BF148" s="197">
        <f t="shared" si="328"/>
        <v>1080.915</v>
      </c>
      <c r="BG148" s="197">
        <f t="shared" si="329"/>
        <v>-438.31500000000005</v>
      </c>
      <c r="BH148" s="197">
        <f t="shared" si="330"/>
        <v>-218.31500000000005</v>
      </c>
      <c r="BI148" s="196">
        <f t="shared" si="356"/>
        <v>434.11753488745808</v>
      </c>
      <c r="BJ148" s="197">
        <f t="shared" si="357"/>
        <v>148.62411714167567</v>
      </c>
      <c r="BK148" s="197">
        <f t="shared" si="358"/>
        <v>730.22744354633801</v>
      </c>
      <c r="BL148" s="197">
        <f t="shared" si="359"/>
        <v>-296.10990865887993</v>
      </c>
      <c r="BM148" s="199">
        <f t="shared" si="360"/>
        <v>-147.48579151720426</v>
      </c>
      <c r="BN148" s="196">
        <f t="shared" si="361"/>
        <v>5854.6616278135389</v>
      </c>
      <c r="BO148" s="197">
        <f t="shared" si="362"/>
        <v>2004.397071458106</v>
      </c>
      <c r="BP148" s="197">
        <f t="shared" si="363"/>
        <v>9848.1039113415391</v>
      </c>
      <c r="BQ148" s="197">
        <f t="shared" si="364"/>
        <v>-3993.4422835279993</v>
      </c>
      <c r="BR148" s="199">
        <f t="shared" si="365"/>
        <v>-1989.0452120698931</v>
      </c>
      <c r="BV148" s="881">
        <v>11</v>
      </c>
      <c r="BW148" s="892">
        <f>'Arable Inputs'!$H$18*$BY$134</f>
        <v>24</v>
      </c>
      <c r="BX148" s="747">
        <f>'Arable Inputs'!$H$25</f>
        <v>107.1</v>
      </c>
      <c r="BY148" s="749">
        <f t="shared" si="366"/>
        <v>2570.3999999999996</v>
      </c>
      <c r="BZ148" s="197">
        <f>'Arable NPV'!$D127</f>
        <v>220</v>
      </c>
      <c r="CA148" s="197">
        <f t="shared" si="391"/>
        <v>2790.3999999999996</v>
      </c>
      <c r="CB148" s="197">
        <f>'Arable NPV'!$F127</f>
        <v>528.51499999999999</v>
      </c>
      <c r="CC148" s="197">
        <f>'Arable NPV'!$G127</f>
        <v>552.40000000000009</v>
      </c>
      <c r="CD148" s="197">
        <f t="shared" si="331"/>
        <v>1080.915</v>
      </c>
      <c r="CE148" s="197">
        <f t="shared" si="332"/>
        <v>1489.4849999999997</v>
      </c>
      <c r="CF148" s="197">
        <f t="shared" si="333"/>
        <v>1709.4849999999997</v>
      </c>
      <c r="CG148" s="196">
        <f t="shared" si="367"/>
        <v>1736.4701395498323</v>
      </c>
      <c r="CH148" s="197">
        <f t="shared" si="368"/>
        <v>148.62411714167567</v>
      </c>
      <c r="CI148" s="197">
        <f t="shared" si="369"/>
        <v>730.22744354633801</v>
      </c>
      <c r="CJ148" s="197">
        <f t="shared" si="370"/>
        <v>1006.2426960034943</v>
      </c>
      <c r="CK148" s="199">
        <f t="shared" si="371"/>
        <v>1154.86681314517</v>
      </c>
      <c r="CL148" s="196">
        <f t="shared" si="372"/>
        <v>23418.646511254155</v>
      </c>
      <c r="CM148" s="197">
        <f t="shared" si="373"/>
        <v>2004.397071458106</v>
      </c>
      <c r="CN148" s="197">
        <f t="shared" si="374"/>
        <v>9848.1039113415391</v>
      </c>
      <c r="CO148" s="197">
        <f t="shared" si="375"/>
        <v>13570.542599912618</v>
      </c>
      <c r="CP148" s="199">
        <f t="shared" si="376"/>
        <v>15574.939671370725</v>
      </c>
      <c r="CT148" s="881">
        <v>11</v>
      </c>
      <c r="CU148" s="892">
        <f>'Arable Inputs'!$H$18*$CW$134</f>
        <v>0</v>
      </c>
      <c r="CV148" s="747">
        <f>'Arable Inputs'!$H$25</f>
        <v>107.1</v>
      </c>
      <c r="CW148" s="749">
        <f t="shared" si="377"/>
        <v>0</v>
      </c>
      <c r="CX148" s="197">
        <f>'Arable NPV'!$D127</f>
        <v>220</v>
      </c>
      <c r="CY148" s="197">
        <f t="shared" si="392"/>
        <v>220</v>
      </c>
      <c r="CZ148" s="197">
        <f>'Arable NPV'!$F127</f>
        <v>528.51499999999999</v>
      </c>
      <c r="DA148" s="197">
        <f>'Arable NPV'!$G127</f>
        <v>552.40000000000009</v>
      </c>
      <c r="DB148" s="197">
        <f t="shared" si="334"/>
        <v>1080.915</v>
      </c>
      <c r="DC148" s="197">
        <f t="shared" si="335"/>
        <v>-1080.915</v>
      </c>
      <c r="DD148" s="197">
        <f t="shared" si="336"/>
        <v>-860.91499999999996</v>
      </c>
      <c r="DE148" s="196">
        <f t="shared" si="378"/>
        <v>0</v>
      </c>
      <c r="DF148" s="197">
        <f t="shared" si="379"/>
        <v>148.62411714167567</v>
      </c>
      <c r="DG148" s="197">
        <f t="shared" si="380"/>
        <v>730.22744354633801</v>
      </c>
      <c r="DH148" s="197">
        <f t="shared" si="381"/>
        <v>-730.22744354633801</v>
      </c>
      <c r="DI148" s="199">
        <f t="shared" si="382"/>
        <v>-581.60332640466231</v>
      </c>
      <c r="DJ148" s="196">
        <f t="shared" si="383"/>
        <v>0</v>
      </c>
      <c r="DK148" s="197">
        <f t="shared" si="384"/>
        <v>2004.397071458106</v>
      </c>
      <c r="DL148" s="197">
        <f t="shared" si="385"/>
        <v>9848.1039113415391</v>
      </c>
      <c r="DM148" s="197">
        <f t="shared" si="386"/>
        <v>-9848.1039113415391</v>
      </c>
      <c r="DN148" s="199">
        <f t="shared" si="387"/>
        <v>-7843.7068398834326</v>
      </c>
    </row>
    <row r="149" spans="2:118" x14ac:dyDescent="0.3">
      <c r="B149" s="881">
        <v>12</v>
      </c>
      <c r="C149" s="892">
        <f>'Arable Inputs'!$H$18*$E$134</f>
        <v>12</v>
      </c>
      <c r="D149" s="747">
        <f>'Arable Inputs'!$H$25</f>
        <v>107.1</v>
      </c>
      <c r="E149" s="749">
        <f t="shared" si="337"/>
        <v>1285.1999999999998</v>
      </c>
      <c r="F149" s="197">
        <f>'Arable NPV'!$D128</f>
        <v>220</v>
      </c>
      <c r="G149" s="197">
        <f t="shared" si="388"/>
        <v>1505.1999999999998</v>
      </c>
      <c r="H149" s="197">
        <f>'Arable NPV'!$F128</f>
        <v>528.51499999999999</v>
      </c>
      <c r="I149" s="197">
        <f>'Arable NPV'!$G128</f>
        <v>552.40000000000009</v>
      </c>
      <c r="J149" s="197">
        <f t="shared" si="322"/>
        <v>1080.915</v>
      </c>
      <c r="K149" s="197">
        <f t="shared" si="323"/>
        <v>204.28499999999985</v>
      </c>
      <c r="L149" s="197">
        <f t="shared" si="324"/>
        <v>424.28499999999985</v>
      </c>
      <c r="M149" s="196">
        <f t="shared" si="338"/>
        <v>834.84141324511177</v>
      </c>
      <c r="N149" s="197">
        <f t="shared" si="339"/>
        <v>142.90780494391893</v>
      </c>
      <c r="O149" s="197">
        <f t="shared" si="340"/>
        <v>702.14177264070963</v>
      </c>
      <c r="P149" s="197">
        <f t="shared" si="341"/>
        <v>132.69964060440208</v>
      </c>
      <c r="Q149" s="199">
        <f t="shared" si="342"/>
        <v>275.60744554832104</v>
      </c>
      <c r="R149" s="196">
        <f t="shared" si="343"/>
        <v>12544.16466887219</v>
      </c>
      <c r="S149" s="197">
        <f t="shared" si="343"/>
        <v>2147.304876402025</v>
      </c>
      <c r="T149" s="197">
        <f t="shared" si="343"/>
        <v>10550.245683982248</v>
      </c>
      <c r="U149" s="197">
        <f t="shared" si="343"/>
        <v>1993.9189848899425</v>
      </c>
      <c r="V149" s="199">
        <f t="shared" si="343"/>
        <v>4141.2238612919673</v>
      </c>
      <c r="Y149" s="881">
        <v>12</v>
      </c>
      <c r="Z149" s="892">
        <f>'Arable Inputs'!$H$18*$AB$134</f>
        <v>18</v>
      </c>
      <c r="AA149" s="747">
        <f>'Arable Inputs'!$H$25</f>
        <v>107.1</v>
      </c>
      <c r="AB149" s="749">
        <f t="shared" si="344"/>
        <v>1927.8</v>
      </c>
      <c r="AC149" s="197">
        <f>'Arable NPV'!$D128</f>
        <v>220</v>
      </c>
      <c r="AD149" s="197">
        <f t="shared" si="389"/>
        <v>2147.8000000000002</v>
      </c>
      <c r="AE149" s="197">
        <f>'Arable NPV'!$F128</f>
        <v>528.51499999999999</v>
      </c>
      <c r="AF149" s="197">
        <f>'Arable NPV'!$G128</f>
        <v>552.40000000000009</v>
      </c>
      <c r="AG149" s="197">
        <f t="shared" si="325"/>
        <v>1080.915</v>
      </c>
      <c r="AH149" s="197">
        <f t="shared" si="326"/>
        <v>846.88499999999999</v>
      </c>
      <c r="AI149" s="197">
        <f t="shared" si="327"/>
        <v>1066.8850000000002</v>
      </c>
      <c r="AJ149" s="196">
        <f t="shared" si="345"/>
        <v>1252.2621198676677</v>
      </c>
      <c r="AK149" s="197">
        <f t="shared" si="346"/>
        <v>142.90780494391893</v>
      </c>
      <c r="AL149" s="197">
        <f t="shared" si="347"/>
        <v>702.14177264070963</v>
      </c>
      <c r="AM149" s="197">
        <f t="shared" si="348"/>
        <v>550.12034722695807</v>
      </c>
      <c r="AN149" s="199">
        <f t="shared" si="349"/>
        <v>693.02815217087721</v>
      </c>
      <c r="AO149" s="196">
        <f t="shared" si="350"/>
        <v>18816.24700330829</v>
      </c>
      <c r="AP149" s="197">
        <f t="shared" si="351"/>
        <v>2147.304876402025</v>
      </c>
      <c r="AQ149" s="197">
        <f t="shared" si="352"/>
        <v>10550.245683982248</v>
      </c>
      <c r="AR149" s="197">
        <f t="shared" si="353"/>
        <v>8266.0013193260384</v>
      </c>
      <c r="AS149" s="199">
        <f t="shared" si="354"/>
        <v>10413.306195728066</v>
      </c>
      <c r="AX149" s="881">
        <v>12</v>
      </c>
      <c r="AY149" s="892">
        <f>'Arable Inputs'!$H$18*$BA$134</f>
        <v>6</v>
      </c>
      <c r="AZ149" s="747">
        <f>'Arable Inputs'!$H$25</f>
        <v>107.1</v>
      </c>
      <c r="BA149" s="749">
        <f t="shared" si="355"/>
        <v>642.59999999999991</v>
      </c>
      <c r="BB149" s="197">
        <f>'Arable NPV'!$D128</f>
        <v>220</v>
      </c>
      <c r="BC149" s="197">
        <f t="shared" si="390"/>
        <v>862.59999999999991</v>
      </c>
      <c r="BD149" s="197">
        <f>'Arable NPV'!$F128</f>
        <v>528.51499999999999</v>
      </c>
      <c r="BE149" s="197">
        <f>'Arable NPV'!$G128</f>
        <v>552.40000000000009</v>
      </c>
      <c r="BF149" s="197">
        <f t="shared" si="328"/>
        <v>1080.915</v>
      </c>
      <c r="BG149" s="197">
        <f t="shared" si="329"/>
        <v>-438.31500000000005</v>
      </c>
      <c r="BH149" s="197">
        <f t="shared" si="330"/>
        <v>-218.31500000000005</v>
      </c>
      <c r="BI149" s="196">
        <f t="shared" si="356"/>
        <v>417.42070662255588</v>
      </c>
      <c r="BJ149" s="197">
        <f t="shared" si="357"/>
        <v>142.90780494391893</v>
      </c>
      <c r="BK149" s="197">
        <f t="shared" si="358"/>
        <v>702.14177264070963</v>
      </c>
      <c r="BL149" s="197">
        <f t="shared" si="359"/>
        <v>-284.72106601815381</v>
      </c>
      <c r="BM149" s="199">
        <f t="shared" si="360"/>
        <v>-141.81326107423487</v>
      </c>
      <c r="BN149" s="196">
        <f t="shared" si="361"/>
        <v>6272.0823344360952</v>
      </c>
      <c r="BO149" s="197">
        <f t="shared" si="362"/>
        <v>2147.304876402025</v>
      </c>
      <c r="BP149" s="197">
        <f t="shared" si="363"/>
        <v>10550.245683982248</v>
      </c>
      <c r="BQ149" s="197">
        <f t="shared" si="364"/>
        <v>-4278.1633495461529</v>
      </c>
      <c r="BR149" s="199">
        <f t="shared" si="365"/>
        <v>-2130.8584731441279</v>
      </c>
      <c r="BV149" s="881">
        <v>12</v>
      </c>
      <c r="BW149" s="892">
        <f>'Arable Inputs'!$H$18*$BY$134</f>
        <v>24</v>
      </c>
      <c r="BX149" s="747">
        <f>'Arable Inputs'!$H$25</f>
        <v>107.1</v>
      </c>
      <c r="BY149" s="749">
        <f t="shared" si="366"/>
        <v>2570.3999999999996</v>
      </c>
      <c r="BZ149" s="197">
        <f>'Arable NPV'!$D128</f>
        <v>220</v>
      </c>
      <c r="CA149" s="197">
        <f t="shared" si="391"/>
        <v>2790.3999999999996</v>
      </c>
      <c r="CB149" s="197">
        <f>'Arable NPV'!$F128</f>
        <v>528.51499999999999</v>
      </c>
      <c r="CC149" s="197">
        <f>'Arable NPV'!$G128</f>
        <v>552.40000000000009</v>
      </c>
      <c r="CD149" s="197">
        <f t="shared" si="331"/>
        <v>1080.915</v>
      </c>
      <c r="CE149" s="197">
        <f t="shared" si="332"/>
        <v>1489.4849999999997</v>
      </c>
      <c r="CF149" s="197">
        <f t="shared" si="333"/>
        <v>1709.4849999999997</v>
      </c>
      <c r="CG149" s="196">
        <f t="shared" si="367"/>
        <v>1669.6828264902235</v>
      </c>
      <c r="CH149" s="197">
        <f t="shared" si="368"/>
        <v>142.90780494391893</v>
      </c>
      <c r="CI149" s="197">
        <f t="shared" si="369"/>
        <v>702.14177264070963</v>
      </c>
      <c r="CJ149" s="197">
        <f t="shared" si="370"/>
        <v>967.5410538495139</v>
      </c>
      <c r="CK149" s="199">
        <f t="shared" si="371"/>
        <v>1110.4488587934327</v>
      </c>
      <c r="CL149" s="196">
        <f t="shared" si="372"/>
        <v>25088.329337744381</v>
      </c>
      <c r="CM149" s="197">
        <f t="shared" si="373"/>
        <v>2147.304876402025</v>
      </c>
      <c r="CN149" s="197">
        <f t="shared" si="374"/>
        <v>10550.245683982248</v>
      </c>
      <c r="CO149" s="197">
        <f t="shared" si="375"/>
        <v>14538.083653762133</v>
      </c>
      <c r="CP149" s="199">
        <f t="shared" si="376"/>
        <v>16685.388530164157</v>
      </c>
      <c r="CT149" s="881">
        <v>12</v>
      </c>
      <c r="CU149" s="892">
        <f>'Arable Inputs'!$H$18*$CW$134</f>
        <v>0</v>
      </c>
      <c r="CV149" s="747">
        <f>'Arable Inputs'!$H$25</f>
        <v>107.1</v>
      </c>
      <c r="CW149" s="749">
        <f t="shared" si="377"/>
        <v>0</v>
      </c>
      <c r="CX149" s="197">
        <f>'Arable NPV'!$D128</f>
        <v>220</v>
      </c>
      <c r="CY149" s="197">
        <f t="shared" si="392"/>
        <v>220</v>
      </c>
      <c r="CZ149" s="197">
        <f>'Arable NPV'!$F128</f>
        <v>528.51499999999999</v>
      </c>
      <c r="DA149" s="197">
        <f>'Arable NPV'!$G128</f>
        <v>552.40000000000009</v>
      </c>
      <c r="DB149" s="197">
        <f t="shared" si="334"/>
        <v>1080.915</v>
      </c>
      <c r="DC149" s="197">
        <f t="shared" si="335"/>
        <v>-1080.915</v>
      </c>
      <c r="DD149" s="197">
        <f t="shared" si="336"/>
        <v>-860.91499999999996</v>
      </c>
      <c r="DE149" s="196">
        <f t="shared" si="378"/>
        <v>0</v>
      </c>
      <c r="DF149" s="197">
        <f t="shared" si="379"/>
        <v>142.90780494391893</v>
      </c>
      <c r="DG149" s="197">
        <f t="shared" si="380"/>
        <v>702.14177264070963</v>
      </c>
      <c r="DH149" s="197">
        <f t="shared" si="381"/>
        <v>-702.14177264070963</v>
      </c>
      <c r="DI149" s="199">
        <f t="shared" si="382"/>
        <v>-559.23396769679073</v>
      </c>
      <c r="DJ149" s="196">
        <f t="shared" si="383"/>
        <v>0</v>
      </c>
      <c r="DK149" s="197">
        <f t="shared" si="384"/>
        <v>2147.304876402025</v>
      </c>
      <c r="DL149" s="197">
        <f t="shared" si="385"/>
        <v>10550.245683982248</v>
      </c>
      <c r="DM149" s="197">
        <f t="shared" si="386"/>
        <v>-10550.245683982248</v>
      </c>
      <c r="DN149" s="199">
        <f t="shared" si="387"/>
        <v>-8402.9408075802239</v>
      </c>
    </row>
    <row r="150" spans="2:118" x14ac:dyDescent="0.3">
      <c r="B150" s="881">
        <v>13</v>
      </c>
      <c r="C150" s="892">
        <f>'Arable Inputs'!$H$18*$E$134</f>
        <v>12</v>
      </c>
      <c r="D150" s="747">
        <f>'Arable Inputs'!$H$25</f>
        <v>107.1</v>
      </c>
      <c r="E150" s="749">
        <f t="shared" si="337"/>
        <v>1285.1999999999998</v>
      </c>
      <c r="F150" s="197">
        <f>'Arable NPV'!$D129</f>
        <v>220</v>
      </c>
      <c r="G150" s="197">
        <f t="shared" si="388"/>
        <v>1505.1999999999998</v>
      </c>
      <c r="H150" s="197">
        <f>'Arable NPV'!$F129</f>
        <v>528.51499999999999</v>
      </c>
      <c r="I150" s="197">
        <f>'Arable NPV'!$G129</f>
        <v>552.40000000000009</v>
      </c>
      <c r="J150" s="197">
        <f t="shared" si="322"/>
        <v>1080.915</v>
      </c>
      <c r="K150" s="197">
        <f t="shared" si="323"/>
        <v>204.28499999999985</v>
      </c>
      <c r="L150" s="197">
        <f t="shared" si="324"/>
        <v>424.28499999999985</v>
      </c>
      <c r="M150" s="196">
        <f t="shared" si="338"/>
        <v>802.73212812029965</v>
      </c>
      <c r="N150" s="197">
        <f t="shared" si="339"/>
        <v>137.41135090761432</v>
      </c>
      <c r="O150" s="197">
        <f t="shared" si="340"/>
        <v>675.13631984683605</v>
      </c>
      <c r="P150" s="197">
        <f t="shared" si="341"/>
        <v>127.59580827346352</v>
      </c>
      <c r="Q150" s="199">
        <f t="shared" si="342"/>
        <v>265.00715918107784</v>
      </c>
      <c r="R150" s="196">
        <f t="shared" si="343"/>
        <v>13346.896796992491</v>
      </c>
      <c r="S150" s="197">
        <f t="shared" si="343"/>
        <v>2284.7162273096392</v>
      </c>
      <c r="T150" s="197">
        <f t="shared" si="343"/>
        <v>11225.382003829083</v>
      </c>
      <c r="U150" s="197">
        <f t="shared" si="343"/>
        <v>2121.514793163406</v>
      </c>
      <c r="V150" s="199">
        <f t="shared" si="343"/>
        <v>4406.2310204730447</v>
      </c>
      <c r="Y150" s="881">
        <v>13</v>
      </c>
      <c r="Z150" s="892">
        <f>'Arable Inputs'!$H$18*$AB$134</f>
        <v>18</v>
      </c>
      <c r="AA150" s="747">
        <f>'Arable Inputs'!$H$25</f>
        <v>107.1</v>
      </c>
      <c r="AB150" s="749">
        <f t="shared" si="344"/>
        <v>1927.8</v>
      </c>
      <c r="AC150" s="197">
        <f>'Arable NPV'!$D129</f>
        <v>220</v>
      </c>
      <c r="AD150" s="197">
        <f t="shared" si="389"/>
        <v>2147.8000000000002</v>
      </c>
      <c r="AE150" s="197">
        <f>'Arable NPV'!$F129</f>
        <v>528.51499999999999</v>
      </c>
      <c r="AF150" s="197">
        <f>'Arable NPV'!$G129</f>
        <v>552.40000000000009</v>
      </c>
      <c r="AG150" s="197">
        <f t="shared" si="325"/>
        <v>1080.915</v>
      </c>
      <c r="AH150" s="197">
        <f t="shared" si="326"/>
        <v>846.88499999999999</v>
      </c>
      <c r="AI150" s="197">
        <f t="shared" si="327"/>
        <v>1066.8850000000002</v>
      </c>
      <c r="AJ150" s="196">
        <f t="shared" si="345"/>
        <v>1204.0981921804496</v>
      </c>
      <c r="AK150" s="197">
        <f t="shared" si="346"/>
        <v>137.41135090761432</v>
      </c>
      <c r="AL150" s="197">
        <f t="shared" si="347"/>
        <v>675.13631984683605</v>
      </c>
      <c r="AM150" s="197">
        <f t="shared" si="348"/>
        <v>528.96187233361343</v>
      </c>
      <c r="AN150" s="199">
        <f t="shared" si="349"/>
        <v>666.37322324122795</v>
      </c>
      <c r="AO150" s="196">
        <f t="shared" si="350"/>
        <v>20020.345195488739</v>
      </c>
      <c r="AP150" s="197">
        <f t="shared" si="351"/>
        <v>2284.7162273096392</v>
      </c>
      <c r="AQ150" s="197">
        <f t="shared" si="352"/>
        <v>11225.382003829083</v>
      </c>
      <c r="AR150" s="197">
        <f t="shared" si="353"/>
        <v>8794.9631916596518</v>
      </c>
      <c r="AS150" s="199">
        <f t="shared" si="354"/>
        <v>11079.679418969294</v>
      </c>
      <c r="AX150" s="881">
        <v>13</v>
      </c>
      <c r="AY150" s="892">
        <f>'Arable Inputs'!$H$18*$BA$134</f>
        <v>6</v>
      </c>
      <c r="AZ150" s="747">
        <f>'Arable Inputs'!$H$25</f>
        <v>107.1</v>
      </c>
      <c r="BA150" s="749">
        <f t="shared" si="355"/>
        <v>642.59999999999991</v>
      </c>
      <c r="BB150" s="197">
        <f>'Arable NPV'!$D129</f>
        <v>220</v>
      </c>
      <c r="BC150" s="197">
        <f t="shared" si="390"/>
        <v>862.59999999999991</v>
      </c>
      <c r="BD150" s="197">
        <f>'Arable NPV'!$F129</f>
        <v>528.51499999999999</v>
      </c>
      <c r="BE150" s="197">
        <f>'Arable NPV'!$G129</f>
        <v>552.40000000000009</v>
      </c>
      <c r="BF150" s="197">
        <f t="shared" si="328"/>
        <v>1080.915</v>
      </c>
      <c r="BG150" s="197">
        <f t="shared" si="329"/>
        <v>-438.31500000000005</v>
      </c>
      <c r="BH150" s="197">
        <f t="shared" si="330"/>
        <v>-218.31500000000005</v>
      </c>
      <c r="BI150" s="196">
        <f t="shared" si="356"/>
        <v>401.36606406014982</v>
      </c>
      <c r="BJ150" s="197">
        <f t="shared" si="357"/>
        <v>137.41135090761432</v>
      </c>
      <c r="BK150" s="197">
        <f t="shared" si="358"/>
        <v>675.13631984683605</v>
      </c>
      <c r="BL150" s="197">
        <f t="shared" si="359"/>
        <v>-273.77025578668628</v>
      </c>
      <c r="BM150" s="199">
        <f t="shared" si="360"/>
        <v>-136.35890487907196</v>
      </c>
      <c r="BN150" s="196">
        <f t="shared" si="361"/>
        <v>6673.4483984962453</v>
      </c>
      <c r="BO150" s="197">
        <f t="shared" si="362"/>
        <v>2284.7162273096392</v>
      </c>
      <c r="BP150" s="197">
        <f t="shared" si="363"/>
        <v>11225.382003829083</v>
      </c>
      <c r="BQ150" s="197">
        <f t="shared" si="364"/>
        <v>-4551.9336053328389</v>
      </c>
      <c r="BR150" s="199">
        <f t="shared" si="365"/>
        <v>-2267.2173780231997</v>
      </c>
      <c r="BV150" s="881">
        <v>13</v>
      </c>
      <c r="BW150" s="892">
        <f>'Arable Inputs'!$H$18*$BY$134</f>
        <v>24</v>
      </c>
      <c r="BX150" s="747">
        <f>'Arable Inputs'!$H$25</f>
        <v>107.1</v>
      </c>
      <c r="BY150" s="749">
        <f t="shared" si="366"/>
        <v>2570.3999999999996</v>
      </c>
      <c r="BZ150" s="197">
        <f>'Arable NPV'!$D129</f>
        <v>220</v>
      </c>
      <c r="CA150" s="197">
        <f t="shared" si="391"/>
        <v>2790.3999999999996</v>
      </c>
      <c r="CB150" s="197">
        <f>'Arable NPV'!$F129</f>
        <v>528.51499999999999</v>
      </c>
      <c r="CC150" s="197">
        <f>'Arable NPV'!$G129</f>
        <v>552.40000000000009</v>
      </c>
      <c r="CD150" s="197">
        <f t="shared" si="331"/>
        <v>1080.915</v>
      </c>
      <c r="CE150" s="197">
        <f t="shared" si="332"/>
        <v>1489.4849999999997</v>
      </c>
      <c r="CF150" s="197">
        <f t="shared" si="333"/>
        <v>1709.4849999999997</v>
      </c>
      <c r="CG150" s="196">
        <f t="shared" si="367"/>
        <v>1605.4642562405993</v>
      </c>
      <c r="CH150" s="197">
        <f t="shared" si="368"/>
        <v>137.41135090761432</v>
      </c>
      <c r="CI150" s="197">
        <f t="shared" si="369"/>
        <v>675.13631984683605</v>
      </c>
      <c r="CJ150" s="197">
        <f t="shared" si="370"/>
        <v>930.32793639376314</v>
      </c>
      <c r="CK150" s="199">
        <f t="shared" si="371"/>
        <v>1067.7392873013775</v>
      </c>
      <c r="CL150" s="196">
        <f t="shared" si="372"/>
        <v>26693.793593984981</v>
      </c>
      <c r="CM150" s="197">
        <f t="shared" si="373"/>
        <v>2284.7162273096392</v>
      </c>
      <c r="CN150" s="197">
        <f t="shared" si="374"/>
        <v>11225.382003829083</v>
      </c>
      <c r="CO150" s="197">
        <f t="shared" si="375"/>
        <v>15468.411590155896</v>
      </c>
      <c r="CP150" s="199">
        <f t="shared" si="376"/>
        <v>17753.127817465534</v>
      </c>
      <c r="CT150" s="881">
        <v>13</v>
      </c>
      <c r="CU150" s="892">
        <f>'Arable Inputs'!$H$18*$CW$134</f>
        <v>0</v>
      </c>
      <c r="CV150" s="747">
        <f>'Arable Inputs'!$H$25</f>
        <v>107.1</v>
      </c>
      <c r="CW150" s="749">
        <f t="shared" si="377"/>
        <v>0</v>
      </c>
      <c r="CX150" s="197">
        <f>'Arable NPV'!$D129</f>
        <v>220</v>
      </c>
      <c r="CY150" s="197">
        <f t="shared" si="392"/>
        <v>220</v>
      </c>
      <c r="CZ150" s="197">
        <f>'Arable NPV'!$F129</f>
        <v>528.51499999999999</v>
      </c>
      <c r="DA150" s="197">
        <f>'Arable NPV'!$G129</f>
        <v>552.40000000000009</v>
      </c>
      <c r="DB150" s="197">
        <f t="shared" si="334"/>
        <v>1080.915</v>
      </c>
      <c r="DC150" s="197">
        <f t="shared" si="335"/>
        <v>-1080.915</v>
      </c>
      <c r="DD150" s="197">
        <f t="shared" si="336"/>
        <v>-860.91499999999996</v>
      </c>
      <c r="DE150" s="196">
        <f t="shared" si="378"/>
        <v>0</v>
      </c>
      <c r="DF150" s="197">
        <f t="shared" si="379"/>
        <v>137.41135090761432</v>
      </c>
      <c r="DG150" s="197">
        <f t="shared" si="380"/>
        <v>675.13631984683605</v>
      </c>
      <c r="DH150" s="197">
        <f t="shared" si="381"/>
        <v>-675.13631984683605</v>
      </c>
      <c r="DI150" s="199">
        <f t="shared" si="382"/>
        <v>-537.72496893922175</v>
      </c>
      <c r="DJ150" s="196">
        <f t="shared" si="383"/>
        <v>0</v>
      </c>
      <c r="DK150" s="197">
        <f t="shared" si="384"/>
        <v>2284.7162273096392</v>
      </c>
      <c r="DL150" s="197">
        <f t="shared" si="385"/>
        <v>11225.382003829083</v>
      </c>
      <c r="DM150" s="197">
        <f t="shared" si="386"/>
        <v>-11225.382003829083</v>
      </c>
      <c r="DN150" s="199">
        <f t="shared" si="387"/>
        <v>-8940.665776519445</v>
      </c>
    </row>
    <row r="151" spans="2:118" x14ac:dyDescent="0.3">
      <c r="B151" s="881">
        <v>14</v>
      </c>
      <c r="C151" s="892">
        <f>'Arable Inputs'!$H$18*$E$134</f>
        <v>12</v>
      </c>
      <c r="D151" s="747">
        <f>'Arable Inputs'!$H$25</f>
        <v>107.1</v>
      </c>
      <c r="E151" s="749">
        <f t="shared" si="337"/>
        <v>1285.1999999999998</v>
      </c>
      <c r="F151" s="197">
        <f>'Arable NPV'!$D130</f>
        <v>220</v>
      </c>
      <c r="G151" s="197">
        <f t="shared" si="388"/>
        <v>1505.1999999999998</v>
      </c>
      <c r="H151" s="197">
        <f>'Arable NPV'!$F130</f>
        <v>528.51499999999999</v>
      </c>
      <c r="I151" s="197">
        <f>'Arable NPV'!$G130</f>
        <v>552.40000000000009</v>
      </c>
      <c r="J151" s="197">
        <f t="shared" si="322"/>
        <v>1080.915</v>
      </c>
      <c r="K151" s="197">
        <f t="shared" si="323"/>
        <v>204.28499999999985</v>
      </c>
      <c r="L151" s="197">
        <f t="shared" si="324"/>
        <v>424.28499999999985</v>
      </c>
      <c r="M151" s="196">
        <f t="shared" si="338"/>
        <v>771.8578155002881</v>
      </c>
      <c r="N151" s="197">
        <f t="shared" si="339"/>
        <v>132.12629894962916</v>
      </c>
      <c r="O151" s="197">
        <f t="shared" si="340"/>
        <v>649.16953831426542</v>
      </c>
      <c r="P151" s="197">
        <f t="shared" si="341"/>
        <v>122.6882771860226</v>
      </c>
      <c r="Q151" s="199">
        <f t="shared" si="342"/>
        <v>254.81457613565178</v>
      </c>
      <c r="R151" s="196">
        <f t="shared" si="343"/>
        <v>14118.754612492779</v>
      </c>
      <c r="S151" s="197">
        <f t="shared" si="343"/>
        <v>2416.8425262592682</v>
      </c>
      <c r="T151" s="197">
        <f t="shared" si="343"/>
        <v>11874.551542143348</v>
      </c>
      <c r="U151" s="197">
        <f t="shared" si="343"/>
        <v>2244.2030703494288</v>
      </c>
      <c r="V151" s="199">
        <f t="shared" si="343"/>
        <v>4661.0455966086965</v>
      </c>
      <c r="Y151" s="881">
        <v>14</v>
      </c>
      <c r="Z151" s="892">
        <f>'Arable Inputs'!$H$18*$AB$134</f>
        <v>18</v>
      </c>
      <c r="AA151" s="747">
        <f>'Arable Inputs'!$H$25</f>
        <v>107.1</v>
      </c>
      <c r="AB151" s="749">
        <f t="shared" si="344"/>
        <v>1927.8</v>
      </c>
      <c r="AC151" s="197">
        <f>'Arable NPV'!$D130</f>
        <v>220</v>
      </c>
      <c r="AD151" s="197">
        <f t="shared" si="389"/>
        <v>2147.8000000000002</v>
      </c>
      <c r="AE151" s="197">
        <f>'Arable NPV'!$F130</f>
        <v>528.51499999999999</v>
      </c>
      <c r="AF151" s="197">
        <f>'Arable NPV'!$G130</f>
        <v>552.40000000000009</v>
      </c>
      <c r="AG151" s="197">
        <f t="shared" si="325"/>
        <v>1080.915</v>
      </c>
      <c r="AH151" s="197">
        <f t="shared" si="326"/>
        <v>846.88499999999999</v>
      </c>
      <c r="AI151" s="197">
        <f t="shared" si="327"/>
        <v>1066.8850000000002</v>
      </c>
      <c r="AJ151" s="196">
        <f t="shared" si="345"/>
        <v>1157.7867232504323</v>
      </c>
      <c r="AK151" s="197">
        <f t="shared" si="346"/>
        <v>132.12629894962916</v>
      </c>
      <c r="AL151" s="197">
        <f t="shared" si="347"/>
        <v>649.16953831426542</v>
      </c>
      <c r="AM151" s="197">
        <f t="shared" si="348"/>
        <v>508.61718493616678</v>
      </c>
      <c r="AN151" s="199">
        <f t="shared" si="349"/>
        <v>640.74348388579608</v>
      </c>
      <c r="AO151" s="196">
        <f t="shared" si="350"/>
        <v>21178.131918739171</v>
      </c>
      <c r="AP151" s="197">
        <f t="shared" si="351"/>
        <v>2416.8425262592682</v>
      </c>
      <c r="AQ151" s="197">
        <f t="shared" si="352"/>
        <v>11874.551542143348</v>
      </c>
      <c r="AR151" s="197">
        <f t="shared" si="353"/>
        <v>9303.580376595819</v>
      </c>
      <c r="AS151" s="199">
        <f t="shared" si="354"/>
        <v>11720.422902855089</v>
      </c>
      <c r="AX151" s="881">
        <v>14</v>
      </c>
      <c r="AY151" s="892">
        <f>'Arable Inputs'!$H$18*$BA$134</f>
        <v>6</v>
      </c>
      <c r="AZ151" s="747">
        <f>'Arable Inputs'!$H$25</f>
        <v>107.1</v>
      </c>
      <c r="BA151" s="749">
        <f t="shared" si="355"/>
        <v>642.59999999999991</v>
      </c>
      <c r="BB151" s="197">
        <f>'Arable NPV'!$D130</f>
        <v>220</v>
      </c>
      <c r="BC151" s="197">
        <f t="shared" si="390"/>
        <v>862.59999999999991</v>
      </c>
      <c r="BD151" s="197">
        <f>'Arable NPV'!$F130</f>
        <v>528.51499999999999</v>
      </c>
      <c r="BE151" s="197">
        <f>'Arable NPV'!$G130</f>
        <v>552.40000000000009</v>
      </c>
      <c r="BF151" s="197">
        <f t="shared" si="328"/>
        <v>1080.915</v>
      </c>
      <c r="BG151" s="197">
        <f t="shared" si="329"/>
        <v>-438.31500000000005</v>
      </c>
      <c r="BH151" s="197">
        <f t="shared" si="330"/>
        <v>-218.31500000000005</v>
      </c>
      <c r="BI151" s="196">
        <f t="shared" si="356"/>
        <v>385.92890775014405</v>
      </c>
      <c r="BJ151" s="197">
        <f t="shared" si="357"/>
        <v>132.12629894962916</v>
      </c>
      <c r="BK151" s="197">
        <f t="shared" si="358"/>
        <v>649.16953831426542</v>
      </c>
      <c r="BL151" s="197">
        <f t="shared" si="359"/>
        <v>-263.24063056412143</v>
      </c>
      <c r="BM151" s="199">
        <f t="shared" si="360"/>
        <v>-131.11433161449227</v>
      </c>
      <c r="BN151" s="196">
        <f t="shared" si="361"/>
        <v>7059.3773062463897</v>
      </c>
      <c r="BO151" s="197">
        <f t="shared" si="362"/>
        <v>2416.8425262592682</v>
      </c>
      <c r="BP151" s="197">
        <f t="shared" si="363"/>
        <v>11874.551542143348</v>
      </c>
      <c r="BQ151" s="197">
        <f t="shared" si="364"/>
        <v>-4815.1742358969605</v>
      </c>
      <c r="BR151" s="199">
        <f t="shared" si="365"/>
        <v>-2398.3317096376918</v>
      </c>
      <c r="BV151" s="881">
        <v>14</v>
      </c>
      <c r="BW151" s="892">
        <f>'Arable Inputs'!$H$18*$BY$134</f>
        <v>24</v>
      </c>
      <c r="BX151" s="747">
        <f>'Arable Inputs'!$H$25</f>
        <v>107.1</v>
      </c>
      <c r="BY151" s="749">
        <f t="shared" si="366"/>
        <v>2570.3999999999996</v>
      </c>
      <c r="BZ151" s="197">
        <f>'Arable NPV'!$D130</f>
        <v>220</v>
      </c>
      <c r="CA151" s="197">
        <f t="shared" si="391"/>
        <v>2790.3999999999996</v>
      </c>
      <c r="CB151" s="197">
        <f>'Arable NPV'!$F130</f>
        <v>528.51499999999999</v>
      </c>
      <c r="CC151" s="197">
        <f>'Arable NPV'!$G130</f>
        <v>552.40000000000009</v>
      </c>
      <c r="CD151" s="197">
        <f t="shared" si="331"/>
        <v>1080.915</v>
      </c>
      <c r="CE151" s="197">
        <f t="shared" si="332"/>
        <v>1489.4849999999997</v>
      </c>
      <c r="CF151" s="197">
        <f t="shared" si="333"/>
        <v>1709.4849999999997</v>
      </c>
      <c r="CG151" s="196">
        <f t="shared" si="367"/>
        <v>1543.7156310005762</v>
      </c>
      <c r="CH151" s="197">
        <f t="shared" si="368"/>
        <v>132.12629894962916</v>
      </c>
      <c r="CI151" s="197">
        <f t="shared" si="369"/>
        <v>649.16953831426542</v>
      </c>
      <c r="CJ151" s="197">
        <f t="shared" si="370"/>
        <v>894.54609268631066</v>
      </c>
      <c r="CK151" s="199">
        <f t="shared" si="371"/>
        <v>1026.6723916359399</v>
      </c>
      <c r="CL151" s="196">
        <f t="shared" si="372"/>
        <v>28237.509224985559</v>
      </c>
      <c r="CM151" s="197">
        <f t="shared" si="373"/>
        <v>2416.8425262592682</v>
      </c>
      <c r="CN151" s="197">
        <f t="shared" si="374"/>
        <v>11874.551542143348</v>
      </c>
      <c r="CO151" s="197">
        <f t="shared" si="375"/>
        <v>16362.957682842207</v>
      </c>
      <c r="CP151" s="199">
        <f t="shared" si="376"/>
        <v>18779.800209101475</v>
      </c>
      <c r="CT151" s="881">
        <v>14</v>
      </c>
      <c r="CU151" s="892">
        <f>'Arable Inputs'!$H$18*$CW$134</f>
        <v>0</v>
      </c>
      <c r="CV151" s="747">
        <f>'Arable Inputs'!$H$25</f>
        <v>107.1</v>
      </c>
      <c r="CW151" s="749">
        <f t="shared" si="377"/>
        <v>0</v>
      </c>
      <c r="CX151" s="197">
        <f>'Arable NPV'!$D130</f>
        <v>220</v>
      </c>
      <c r="CY151" s="197">
        <f t="shared" si="392"/>
        <v>220</v>
      </c>
      <c r="CZ151" s="197">
        <f>'Arable NPV'!$F130</f>
        <v>528.51499999999999</v>
      </c>
      <c r="DA151" s="197">
        <f>'Arable NPV'!$G130</f>
        <v>552.40000000000009</v>
      </c>
      <c r="DB151" s="197">
        <f t="shared" si="334"/>
        <v>1080.915</v>
      </c>
      <c r="DC151" s="197">
        <f t="shared" si="335"/>
        <v>-1080.915</v>
      </c>
      <c r="DD151" s="197">
        <f t="shared" si="336"/>
        <v>-860.91499999999996</v>
      </c>
      <c r="DE151" s="196">
        <f t="shared" si="378"/>
        <v>0</v>
      </c>
      <c r="DF151" s="197">
        <f t="shared" si="379"/>
        <v>132.12629894962916</v>
      </c>
      <c r="DG151" s="197">
        <f t="shared" si="380"/>
        <v>649.16953831426542</v>
      </c>
      <c r="DH151" s="197">
        <f t="shared" si="381"/>
        <v>-649.16953831426542</v>
      </c>
      <c r="DI151" s="199">
        <f t="shared" si="382"/>
        <v>-517.04323936463629</v>
      </c>
      <c r="DJ151" s="196">
        <f t="shared" si="383"/>
        <v>0</v>
      </c>
      <c r="DK151" s="197">
        <f t="shared" si="384"/>
        <v>2416.8425262592682</v>
      </c>
      <c r="DL151" s="197">
        <f t="shared" si="385"/>
        <v>11874.551542143348</v>
      </c>
      <c r="DM151" s="197">
        <f t="shared" si="386"/>
        <v>-11874.551542143348</v>
      </c>
      <c r="DN151" s="199">
        <f t="shared" si="387"/>
        <v>-9457.709015884082</v>
      </c>
    </row>
    <row r="152" spans="2:118" x14ac:dyDescent="0.3">
      <c r="B152" s="881">
        <v>15</v>
      </c>
      <c r="C152" s="892">
        <f>'Arable Inputs'!$H$18*$E$134</f>
        <v>12</v>
      </c>
      <c r="D152" s="747">
        <f>'Arable Inputs'!$H$25</f>
        <v>107.1</v>
      </c>
      <c r="E152" s="749">
        <f t="shared" si="337"/>
        <v>1285.1999999999998</v>
      </c>
      <c r="F152" s="197">
        <f>'Arable NPV'!$D131</f>
        <v>220</v>
      </c>
      <c r="G152" s="197">
        <f t="shared" si="388"/>
        <v>1505.1999999999998</v>
      </c>
      <c r="H152" s="197">
        <f>'Arable NPV'!$F131</f>
        <v>528.51499999999999</v>
      </c>
      <c r="I152" s="197">
        <f>'Arable NPV'!$G131</f>
        <v>552.40000000000009</v>
      </c>
      <c r="J152" s="197">
        <f t="shared" si="322"/>
        <v>1080.915</v>
      </c>
      <c r="K152" s="197">
        <f t="shared" si="323"/>
        <v>204.28499999999985</v>
      </c>
      <c r="L152" s="197">
        <f t="shared" si="324"/>
        <v>424.28499999999985</v>
      </c>
      <c r="M152" s="196">
        <f t="shared" si="338"/>
        <v>742.17097644258467</v>
      </c>
      <c r="N152" s="197">
        <f t="shared" si="339"/>
        <v>127.04451822079727</v>
      </c>
      <c r="O152" s="197">
        <f t="shared" si="340"/>
        <v>624.20147914833217</v>
      </c>
      <c r="P152" s="197">
        <f t="shared" si="341"/>
        <v>117.96949729425251</v>
      </c>
      <c r="Q152" s="199">
        <f t="shared" si="342"/>
        <v>245.01401551504978</v>
      </c>
      <c r="R152" s="196">
        <f t="shared" si="343"/>
        <v>14860.925588935364</v>
      </c>
      <c r="S152" s="197">
        <f t="shared" si="343"/>
        <v>2543.8870444800655</v>
      </c>
      <c r="T152" s="197">
        <f t="shared" si="343"/>
        <v>12498.753021291681</v>
      </c>
      <c r="U152" s="197">
        <f t="shared" si="343"/>
        <v>2362.1725676436813</v>
      </c>
      <c r="V152" s="199">
        <f t="shared" si="343"/>
        <v>4906.0596121237468</v>
      </c>
      <c r="Y152" s="881">
        <v>15</v>
      </c>
      <c r="Z152" s="892">
        <f>'Arable Inputs'!$H$18*$AB$134</f>
        <v>18</v>
      </c>
      <c r="AA152" s="747">
        <f>'Arable Inputs'!$H$25</f>
        <v>107.1</v>
      </c>
      <c r="AB152" s="749">
        <f t="shared" si="344"/>
        <v>1927.8</v>
      </c>
      <c r="AC152" s="197">
        <f>'Arable NPV'!$D131</f>
        <v>220</v>
      </c>
      <c r="AD152" s="197">
        <f t="shared" si="389"/>
        <v>2147.8000000000002</v>
      </c>
      <c r="AE152" s="197">
        <f>'Arable NPV'!$F131</f>
        <v>528.51499999999999</v>
      </c>
      <c r="AF152" s="197">
        <f>'Arable NPV'!$G131</f>
        <v>552.40000000000009</v>
      </c>
      <c r="AG152" s="197">
        <f t="shared" si="325"/>
        <v>1080.915</v>
      </c>
      <c r="AH152" s="197">
        <f t="shared" si="326"/>
        <v>846.88499999999999</v>
      </c>
      <c r="AI152" s="197">
        <f t="shared" si="327"/>
        <v>1066.8850000000002</v>
      </c>
      <c r="AJ152" s="196">
        <f t="shared" si="345"/>
        <v>1113.2564646638771</v>
      </c>
      <c r="AK152" s="197">
        <f t="shared" si="346"/>
        <v>127.04451822079727</v>
      </c>
      <c r="AL152" s="197">
        <f t="shared" si="347"/>
        <v>624.20147914833217</v>
      </c>
      <c r="AM152" s="197">
        <f t="shared" si="348"/>
        <v>489.05498551554496</v>
      </c>
      <c r="AN152" s="199">
        <f t="shared" si="349"/>
        <v>616.0995037363424</v>
      </c>
      <c r="AO152" s="196">
        <f t="shared" si="350"/>
        <v>22291.388383403049</v>
      </c>
      <c r="AP152" s="197">
        <f t="shared" si="351"/>
        <v>2543.8870444800655</v>
      </c>
      <c r="AQ152" s="197">
        <f t="shared" si="352"/>
        <v>12498.753021291681</v>
      </c>
      <c r="AR152" s="197">
        <f t="shared" si="353"/>
        <v>9792.6353621113631</v>
      </c>
      <c r="AS152" s="199">
        <f t="shared" si="354"/>
        <v>12336.522406591432</v>
      </c>
      <c r="AX152" s="881">
        <v>15</v>
      </c>
      <c r="AY152" s="892">
        <f>'Arable Inputs'!$H$18*$BA$134</f>
        <v>6</v>
      </c>
      <c r="AZ152" s="747">
        <f>'Arable Inputs'!$H$25</f>
        <v>107.1</v>
      </c>
      <c r="BA152" s="749">
        <f t="shared" si="355"/>
        <v>642.59999999999991</v>
      </c>
      <c r="BB152" s="197">
        <f>'Arable NPV'!$D131</f>
        <v>220</v>
      </c>
      <c r="BC152" s="197">
        <f t="shared" si="390"/>
        <v>862.59999999999991</v>
      </c>
      <c r="BD152" s="197">
        <f>'Arable NPV'!$F131</f>
        <v>528.51499999999999</v>
      </c>
      <c r="BE152" s="197">
        <f>'Arable NPV'!$G131</f>
        <v>552.40000000000009</v>
      </c>
      <c r="BF152" s="197">
        <f t="shared" si="328"/>
        <v>1080.915</v>
      </c>
      <c r="BG152" s="197">
        <f t="shared" si="329"/>
        <v>-438.31500000000005</v>
      </c>
      <c r="BH152" s="197">
        <f t="shared" si="330"/>
        <v>-218.31500000000005</v>
      </c>
      <c r="BI152" s="196">
        <f t="shared" si="356"/>
        <v>371.08548822129234</v>
      </c>
      <c r="BJ152" s="197">
        <f t="shared" si="357"/>
        <v>127.04451822079727</v>
      </c>
      <c r="BK152" s="197">
        <f t="shared" si="358"/>
        <v>624.20147914833217</v>
      </c>
      <c r="BL152" s="197">
        <f t="shared" si="359"/>
        <v>-253.11599092703983</v>
      </c>
      <c r="BM152" s="199">
        <f t="shared" si="360"/>
        <v>-126.07147270624256</v>
      </c>
      <c r="BN152" s="196">
        <f t="shared" si="361"/>
        <v>7430.4627944676822</v>
      </c>
      <c r="BO152" s="197">
        <f t="shared" si="362"/>
        <v>2543.8870444800655</v>
      </c>
      <c r="BP152" s="197">
        <f t="shared" si="363"/>
        <v>12498.753021291681</v>
      </c>
      <c r="BQ152" s="197">
        <f t="shared" si="364"/>
        <v>-5068.2902268240005</v>
      </c>
      <c r="BR152" s="199">
        <f t="shared" si="365"/>
        <v>-2524.4031823439345</v>
      </c>
      <c r="BV152" s="881">
        <v>15</v>
      </c>
      <c r="BW152" s="892">
        <f>'Arable Inputs'!$H$18*$BY$134</f>
        <v>24</v>
      </c>
      <c r="BX152" s="747">
        <f>'Arable Inputs'!$H$25</f>
        <v>107.1</v>
      </c>
      <c r="BY152" s="749">
        <f t="shared" si="366"/>
        <v>2570.3999999999996</v>
      </c>
      <c r="BZ152" s="197">
        <f>'Arable NPV'!$D131</f>
        <v>220</v>
      </c>
      <c r="CA152" s="197">
        <f t="shared" si="391"/>
        <v>2790.3999999999996</v>
      </c>
      <c r="CB152" s="197">
        <f>'Arable NPV'!$F131</f>
        <v>528.51499999999999</v>
      </c>
      <c r="CC152" s="197">
        <f>'Arable NPV'!$G131</f>
        <v>552.40000000000009</v>
      </c>
      <c r="CD152" s="197">
        <f t="shared" si="331"/>
        <v>1080.915</v>
      </c>
      <c r="CE152" s="197">
        <f t="shared" si="332"/>
        <v>1489.4849999999997</v>
      </c>
      <c r="CF152" s="197">
        <f t="shared" si="333"/>
        <v>1709.4849999999997</v>
      </c>
      <c r="CG152" s="196">
        <f t="shared" si="367"/>
        <v>1484.3419528851693</v>
      </c>
      <c r="CH152" s="197">
        <f t="shared" si="368"/>
        <v>127.04451822079727</v>
      </c>
      <c r="CI152" s="197">
        <f t="shared" si="369"/>
        <v>624.20147914833217</v>
      </c>
      <c r="CJ152" s="197">
        <f t="shared" si="370"/>
        <v>860.14047373683718</v>
      </c>
      <c r="CK152" s="199">
        <f t="shared" si="371"/>
        <v>987.18499195763445</v>
      </c>
      <c r="CL152" s="196">
        <f t="shared" si="372"/>
        <v>29721.851177870729</v>
      </c>
      <c r="CM152" s="197">
        <f t="shared" si="373"/>
        <v>2543.8870444800655</v>
      </c>
      <c r="CN152" s="197">
        <f t="shared" si="374"/>
        <v>12498.753021291681</v>
      </c>
      <c r="CO152" s="197">
        <f t="shared" si="375"/>
        <v>17223.098156579043</v>
      </c>
      <c r="CP152" s="199">
        <f t="shared" si="376"/>
        <v>19766.985201059109</v>
      </c>
      <c r="CT152" s="881">
        <v>15</v>
      </c>
      <c r="CU152" s="892">
        <f>'Arable Inputs'!$H$18*$CW$134</f>
        <v>0</v>
      </c>
      <c r="CV152" s="747">
        <f>'Arable Inputs'!$H$25</f>
        <v>107.1</v>
      </c>
      <c r="CW152" s="749">
        <f t="shared" si="377"/>
        <v>0</v>
      </c>
      <c r="CX152" s="197">
        <f>'Arable NPV'!$D131</f>
        <v>220</v>
      </c>
      <c r="CY152" s="197">
        <f t="shared" si="392"/>
        <v>220</v>
      </c>
      <c r="CZ152" s="197">
        <f>'Arable NPV'!$F131</f>
        <v>528.51499999999999</v>
      </c>
      <c r="DA152" s="197">
        <f>'Arable NPV'!$G131</f>
        <v>552.40000000000009</v>
      </c>
      <c r="DB152" s="197">
        <f t="shared" si="334"/>
        <v>1080.915</v>
      </c>
      <c r="DC152" s="197">
        <f t="shared" si="335"/>
        <v>-1080.915</v>
      </c>
      <c r="DD152" s="197">
        <f t="shared" si="336"/>
        <v>-860.91499999999996</v>
      </c>
      <c r="DE152" s="196">
        <f t="shared" si="378"/>
        <v>0</v>
      </c>
      <c r="DF152" s="197">
        <f t="shared" si="379"/>
        <v>127.04451822079727</v>
      </c>
      <c r="DG152" s="197">
        <f t="shared" si="380"/>
        <v>624.20147914833217</v>
      </c>
      <c r="DH152" s="197">
        <f t="shared" si="381"/>
        <v>-624.20147914833217</v>
      </c>
      <c r="DI152" s="199">
        <f t="shared" si="382"/>
        <v>-497.1569609275349</v>
      </c>
      <c r="DJ152" s="196">
        <f t="shared" si="383"/>
        <v>0</v>
      </c>
      <c r="DK152" s="197">
        <f t="shared" si="384"/>
        <v>2543.8870444800655</v>
      </c>
      <c r="DL152" s="197">
        <f t="shared" si="385"/>
        <v>12498.753021291681</v>
      </c>
      <c r="DM152" s="197">
        <f t="shared" si="386"/>
        <v>-12498.753021291681</v>
      </c>
      <c r="DN152" s="199">
        <f t="shared" si="387"/>
        <v>-9954.8659768116177</v>
      </c>
    </row>
    <row r="153" spans="2:118" x14ac:dyDescent="0.3">
      <c r="B153" s="882">
        <v>16</v>
      </c>
      <c r="C153" s="893">
        <f>'Arable Inputs'!$H$18*$E$134</f>
        <v>12</v>
      </c>
      <c r="D153" s="748">
        <f>'Arable Inputs'!$H$25</f>
        <v>107.1</v>
      </c>
      <c r="E153" s="207">
        <f t="shared" si="337"/>
        <v>1285.1999999999998</v>
      </c>
      <c r="F153" s="207">
        <f>'Arable NPV'!$D132</f>
        <v>220</v>
      </c>
      <c r="G153" s="207">
        <f>E153+F153</f>
        <v>1505.1999999999998</v>
      </c>
      <c r="H153" s="207">
        <f>'Arable NPV'!$F132</f>
        <v>528.51499999999999</v>
      </c>
      <c r="I153" s="207">
        <f>'Arable NPV'!$G132</f>
        <v>552.40000000000009</v>
      </c>
      <c r="J153" s="207">
        <f t="shared" si="322"/>
        <v>1080.915</v>
      </c>
      <c r="K153" s="207">
        <f t="shared" si="323"/>
        <v>204.28499999999985</v>
      </c>
      <c r="L153" s="207">
        <f t="shared" si="324"/>
        <v>424.28499999999985</v>
      </c>
      <c r="M153" s="208">
        <f t="shared" si="338"/>
        <v>713.62593888710069</v>
      </c>
      <c r="N153" s="207">
        <f t="shared" si="339"/>
        <v>122.15819059692046</v>
      </c>
      <c r="O153" s="207">
        <f t="shared" si="340"/>
        <v>600.19372995031938</v>
      </c>
      <c r="P153" s="207">
        <f t="shared" si="341"/>
        <v>113.43220893678127</v>
      </c>
      <c r="Q153" s="209">
        <f t="shared" si="342"/>
        <v>235.59039953370171</v>
      </c>
      <c r="R153" s="208">
        <f t="shared" si="343"/>
        <v>15574.551527822465</v>
      </c>
      <c r="S153" s="207">
        <f t="shared" si="343"/>
        <v>2666.045235076986</v>
      </c>
      <c r="T153" s="207">
        <f t="shared" si="343"/>
        <v>13098.946751242</v>
      </c>
      <c r="U153" s="207">
        <f t="shared" si="343"/>
        <v>2475.6047765804624</v>
      </c>
      <c r="V153" s="209">
        <f t="shared" si="343"/>
        <v>5141.6500116574489</v>
      </c>
      <c r="Y153" s="882">
        <v>16</v>
      </c>
      <c r="Z153" s="893">
        <f>'Arable Inputs'!$H$18*$AB$134</f>
        <v>18</v>
      </c>
      <c r="AA153" s="748">
        <f>'Arable Inputs'!$H$25</f>
        <v>107.1</v>
      </c>
      <c r="AB153" s="207">
        <f t="shared" si="344"/>
        <v>1927.8</v>
      </c>
      <c r="AC153" s="207">
        <f>'Arable NPV'!$D132</f>
        <v>220</v>
      </c>
      <c r="AD153" s="207">
        <f>AB153+AC153</f>
        <v>2147.8000000000002</v>
      </c>
      <c r="AE153" s="207">
        <f>'Arable NPV'!$F132</f>
        <v>528.51499999999999</v>
      </c>
      <c r="AF153" s="207">
        <f>'Arable NPV'!$G132</f>
        <v>552.40000000000009</v>
      </c>
      <c r="AG153" s="207">
        <f t="shared" si="325"/>
        <v>1080.915</v>
      </c>
      <c r="AH153" s="207">
        <f t="shared" si="326"/>
        <v>846.88499999999999</v>
      </c>
      <c r="AI153" s="207">
        <f t="shared" si="327"/>
        <v>1066.8850000000002</v>
      </c>
      <c r="AJ153" s="208">
        <f t="shared" si="345"/>
        <v>1070.4389083306512</v>
      </c>
      <c r="AK153" s="207">
        <f t="shared" si="346"/>
        <v>122.15819059692046</v>
      </c>
      <c r="AL153" s="207">
        <f t="shared" si="347"/>
        <v>600.19372995031938</v>
      </c>
      <c r="AM153" s="207">
        <f t="shared" si="348"/>
        <v>470.24517838033171</v>
      </c>
      <c r="AN153" s="209">
        <f>AI153/(1+$B$4)^(Y153-1)</f>
        <v>592.40336897725228</v>
      </c>
      <c r="AO153" s="208">
        <f t="shared" si="350"/>
        <v>23361.827291733702</v>
      </c>
      <c r="AP153" s="207">
        <f t="shared" si="351"/>
        <v>2666.045235076986</v>
      </c>
      <c r="AQ153" s="207">
        <f t="shared" si="352"/>
        <v>13098.946751242</v>
      </c>
      <c r="AR153" s="207">
        <f t="shared" si="353"/>
        <v>10262.880540491695</v>
      </c>
      <c r="AS153" s="209">
        <f t="shared" si="354"/>
        <v>12928.925775568685</v>
      </c>
      <c r="AX153" s="882">
        <v>16</v>
      </c>
      <c r="AY153" s="893">
        <f>'Arable Inputs'!$H$18*$BA$134</f>
        <v>6</v>
      </c>
      <c r="AZ153" s="748">
        <f>'Arable Inputs'!$H$25</f>
        <v>107.1</v>
      </c>
      <c r="BA153" s="207">
        <f t="shared" si="355"/>
        <v>642.59999999999991</v>
      </c>
      <c r="BB153" s="207">
        <f>'Arable NPV'!$D132</f>
        <v>220</v>
      </c>
      <c r="BC153" s="207">
        <f>BA153+BB153</f>
        <v>862.59999999999991</v>
      </c>
      <c r="BD153" s="207">
        <f>'Arable NPV'!$F132</f>
        <v>528.51499999999999</v>
      </c>
      <c r="BE153" s="207">
        <f>'Arable NPV'!$G132</f>
        <v>552.40000000000009</v>
      </c>
      <c r="BF153" s="207">
        <f t="shared" si="328"/>
        <v>1080.915</v>
      </c>
      <c r="BG153" s="207">
        <f t="shared" si="329"/>
        <v>-438.31500000000005</v>
      </c>
      <c r="BH153" s="207">
        <f t="shared" si="330"/>
        <v>-218.31500000000005</v>
      </c>
      <c r="BI153" s="208">
        <f t="shared" si="356"/>
        <v>356.81296944355034</v>
      </c>
      <c r="BJ153" s="207">
        <f t="shared" si="357"/>
        <v>122.15819059692046</v>
      </c>
      <c r="BK153" s="207">
        <f t="shared" si="358"/>
        <v>600.19372995031938</v>
      </c>
      <c r="BL153" s="207">
        <f t="shared" si="359"/>
        <v>-243.38076050676906</v>
      </c>
      <c r="BM153" s="209">
        <f>BH153/(1+$B$4)^(AX153-1)</f>
        <v>-121.22256990984862</v>
      </c>
      <c r="BN153" s="208">
        <f t="shared" si="361"/>
        <v>7787.2757639112324</v>
      </c>
      <c r="BO153" s="207">
        <f t="shared" si="362"/>
        <v>2666.045235076986</v>
      </c>
      <c r="BP153" s="207">
        <f t="shared" si="363"/>
        <v>13098.946751242</v>
      </c>
      <c r="BQ153" s="207">
        <f t="shared" si="364"/>
        <v>-5311.6709873307691</v>
      </c>
      <c r="BR153" s="209">
        <f t="shared" si="365"/>
        <v>-2645.625752253783</v>
      </c>
      <c r="BV153" s="882">
        <v>16</v>
      </c>
      <c r="BW153" s="893">
        <f>'Arable Inputs'!$H$18*$BY$134</f>
        <v>24</v>
      </c>
      <c r="BX153" s="748">
        <f>'Arable Inputs'!$H$25</f>
        <v>107.1</v>
      </c>
      <c r="BY153" s="207">
        <f t="shared" si="366"/>
        <v>2570.3999999999996</v>
      </c>
      <c r="BZ153" s="207">
        <f>'Arable NPV'!$D132</f>
        <v>220</v>
      </c>
      <c r="CA153" s="207">
        <f>BY153+BZ153</f>
        <v>2790.3999999999996</v>
      </c>
      <c r="CB153" s="207">
        <f>'Arable NPV'!$F132</f>
        <v>528.51499999999999</v>
      </c>
      <c r="CC153" s="207">
        <f>'Arable NPV'!$G132</f>
        <v>552.40000000000009</v>
      </c>
      <c r="CD153" s="207">
        <f t="shared" si="331"/>
        <v>1080.915</v>
      </c>
      <c r="CE153" s="207">
        <f t="shared" si="332"/>
        <v>1489.4849999999997</v>
      </c>
      <c r="CF153" s="207">
        <f t="shared" si="333"/>
        <v>1709.4849999999997</v>
      </c>
      <c r="CG153" s="208">
        <f t="shared" si="367"/>
        <v>1427.2518777742014</v>
      </c>
      <c r="CH153" s="207">
        <f t="shared" si="368"/>
        <v>122.15819059692046</v>
      </c>
      <c r="CI153" s="207">
        <f t="shared" si="369"/>
        <v>600.19372995031938</v>
      </c>
      <c r="CJ153" s="207">
        <f t="shared" si="370"/>
        <v>827.05814782388188</v>
      </c>
      <c r="CK153" s="209">
        <f>CF153/(1+$B$4)^(BV153-1)</f>
        <v>949.21633842080234</v>
      </c>
      <c r="CL153" s="208">
        <f t="shared" si="372"/>
        <v>31149.10305564493</v>
      </c>
      <c r="CM153" s="207">
        <f t="shared" si="373"/>
        <v>2666.045235076986</v>
      </c>
      <c r="CN153" s="207">
        <f t="shared" si="374"/>
        <v>13098.946751242</v>
      </c>
      <c r="CO153" s="207">
        <f t="shared" si="375"/>
        <v>18050.156304402924</v>
      </c>
      <c r="CP153" s="209">
        <f t="shared" si="376"/>
        <v>20716.201539479913</v>
      </c>
      <c r="CT153" s="882">
        <v>16</v>
      </c>
      <c r="CU153" s="893">
        <f>'Arable Inputs'!$H$18*$CW$134</f>
        <v>0</v>
      </c>
      <c r="CV153" s="748">
        <f>'Arable Inputs'!$H$25</f>
        <v>107.1</v>
      </c>
      <c r="CW153" s="207">
        <f t="shared" si="377"/>
        <v>0</v>
      </c>
      <c r="CX153" s="207">
        <f>'Arable NPV'!$D132</f>
        <v>220</v>
      </c>
      <c r="CY153" s="207">
        <f>CW153+CX153</f>
        <v>220</v>
      </c>
      <c r="CZ153" s="207">
        <f>'Arable NPV'!$F132</f>
        <v>528.51499999999999</v>
      </c>
      <c r="DA153" s="207">
        <f>'Arable NPV'!$G132</f>
        <v>552.40000000000009</v>
      </c>
      <c r="DB153" s="207">
        <f t="shared" si="334"/>
        <v>1080.915</v>
      </c>
      <c r="DC153" s="207">
        <f t="shared" si="335"/>
        <v>-1080.915</v>
      </c>
      <c r="DD153" s="207">
        <f t="shared" si="336"/>
        <v>-860.91499999999996</v>
      </c>
      <c r="DE153" s="208">
        <f t="shared" si="378"/>
        <v>0</v>
      </c>
      <c r="DF153" s="207">
        <f t="shared" si="379"/>
        <v>122.15819059692046</v>
      </c>
      <c r="DG153" s="207">
        <f t="shared" si="380"/>
        <v>600.19372995031938</v>
      </c>
      <c r="DH153" s="207">
        <f t="shared" si="381"/>
        <v>-600.19372995031938</v>
      </c>
      <c r="DI153" s="209">
        <f>DD153/(1+$B$4)^(CT153-1)</f>
        <v>-478.03553935339897</v>
      </c>
      <c r="DJ153" s="208">
        <f t="shared" si="383"/>
        <v>0</v>
      </c>
      <c r="DK153" s="207">
        <f t="shared" si="384"/>
        <v>2666.045235076986</v>
      </c>
      <c r="DL153" s="207">
        <f t="shared" si="385"/>
        <v>13098.946751242</v>
      </c>
      <c r="DM153" s="207">
        <f t="shared" si="386"/>
        <v>-13098.946751242</v>
      </c>
      <c r="DN153" s="209">
        <f t="shared" si="387"/>
        <v>-10432.901516165017</v>
      </c>
    </row>
    <row r="159" spans="2:118" x14ac:dyDescent="0.3">
      <c r="B159" s="273" t="s">
        <v>351</v>
      </c>
      <c r="C159" s="274"/>
      <c r="D159" s="274"/>
      <c r="E159" s="88"/>
      <c r="F159" s="88"/>
      <c r="G159" s="88"/>
      <c r="H159" s="275"/>
      <c r="I159" s="276" t="s">
        <v>328</v>
      </c>
      <c r="J159" s="277" t="s">
        <v>329</v>
      </c>
      <c r="K159" s="277" t="s">
        <v>330</v>
      </c>
      <c r="L159" s="277" t="s">
        <v>331</v>
      </c>
      <c r="M159" s="277" t="s">
        <v>332</v>
      </c>
      <c r="N159" s="276" t="s">
        <v>646</v>
      </c>
      <c r="O159" s="277" t="s">
        <v>647</v>
      </c>
      <c r="P159" s="277" t="s">
        <v>648</v>
      </c>
      <c r="Q159" s="277" t="s">
        <v>649</v>
      </c>
      <c r="R159" s="277" t="s">
        <v>650</v>
      </c>
      <c r="S159" s="276" t="s">
        <v>412</v>
      </c>
      <c r="T159" s="277" t="s">
        <v>413</v>
      </c>
      <c r="U159" s="277" t="s">
        <v>414</v>
      </c>
      <c r="V159" s="277" t="s">
        <v>415</v>
      </c>
      <c r="W159" s="277" t="s">
        <v>416</v>
      </c>
      <c r="X159" s="276" t="s">
        <v>443</v>
      </c>
      <c r="Y159" s="277" t="s">
        <v>444</v>
      </c>
      <c r="Z159" s="277" t="s">
        <v>445</v>
      </c>
      <c r="AA159" s="277" t="s">
        <v>446</v>
      </c>
      <c r="AB159" s="277" t="s">
        <v>447</v>
      </c>
      <c r="AC159" s="276" t="s">
        <v>448</v>
      </c>
      <c r="AD159" s="277" t="s">
        <v>449</v>
      </c>
      <c r="AE159" s="277" t="s">
        <v>450</v>
      </c>
      <c r="AF159" s="277" t="s">
        <v>451</v>
      </c>
      <c r="AG159" s="277" t="s">
        <v>452</v>
      </c>
      <c r="AH159" s="276" t="s">
        <v>604</v>
      </c>
      <c r="AI159" s="277" t="s">
        <v>605</v>
      </c>
      <c r="AJ159" s="277" t="s">
        <v>606</v>
      </c>
      <c r="AK159" s="277" t="s">
        <v>607</v>
      </c>
      <c r="AL159" s="277" t="s">
        <v>608</v>
      </c>
    </row>
    <row r="160" spans="2:118" x14ac:dyDescent="0.3">
      <c r="B160" s="278" t="s">
        <v>314</v>
      </c>
      <c r="C160" s="974"/>
      <c r="D160" s="24"/>
      <c r="E160" s="279"/>
      <c r="F160" s="279"/>
      <c r="G160" s="279"/>
      <c r="H160" s="280" t="s">
        <v>460</v>
      </c>
      <c r="I160" s="281">
        <f>S27</f>
        <v>7004.3848744654333</v>
      </c>
      <c r="J160" s="281">
        <f>AQ27</f>
        <v>10506.577311698149</v>
      </c>
      <c r="K160" s="281">
        <f>BO27</f>
        <v>3502.1924372327167</v>
      </c>
      <c r="L160" s="281">
        <f>CM27</f>
        <v>14008.769748930867</v>
      </c>
      <c r="M160" s="281">
        <f>DK27</f>
        <v>0</v>
      </c>
      <c r="N160" s="281">
        <f>S53</f>
        <v>9521.8676150658594</v>
      </c>
      <c r="O160" s="281">
        <f>AQ53</f>
        <v>14282.801422598795</v>
      </c>
      <c r="P160" s="107">
        <f>BO53</f>
        <v>4760.9338075329297</v>
      </c>
      <c r="Q160" s="107">
        <f>CM53</f>
        <v>19043.735230131719</v>
      </c>
      <c r="R160" s="107">
        <f>DK53</f>
        <v>0</v>
      </c>
      <c r="S160" s="751">
        <f>U$78</f>
        <v>18134.61458036309</v>
      </c>
      <c r="T160" s="751">
        <f>AU$78</f>
        <v>27201.92187054464</v>
      </c>
      <c r="U160" s="107">
        <f>BU$78</f>
        <v>9067.3072901815449</v>
      </c>
      <c r="V160" s="107">
        <f>CU$78</f>
        <v>36269.22916072618</v>
      </c>
      <c r="W160" s="107">
        <f>DU$78</f>
        <v>0</v>
      </c>
      <c r="X160" s="751">
        <f>S$103</f>
        <v>5876.9026342508314</v>
      </c>
      <c r="Y160" s="751">
        <f>AQ$103</f>
        <v>8815.3539513762462</v>
      </c>
      <c r="Z160" s="107">
        <f>BO$103</f>
        <v>2938.4513171254157</v>
      </c>
      <c r="AA160" s="107">
        <f>CM$103</f>
        <v>11753.805268501663</v>
      </c>
      <c r="AB160" s="107">
        <f>DK$103</f>
        <v>0</v>
      </c>
      <c r="AC160" s="751">
        <f>S$128</f>
        <v>7172.5259983568831</v>
      </c>
      <c r="AD160" s="751">
        <f>AQ$128</f>
        <v>10758.788997535325</v>
      </c>
      <c r="AE160" s="107">
        <f>BO$128</f>
        <v>3586.2629991784415</v>
      </c>
      <c r="AF160" s="107">
        <f>CM$128</f>
        <v>14345.051996713766</v>
      </c>
      <c r="AG160" s="107">
        <f>DK$128</f>
        <v>0</v>
      </c>
      <c r="AH160" s="754">
        <f>R153</f>
        <v>15574.551527822465</v>
      </c>
      <c r="AI160" s="754">
        <f>AO153</f>
        <v>23361.827291733702</v>
      </c>
      <c r="AJ160" s="754">
        <f>BN153</f>
        <v>7787.2757639112324</v>
      </c>
      <c r="AK160" s="754">
        <f>CL153</f>
        <v>31149.10305564493</v>
      </c>
      <c r="AL160" s="754">
        <f>DJ153</f>
        <v>0</v>
      </c>
    </row>
    <row r="161" spans="2:38" x14ac:dyDescent="0.3">
      <c r="B161" s="282" t="s">
        <v>313</v>
      </c>
      <c r="C161" s="974"/>
      <c r="D161" s="24"/>
      <c r="E161" s="279"/>
      <c r="F161" s="279"/>
      <c r="G161" s="279"/>
      <c r="H161" s="283" t="s">
        <v>460</v>
      </c>
      <c r="I161" s="281">
        <f>T27</f>
        <v>2666.045235076986</v>
      </c>
      <c r="J161" s="281">
        <f>AR27</f>
        <v>2666.045235076986</v>
      </c>
      <c r="K161" s="281">
        <f>BP27</f>
        <v>2666.045235076986</v>
      </c>
      <c r="L161" s="281">
        <f>CN27</f>
        <v>2666.045235076986</v>
      </c>
      <c r="M161" s="281">
        <f>DL27</f>
        <v>2666.045235076986</v>
      </c>
      <c r="N161" s="281">
        <f>T53</f>
        <v>2666.045235076986</v>
      </c>
      <c r="O161" s="281">
        <f>AR53</f>
        <v>2666.045235076986</v>
      </c>
      <c r="P161" s="108">
        <f>BP53</f>
        <v>2666.045235076986</v>
      </c>
      <c r="Q161" s="108">
        <f>CN53</f>
        <v>2666.045235076986</v>
      </c>
      <c r="R161" s="108">
        <f>DL53</f>
        <v>2666.045235076986</v>
      </c>
      <c r="S161" s="751">
        <f>V$78</f>
        <v>2666.045235076986</v>
      </c>
      <c r="T161" s="751">
        <f>AV$78</f>
        <v>2666.045235076986</v>
      </c>
      <c r="U161" s="108">
        <f>BV$78</f>
        <v>2666.045235076986</v>
      </c>
      <c r="V161" s="108">
        <f>CV$78</f>
        <v>2666.045235076986</v>
      </c>
      <c r="W161" s="108">
        <f>DV$78</f>
        <v>2666.045235076986</v>
      </c>
      <c r="X161" s="751">
        <f>T$103</f>
        <v>2666.045235076986</v>
      </c>
      <c r="Y161" s="751">
        <f>AR$103</f>
        <v>2666.045235076986</v>
      </c>
      <c r="Z161" s="108">
        <f>BP$103</f>
        <v>2666.045235076986</v>
      </c>
      <c r="AA161" s="108">
        <f>CN$103</f>
        <v>2666.045235076986</v>
      </c>
      <c r="AB161" s="108">
        <f>DL$103</f>
        <v>2666.045235076986</v>
      </c>
      <c r="AC161" s="751">
        <f>T$128</f>
        <v>2666.045235076986</v>
      </c>
      <c r="AD161" s="751">
        <f>AR$128</f>
        <v>2666.045235076986</v>
      </c>
      <c r="AE161" s="108">
        <f>BP$128</f>
        <v>2666.045235076986</v>
      </c>
      <c r="AF161" s="108">
        <f>CN$128</f>
        <v>2666.045235076986</v>
      </c>
      <c r="AG161" s="108">
        <f>DL$128</f>
        <v>2666.045235076986</v>
      </c>
      <c r="AH161" s="895">
        <f>S153</f>
        <v>2666.045235076986</v>
      </c>
      <c r="AI161" s="895">
        <f>AP153</f>
        <v>2666.045235076986</v>
      </c>
      <c r="AJ161" s="895">
        <f>BO153</f>
        <v>2666.045235076986</v>
      </c>
      <c r="AK161" s="895">
        <f>CM153</f>
        <v>2666.045235076986</v>
      </c>
      <c r="AL161" s="895">
        <f>DK153</f>
        <v>2666.045235076986</v>
      </c>
    </row>
    <row r="162" spans="2:38" x14ac:dyDescent="0.3">
      <c r="B162" s="284" t="s">
        <v>312</v>
      </c>
      <c r="C162" s="975"/>
      <c r="D162" s="165"/>
      <c r="E162" s="279"/>
      <c r="F162" s="279"/>
      <c r="G162" s="279"/>
      <c r="H162" s="285" t="s">
        <v>460</v>
      </c>
      <c r="I162" s="281">
        <f>U27</f>
        <v>8595.5268864796944</v>
      </c>
      <c r="J162" s="281">
        <f>AS27</f>
        <v>8595.5268864796944</v>
      </c>
      <c r="K162" s="281">
        <f>BQ27</f>
        <v>8595.5268864796944</v>
      </c>
      <c r="L162" s="281">
        <f>CO27</f>
        <v>8595.5268864796944</v>
      </c>
      <c r="M162" s="281">
        <f>DM27</f>
        <v>8595.5268864796944</v>
      </c>
      <c r="N162" s="281">
        <f>U53</f>
        <v>6490.5993620746312</v>
      </c>
      <c r="O162" s="281">
        <f>AS53</f>
        <v>6490.5993620746312</v>
      </c>
      <c r="P162" s="294">
        <f>BQ53</f>
        <v>6490.5993620746312</v>
      </c>
      <c r="Q162" s="294">
        <f>CO53</f>
        <v>6490.5993620746312</v>
      </c>
      <c r="R162" s="294">
        <f>DM53</f>
        <v>6490.5993620746312</v>
      </c>
      <c r="S162" s="751">
        <f>W$78</f>
        <v>16207.665363247013</v>
      </c>
      <c r="T162" s="751">
        <f>AW$78</f>
        <v>16207.665363247013</v>
      </c>
      <c r="U162" s="294">
        <f>BW$78</f>
        <v>16207.665363247013</v>
      </c>
      <c r="V162" s="294">
        <f>CW$78</f>
        <v>16207.665363247013</v>
      </c>
      <c r="W162" s="294">
        <f>DW$78</f>
        <v>16207.665363247013</v>
      </c>
      <c r="X162" s="751">
        <f>U$103</f>
        <v>4111.4229907520166</v>
      </c>
      <c r="Y162" s="751">
        <f>AS$103</f>
        <v>4111.4229907520166</v>
      </c>
      <c r="Z162" s="294">
        <f>BQ$103</f>
        <v>4111.4229907520166</v>
      </c>
      <c r="AA162" s="294">
        <f>CO$103</f>
        <v>4111.4229907520166</v>
      </c>
      <c r="AB162" s="294">
        <f>DM$103</f>
        <v>4111.4229907520166</v>
      </c>
      <c r="AC162" s="751">
        <f>U$128</f>
        <v>4876.9946636093364</v>
      </c>
      <c r="AD162" s="751">
        <f>AS$128</f>
        <v>4876.9946636093364</v>
      </c>
      <c r="AE162" s="294">
        <f>BQ$128</f>
        <v>4876.9946636093364</v>
      </c>
      <c r="AF162" s="294">
        <f>CO$128</f>
        <v>4876.9946636093364</v>
      </c>
      <c r="AG162" s="294">
        <f>DM$128</f>
        <v>4876.9946636093364</v>
      </c>
      <c r="AH162" s="755">
        <f>T153</f>
        <v>13098.946751242</v>
      </c>
      <c r="AI162" s="755">
        <f>AQ153</f>
        <v>13098.946751242</v>
      </c>
      <c r="AJ162" s="755">
        <f>BP153</f>
        <v>13098.946751242</v>
      </c>
      <c r="AK162" s="755">
        <f>CN153</f>
        <v>13098.946751242</v>
      </c>
      <c r="AL162" s="755">
        <f>DL153</f>
        <v>13098.946751242</v>
      </c>
    </row>
    <row r="163" spans="2:38" x14ac:dyDescent="0.3">
      <c r="B163" s="278" t="s">
        <v>345</v>
      </c>
      <c r="C163" s="974"/>
      <c r="D163" s="24"/>
      <c r="E163" s="286"/>
      <c r="F163" s="286"/>
      <c r="G163" s="286"/>
      <c r="H163" s="280" t="s">
        <v>460</v>
      </c>
      <c r="I163" s="287">
        <f t="shared" ref="I163:AL163" si="393">I160-I162</f>
        <v>-1591.1420120142611</v>
      </c>
      <c r="J163" s="287">
        <f t="shared" si="393"/>
        <v>1911.0504252184546</v>
      </c>
      <c r="K163" s="287">
        <f t="shared" si="393"/>
        <v>-5093.3344492469778</v>
      </c>
      <c r="L163" s="287">
        <f t="shared" si="393"/>
        <v>5413.2428624511722</v>
      </c>
      <c r="M163" s="287">
        <f t="shared" si="393"/>
        <v>-8595.5268864796944</v>
      </c>
      <c r="N163" s="287">
        <f t="shared" si="393"/>
        <v>3031.2682529912281</v>
      </c>
      <c r="O163" s="287">
        <f t="shared" si="393"/>
        <v>7792.2020605241642</v>
      </c>
      <c r="P163" s="287">
        <f t="shared" si="393"/>
        <v>-1729.6655545417016</v>
      </c>
      <c r="Q163" s="287">
        <f t="shared" si="393"/>
        <v>12553.135868057088</v>
      </c>
      <c r="R163" s="287">
        <f t="shared" si="393"/>
        <v>-6490.5993620746312</v>
      </c>
      <c r="S163" s="752">
        <f t="shared" si="393"/>
        <v>1926.9492171160764</v>
      </c>
      <c r="T163" s="752">
        <f t="shared" si="393"/>
        <v>10994.256507297627</v>
      </c>
      <c r="U163" s="752">
        <f t="shared" si="393"/>
        <v>-7140.3580730654685</v>
      </c>
      <c r="V163" s="752">
        <f t="shared" si="393"/>
        <v>20061.563797479168</v>
      </c>
      <c r="W163" s="752">
        <f t="shared" si="393"/>
        <v>-16207.665363247013</v>
      </c>
      <c r="X163" s="752">
        <f t="shared" si="393"/>
        <v>1765.4796434988148</v>
      </c>
      <c r="Y163" s="752">
        <f t="shared" si="393"/>
        <v>4703.9309606242296</v>
      </c>
      <c r="Z163" s="752">
        <f t="shared" si="393"/>
        <v>-1172.9716736266009</v>
      </c>
      <c r="AA163" s="752">
        <f t="shared" si="393"/>
        <v>7642.3822777496462</v>
      </c>
      <c r="AB163" s="752">
        <f t="shared" si="393"/>
        <v>-4111.4229907520166</v>
      </c>
      <c r="AC163" s="752">
        <f t="shared" si="393"/>
        <v>2295.5313347475467</v>
      </c>
      <c r="AD163" s="752">
        <f t="shared" si="393"/>
        <v>5881.7943339259882</v>
      </c>
      <c r="AE163" s="752">
        <f t="shared" si="393"/>
        <v>-1290.7316644308949</v>
      </c>
      <c r="AF163" s="752">
        <f t="shared" si="393"/>
        <v>9468.0573331044288</v>
      </c>
      <c r="AG163" s="752">
        <f t="shared" si="393"/>
        <v>-4876.9946636093364</v>
      </c>
      <c r="AH163" s="752">
        <f t="shared" si="393"/>
        <v>2475.6047765804651</v>
      </c>
      <c r="AI163" s="752">
        <f t="shared" si="393"/>
        <v>10262.880540491702</v>
      </c>
      <c r="AJ163" s="752">
        <f t="shared" si="393"/>
        <v>-5311.6709873307673</v>
      </c>
      <c r="AK163" s="752">
        <f t="shared" si="393"/>
        <v>18050.156304402932</v>
      </c>
      <c r="AL163" s="752">
        <f t="shared" si="393"/>
        <v>-13098.946751242</v>
      </c>
    </row>
    <row r="164" spans="2:38" x14ac:dyDescent="0.3">
      <c r="B164" s="284" t="s">
        <v>346</v>
      </c>
      <c r="C164" s="975"/>
      <c r="D164" s="165"/>
      <c r="E164" s="288"/>
      <c r="F164" s="288"/>
      <c r="G164" s="288"/>
      <c r="H164" s="285" t="s">
        <v>460</v>
      </c>
      <c r="I164" s="295">
        <f>I160+I161-I162</f>
        <v>1074.9032230627254</v>
      </c>
      <c r="J164" s="295">
        <f t="shared" ref="J164:V164" si="394">J160+J161-J162</f>
        <v>4577.0956602954411</v>
      </c>
      <c r="K164" s="295">
        <f t="shared" si="394"/>
        <v>-2427.2892141699922</v>
      </c>
      <c r="L164" s="295">
        <f t="shared" si="394"/>
        <v>8079.2880975281569</v>
      </c>
      <c r="M164" s="295">
        <f t="shared" si="394"/>
        <v>-5929.4816514027079</v>
      </c>
      <c r="N164" s="295">
        <f t="shared" si="394"/>
        <v>5697.3134880682146</v>
      </c>
      <c r="O164" s="295">
        <f t="shared" si="394"/>
        <v>10458.247295601152</v>
      </c>
      <c r="P164" s="295">
        <f t="shared" si="394"/>
        <v>936.37968053528402</v>
      </c>
      <c r="Q164" s="295">
        <f t="shared" si="394"/>
        <v>15219.181103134073</v>
      </c>
      <c r="R164" s="295">
        <f t="shared" si="394"/>
        <v>-3824.5541269976452</v>
      </c>
      <c r="S164" s="753">
        <f>S160+S161-S162</f>
        <v>4592.9944521930611</v>
      </c>
      <c r="T164" s="753">
        <f t="shared" si="394"/>
        <v>13660.301742374611</v>
      </c>
      <c r="U164" s="753">
        <f t="shared" si="394"/>
        <v>-4474.312837988482</v>
      </c>
      <c r="V164" s="753">
        <f t="shared" si="394"/>
        <v>22727.609032556153</v>
      </c>
      <c r="W164" s="753">
        <f t="shared" ref="W164:AF164" si="395">W160+W161-W162</f>
        <v>-13541.620128170027</v>
      </c>
      <c r="X164" s="753">
        <f t="shared" si="395"/>
        <v>4431.5248785758013</v>
      </c>
      <c r="Y164" s="753">
        <f t="shared" si="395"/>
        <v>7369.9761957012161</v>
      </c>
      <c r="Z164" s="753">
        <f t="shared" si="395"/>
        <v>1493.0735614503847</v>
      </c>
      <c r="AA164" s="753">
        <f t="shared" si="395"/>
        <v>10308.427512826633</v>
      </c>
      <c r="AB164" s="753">
        <f t="shared" si="395"/>
        <v>-1445.3777556750306</v>
      </c>
      <c r="AC164" s="753">
        <f t="shared" si="395"/>
        <v>4961.5765698245332</v>
      </c>
      <c r="AD164" s="753">
        <f t="shared" si="395"/>
        <v>8547.8395690029756</v>
      </c>
      <c r="AE164" s="753">
        <f t="shared" si="395"/>
        <v>1375.3135706460916</v>
      </c>
      <c r="AF164" s="753">
        <f t="shared" si="395"/>
        <v>12134.102568181414</v>
      </c>
      <c r="AG164" s="753">
        <f t="shared" ref="AG164:AL164" si="396">AG160+AG161-AG162</f>
        <v>-2210.9494285323503</v>
      </c>
      <c r="AH164" s="753">
        <f t="shared" si="396"/>
        <v>5141.6500116574516</v>
      </c>
      <c r="AI164" s="753">
        <f t="shared" si="396"/>
        <v>12928.925775568687</v>
      </c>
      <c r="AJ164" s="753">
        <f t="shared" si="396"/>
        <v>-2645.6257522537817</v>
      </c>
      <c r="AK164" s="753">
        <f t="shared" si="396"/>
        <v>20716.201539479916</v>
      </c>
      <c r="AL164" s="753">
        <f t="shared" si="396"/>
        <v>-10432.901516165013</v>
      </c>
    </row>
    <row r="165" spans="2:38" ht="14.5" x14ac:dyDescent="0.35">
      <c r="B165" s="62" t="s">
        <v>347</v>
      </c>
      <c r="C165" s="26"/>
      <c r="D165" s="24"/>
      <c r="E165" s="289"/>
      <c r="F165" s="289"/>
      <c r="G165" s="289"/>
      <c r="H165" s="280" t="s">
        <v>460</v>
      </c>
      <c r="I165" s="290">
        <f>I163*((1+$B$4)^16)/(((1+$B$4)^16)-1)</f>
        <v>-3413.7951558270352</v>
      </c>
      <c r="J165" s="290">
        <f t="shared" ref="J165:R166" si="397">J163*((1+$B$4)^16)/(((1+$B$4)^16)-1)</f>
        <v>4100.1586501340407</v>
      </c>
      <c r="K165" s="290">
        <f t="shared" si="397"/>
        <v>-10927.748961788113</v>
      </c>
      <c r="L165" s="290">
        <f t="shared" si="397"/>
        <v>11614.112456095121</v>
      </c>
      <c r="M165" s="290">
        <f t="shared" si="397"/>
        <v>-18441.702767749193</v>
      </c>
      <c r="N165" s="290">
        <f t="shared" si="397"/>
        <v>6503.5859778309868</v>
      </c>
      <c r="O165" s="290">
        <f t="shared" si="397"/>
        <v>16718.169369287203</v>
      </c>
      <c r="P165" s="290">
        <f t="shared" si="397"/>
        <v>-3710.9974136252144</v>
      </c>
      <c r="Q165" s="290">
        <f t="shared" si="397"/>
        <v>26932.752760743391</v>
      </c>
      <c r="R165" s="290">
        <f>R163*((1+$B$4)^16)/(((1+$B$4)^16)-1)</f>
        <v>-13925.580805081416</v>
      </c>
      <c r="S165" s="290">
        <f>S163*((1+$B$4)^16)/(((1+$B$4)^16)-1)</f>
        <v>4134.2695078411389</v>
      </c>
      <c r="T165" s="290">
        <f t="shared" ref="T165:W166" si="398">T163*((1+$B$4)^16)/(((1+$B$4)^16)-1)</f>
        <v>23588.177122555982</v>
      </c>
      <c r="U165" s="290">
        <f t="shared" si="398"/>
        <v>-15319.638106873696</v>
      </c>
      <c r="V165" s="290">
        <f t="shared" si="398"/>
        <v>43042.084737270809</v>
      </c>
      <c r="W165" s="290">
        <f t="shared" si="398"/>
        <v>-34773.545721588525</v>
      </c>
      <c r="X165" s="290">
        <f t="shared" ref="X165:AL165" si="399">X163*((1+$B$4)^16)/(((1+$B$4)^16)-1)</f>
        <v>3787.8365407860747</v>
      </c>
      <c r="Y165" s="290">
        <f t="shared" si="399"/>
        <v>10092.283784522358</v>
      </c>
      <c r="Z165" s="290">
        <f t="shared" si="399"/>
        <v>-2516.6107029502091</v>
      </c>
      <c r="AA165" s="290">
        <f t="shared" si="399"/>
        <v>16396.731028258644</v>
      </c>
      <c r="AB165" s="290">
        <f t="shared" si="399"/>
        <v>-8821.0579466864929</v>
      </c>
      <c r="AC165" s="290">
        <f t="shared" si="399"/>
        <v>4925.0624340501081</v>
      </c>
      <c r="AD165" s="290">
        <f t="shared" si="399"/>
        <v>12619.389629030467</v>
      </c>
      <c r="AE165" s="290">
        <f t="shared" si="399"/>
        <v>-2769.264760930253</v>
      </c>
      <c r="AF165" s="290">
        <f t="shared" si="399"/>
        <v>20313.716824010826</v>
      </c>
      <c r="AG165" s="290">
        <f t="shared" si="399"/>
        <v>-10463.591955910613</v>
      </c>
      <c r="AH165" s="290">
        <f t="shared" si="399"/>
        <v>5311.4099999999962</v>
      </c>
      <c r="AI165" s="290">
        <f t="shared" si="399"/>
        <v>22019.009999999987</v>
      </c>
      <c r="AJ165" s="290">
        <f t="shared" si="399"/>
        <v>-11396.189999999982</v>
      </c>
      <c r="AK165" s="290">
        <f t="shared" si="399"/>
        <v>38726.609999999964</v>
      </c>
      <c r="AL165" s="290">
        <f t="shared" si="399"/>
        <v>-28103.789999999964</v>
      </c>
    </row>
    <row r="166" spans="2:38" ht="14.5" x14ac:dyDescent="0.35">
      <c r="B166" s="41" t="s">
        <v>348</v>
      </c>
      <c r="C166" s="26"/>
      <c r="D166" s="24"/>
      <c r="E166" s="149"/>
      <c r="F166" s="149"/>
      <c r="G166" s="149"/>
      <c r="H166" s="285" t="s">
        <v>460</v>
      </c>
      <c r="I166" s="293">
        <f>I164*((1+$B$4)^16)/(((1+$B$4)^16)-1)</f>
        <v>2306.2048441729598</v>
      </c>
      <c r="J166" s="293">
        <f t="shared" si="397"/>
        <v>9820.1586501340353</v>
      </c>
      <c r="K166" s="293">
        <f t="shared" si="397"/>
        <v>-5207.7489617881201</v>
      </c>
      <c r="L166" s="293">
        <f t="shared" si="397"/>
        <v>17334.112456095114</v>
      </c>
      <c r="M166" s="293">
        <f t="shared" si="397"/>
        <v>-12721.702767749197</v>
      </c>
      <c r="N166" s="293">
        <f t="shared" si="397"/>
        <v>12223.585977830982</v>
      </c>
      <c r="O166" s="293">
        <f t="shared" si="397"/>
        <v>22438.1693692872</v>
      </c>
      <c r="P166" s="293">
        <f t="shared" si="397"/>
        <v>2009.0025863747783</v>
      </c>
      <c r="Q166" s="293">
        <f t="shared" si="397"/>
        <v>32652.75276074338</v>
      </c>
      <c r="R166" s="293">
        <f t="shared" si="397"/>
        <v>-8205.580805081423</v>
      </c>
      <c r="S166" s="755">
        <f>S164*((1+$B$4)^16)/(((1+$B$4)^16)-1)</f>
        <v>9854.2695078411307</v>
      </c>
      <c r="T166" s="755">
        <f t="shared" si="398"/>
        <v>29308.177122555975</v>
      </c>
      <c r="U166" s="755">
        <f t="shared" si="398"/>
        <v>-9599.6381068736991</v>
      </c>
      <c r="V166" s="755">
        <f t="shared" si="398"/>
        <v>48762.084737270801</v>
      </c>
      <c r="W166" s="755">
        <f t="shared" si="398"/>
        <v>-29053.545721588533</v>
      </c>
      <c r="X166" s="755">
        <f t="shared" ref="X166:AL166" si="400">X164*((1+$B$4)^16)/(((1+$B$4)^16)-1)</f>
        <v>9507.8365407860692</v>
      </c>
      <c r="Y166" s="755">
        <f t="shared" si="400"/>
        <v>15812.283784522351</v>
      </c>
      <c r="Z166" s="755">
        <f t="shared" si="400"/>
        <v>3203.3892970497836</v>
      </c>
      <c r="AA166" s="755">
        <f t="shared" si="400"/>
        <v>22116.731028258637</v>
      </c>
      <c r="AB166" s="755">
        <f t="shared" si="400"/>
        <v>-3101.0579466865001</v>
      </c>
      <c r="AC166" s="755">
        <f t="shared" si="400"/>
        <v>10645.062434050102</v>
      </c>
      <c r="AD166" s="755">
        <f t="shared" si="400"/>
        <v>18339.389629030462</v>
      </c>
      <c r="AE166" s="755">
        <f t="shared" si="400"/>
        <v>2950.7352390697415</v>
      </c>
      <c r="AF166" s="755">
        <f t="shared" si="400"/>
        <v>26033.716824010819</v>
      </c>
      <c r="AG166" s="755">
        <f t="shared" si="400"/>
        <v>-4743.5919559106205</v>
      </c>
      <c r="AH166" s="755">
        <f t="shared" si="400"/>
        <v>11031.409999999991</v>
      </c>
      <c r="AI166" s="755">
        <f t="shared" si="400"/>
        <v>27739.009999999977</v>
      </c>
      <c r="AJ166" s="755">
        <f t="shared" si="400"/>
        <v>-5676.1899999999914</v>
      </c>
      <c r="AK166" s="755">
        <f t="shared" si="400"/>
        <v>44446.60999999995</v>
      </c>
      <c r="AL166" s="755">
        <f t="shared" si="400"/>
        <v>-22383.789999999968</v>
      </c>
    </row>
    <row r="167" spans="2:38" x14ac:dyDescent="0.3">
      <c r="B167" s="62" t="s">
        <v>349</v>
      </c>
      <c r="C167" s="976"/>
      <c r="D167" s="265"/>
      <c r="E167" s="289"/>
      <c r="F167" s="289"/>
      <c r="G167" s="289"/>
      <c r="H167" s="280" t="s">
        <v>487</v>
      </c>
      <c r="I167" s="290">
        <f>I165*$B$4</f>
        <v>-136.55180623308141</v>
      </c>
      <c r="J167" s="290">
        <f t="shared" ref="J167:R168" si="401">J165*$B$4</f>
        <v>164.00634600536162</v>
      </c>
      <c r="K167" s="290">
        <f t="shared" si="401"/>
        <v>-437.10995847152452</v>
      </c>
      <c r="L167" s="290">
        <f t="shared" si="401"/>
        <v>464.56449824380485</v>
      </c>
      <c r="M167" s="290">
        <f t="shared" si="401"/>
        <v>-737.66811070996778</v>
      </c>
      <c r="N167" s="290">
        <f t="shared" si="401"/>
        <v>260.14343911323948</v>
      </c>
      <c r="O167" s="290">
        <f t="shared" si="401"/>
        <v>668.72677477148818</v>
      </c>
      <c r="P167" s="290">
        <f t="shared" si="401"/>
        <v>-148.43989654500859</v>
      </c>
      <c r="Q167" s="290">
        <f t="shared" si="401"/>
        <v>1077.3101104297357</v>
      </c>
      <c r="R167" s="290">
        <f t="shared" si="401"/>
        <v>-557.02323220325661</v>
      </c>
      <c r="S167" s="754">
        <f>S165*$B$4</f>
        <v>165.37078031364555</v>
      </c>
      <c r="T167" s="754">
        <f t="shared" ref="T167:W168" si="402">T165*$B$4</f>
        <v>943.52708490223927</v>
      </c>
      <c r="U167" s="754">
        <f t="shared" si="402"/>
        <v>-612.78552427494787</v>
      </c>
      <c r="V167" s="754">
        <f t="shared" si="402"/>
        <v>1721.6833894908323</v>
      </c>
      <c r="W167" s="754">
        <f t="shared" si="402"/>
        <v>-1390.9418288635411</v>
      </c>
      <c r="X167" s="754">
        <f t="shared" ref="X167:AL167" si="403">X165*$B$4</f>
        <v>151.51346163144299</v>
      </c>
      <c r="Y167" s="754">
        <f t="shared" si="403"/>
        <v>403.69135138089433</v>
      </c>
      <c r="Z167" s="754">
        <f t="shared" si="403"/>
        <v>-100.66442811800836</v>
      </c>
      <c r="AA167" s="754">
        <f t="shared" si="403"/>
        <v>655.86924113034581</v>
      </c>
      <c r="AB167" s="754">
        <f t="shared" si="403"/>
        <v>-352.84231786745971</v>
      </c>
      <c r="AC167" s="754">
        <f t="shared" si="403"/>
        <v>197.00249736200433</v>
      </c>
      <c r="AD167" s="754">
        <f t="shared" si="403"/>
        <v>504.77558516121871</v>
      </c>
      <c r="AE167" s="754">
        <f t="shared" si="403"/>
        <v>-110.77059043721012</v>
      </c>
      <c r="AF167" s="754">
        <f t="shared" si="403"/>
        <v>812.54867296043301</v>
      </c>
      <c r="AG167" s="754">
        <f t="shared" si="403"/>
        <v>-418.54367823642451</v>
      </c>
      <c r="AH167" s="754">
        <f t="shared" si="403"/>
        <v>212.45639999999986</v>
      </c>
      <c r="AI167" s="754">
        <f t="shared" si="403"/>
        <v>880.76039999999955</v>
      </c>
      <c r="AJ167" s="754">
        <f t="shared" si="403"/>
        <v>-455.84759999999932</v>
      </c>
      <c r="AK167" s="754">
        <f t="shared" si="403"/>
        <v>1549.0643999999986</v>
      </c>
      <c r="AL167" s="754">
        <f t="shared" si="403"/>
        <v>-1124.1515999999986</v>
      </c>
    </row>
    <row r="168" spans="2:38" x14ac:dyDescent="0.3">
      <c r="B168" s="46" t="s">
        <v>350</v>
      </c>
      <c r="C168" s="47"/>
      <c r="D168" s="291"/>
      <c r="E168" s="292"/>
      <c r="F168" s="292"/>
      <c r="G168" s="292"/>
      <c r="H168" s="285" t="s">
        <v>487</v>
      </c>
      <c r="I168" s="293">
        <f>I166*$B$4</f>
        <v>92.248193766918391</v>
      </c>
      <c r="J168" s="293">
        <f t="shared" si="401"/>
        <v>392.80634600536143</v>
      </c>
      <c r="K168" s="293">
        <f t="shared" si="401"/>
        <v>-208.30995847152482</v>
      </c>
      <c r="L168" s="293">
        <f t="shared" si="401"/>
        <v>693.36449824380452</v>
      </c>
      <c r="M168" s="293">
        <f t="shared" si="401"/>
        <v>-508.86811070996788</v>
      </c>
      <c r="N168" s="293">
        <f t="shared" si="401"/>
        <v>488.94343911323932</v>
      </c>
      <c r="O168" s="293">
        <f t="shared" si="401"/>
        <v>897.52677477148802</v>
      </c>
      <c r="P168" s="293">
        <f t="shared" si="401"/>
        <v>80.360103454991133</v>
      </c>
      <c r="Q168" s="293">
        <f t="shared" si="401"/>
        <v>1306.1101104297352</v>
      </c>
      <c r="R168" s="293">
        <f t="shared" si="401"/>
        <v>-328.22323220325694</v>
      </c>
      <c r="S168" s="755">
        <f>S166*$B$4</f>
        <v>394.17078031364525</v>
      </c>
      <c r="T168" s="755">
        <f t="shared" si="402"/>
        <v>1172.327084902239</v>
      </c>
      <c r="U168" s="755">
        <f t="shared" si="402"/>
        <v>-383.98552427494798</v>
      </c>
      <c r="V168" s="755">
        <f t="shared" si="402"/>
        <v>1950.483389490832</v>
      </c>
      <c r="W168" s="755">
        <f t="shared" si="402"/>
        <v>-1162.1418288635414</v>
      </c>
      <c r="X168" s="755">
        <f t="shared" ref="X168:AL168" si="404">X166*$B$4</f>
        <v>380.31346163144275</v>
      </c>
      <c r="Y168" s="755">
        <f t="shared" si="404"/>
        <v>632.49135138089412</v>
      </c>
      <c r="Z168" s="755">
        <f t="shared" si="404"/>
        <v>128.13557188199135</v>
      </c>
      <c r="AA168" s="755">
        <f t="shared" si="404"/>
        <v>884.66924113034554</v>
      </c>
      <c r="AB168" s="755">
        <f t="shared" si="404"/>
        <v>-124.04231786746001</v>
      </c>
      <c r="AC168" s="755">
        <f t="shared" si="404"/>
        <v>425.80249736200409</v>
      </c>
      <c r="AD168" s="755">
        <f t="shared" si="404"/>
        <v>733.57558516121844</v>
      </c>
      <c r="AE168" s="755">
        <f t="shared" si="404"/>
        <v>118.02940956278967</v>
      </c>
      <c r="AF168" s="755">
        <f t="shared" si="404"/>
        <v>1041.3486729604329</v>
      </c>
      <c r="AG168" s="755">
        <f t="shared" si="404"/>
        <v>-189.74367823642481</v>
      </c>
      <c r="AH168" s="755">
        <f t="shared" si="404"/>
        <v>441.25639999999964</v>
      </c>
      <c r="AI168" s="755">
        <f t="shared" si="404"/>
        <v>1109.5603999999992</v>
      </c>
      <c r="AJ168" s="755">
        <f t="shared" si="404"/>
        <v>-227.04759999999965</v>
      </c>
      <c r="AK168" s="755">
        <f t="shared" si="404"/>
        <v>1777.8643999999981</v>
      </c>
      <c r="AL168" s="755">
        <f t="shared" si="404"/>
        <v>-895.35159999999871</v>
      </c>
    </row>
  </sheetData>
  <mergeCells count="1">
    <mergeCell ref="B2:E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FT168"/>
  <sheetViews>
    <sheetView topLeftCell="A61" zoomScaleNormal="100" workbookViewId="0">
      <selection activeCell="AH66" sqref="AH66"/>
    </sheetView>
  </sheetViews>
  <sheetFormatPr defaultColWidth="9" defaultRowHeight="14" x14ac:dyDescent="0.3"/>
  <sheetData>
    <row r="2" spans="1:175" x14ac:dyDescent="0.3">
      <c r="B2" s="1132" t="s">
        <v>365</v>
      </c>
      <c r="C2" s="1133"/>
      <c r="D2" s="1133"/>
      <c r="E2" s="1134"/>
    </row>
    <row r="4" spans="1:175" x14ac:dyDescent="0.3">
      <c r="A4" t="s">
        <v>432</v>
      </c>
      <c r="B4" s="266">
        <f>'Arable Inputs'!D9</f>
        <v>0.04</v>
      </c>
      <c r="C4" s="266"/>
    </row>
    <row r="8" spans="1:175" x14ac:dyDescent="0.3">
      <c r="B8" s="227" t="s">
        <v>96</v>
      </c>
      <c r="C8" s="750" t="s">
        <v>427</v>
      </c>
      <c r="D8" s="269" t="s">
        <v>418</v>
      </c>
      <c r="E8" s="887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Y8" s="102"/>
      <c r="Z8" s="227" t="s">
        <v>96</v>
      </c>
      <c r="AA8" s="211" t="s">
        <v>340</v>
      </c>
      <c r="AB8" s="887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96</v>
      </c>
      <c r="AY8" s="211" t="s">
        <v>341</v>
      </c>
      <c r="AZ8" s="887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96</v>
      </c>
      <c r="BW8" s="211" t="s">
        <v>342</v>
      </c>
      <c r="BX8" s="887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96</v>
      </c>
      <c r="CU8" s="211" t="s">
        <v>343</v>
      </c>
      <c r="CV8" s="887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</row>
    <row r="9" spans="1:175" x14ac:dyDescent="0.3">
      <c r="B9" s="203"/>
      <c r="C9" s="148"/>
      <c r="D9" s="148"/>
      <c r="E9" s="970"/>
      <c r="F9" s="970"/>
      <c r="G9" s="970"/>
      <c r="H9" s="148"/>
      <c r="I9" s="910"/>
      <c r="J9" s="970"/>
      <c r="K9" s="970"/>
      <c r="L9" s="148"/>
      <c r="M9" s="148"/>
      <c r="N9" s="971" t="s">
        <v>279</v>
      </c>
      <c r="O9" s="972"/>
      <c r="P9" s="972"/>
      <c r="Q9" s="972"/>
      <c r="R9" s="973"/>
      <c r="S9" s="971" t="s">
        <v>280</v>
      </c>
      <c r="T9" s="972"/>
      <c r="U9" s="972"/>
      <c r="V9" s="972"/>
      <c r="W9" s="973"/>
      <c r="Z9" s="203"/>
      <c r="AA9" s="148"/>
      <c r="AB9" s="148"/>
      <c r="AC9" s="970"/>
      <c r="AD9" s="970"/>
      <c r="AE9" s="970"/>
      <c r="AF9" s="148"/>
      <c r="AG9" s="910"/>
      <c r="AH9" s="970"/>
      <c r="AI9" s="970"/>
      <c r="AJ9" s="148"/>
      <c r="AK9" s="148"/>
      <c r="AL9" s="971" t="s">
        <v>326</v>
      </c>
      <c r="AM9" s="972"/>
      <c r="AN9" s="972"/>
      <c r="AO9" s="972"/>
      <c r="AP9" s="973"/>
      <c r="AQ9" s="971" t="s">
        <v>280</v>
      </c>
      <c r="AR9" s="972"/>
      <c r="AS9" s="972"/>
      <c r="AT9" s="972"/>
      <c r="AU9" s="973"/>
      <c r="AX9" s="203"/>
      <c r="AY9" s="148"/>
      <c r="AZ9" s="148"/>
      <c r="BA9" s="970"/>
      <c r="BB9" s="970"/>
      <c r="BC9" s="970"/>
      <c r="BD9" s="148"/>
      <c r="BE9" s="910"/>
      <c r="BF9" s="970"/>
      <c r="BG9" s="970"/>
      <c r="BH9" s="148"/>
      <c r="BI9" s="148"/>
      <c r="BJ9" s="971" t="s">
        <v>279</v>
      </c>
      <c r="BK9" s="972"/>
      <c r="BL9" s="972"/>
      <c r="BM9" s="972"/>
      <c r="BN9" s="973"/>
      <c r="BO9" s="971" t="s">
        <v>280</v>
      </c>
      <c r="BP9" s="972"/>
      <c r="BQ9" s="972"/>
      <c r="BR9" s="972"/>
      <c r="BS9" s="973"/>
      <c r="BV9" s="203"/>
      <c r="BW9" s="148"/>
      <c r="BX9" s="148"/>
      <c r="BY9" s="970"/>
      <c r="BZ9" s="970"/>
      <c r="CA9" s="970"/>
      <c r="CB9" s="148"/>
      <c r="CC9" s="910"/>
      <c r="CD9" s="970"/>
      <c r="CE9" s="970"/>
      <c r="CF9" s="148"/>
      <c r="CG9" s="148"/>
      <c r="CH9" s="971" t="s">
        <v>279</v>
      </c>
      <c r="CI9" s="972"/>
      <c r="CJ9" s="972"/>
      <c r="CK9" s="972"/>
      <c r="CL9" s="973"/>
      <c r="CM9" s="971" t="s">
        <v>280</v>
      </c>
      <c r="CN9" s="972"/>
      <c r="CO9" s="972"/>
      <c r="CP9" s="972"/>
      <c r="CQ9" s="973"/>
      <c r="CT9" s="203"/>
      <c r="CU9" s="148"/>
      <c r="CV9" s="148"/>
      <c r="CW9" s="970"/>
      <c r="CX9" s="970"/>
      <c r="CY9" s="970"/>
      <c r="CZ9" s="148"/>
      <c r="DA9" s="910"/>
      <c r="DB9" s="970"/>
      <c r="DC9" s="970"/>
      <c r="DD9" s="148"/>
      <c r="DE9" s="148"/>
      <c r="DF9" s="971" t="s">
        <v>279</v>
      </c>
      <c r="DG9" s="972"/>
      <c r="DH9" s="972"/>
      <c r="DI9" s="972"/>
      <c r="DJ9" s="973"/>
      <c r="DK9" s="971" t="s">
        <v>280</v>
      </c>
      <c r="DL9" s="972"/>
      <c r="DM9" s="972"/>
      <c r="DN9" s="972"/>
      <c r="DO9" s="973"/>
    </row>
    <row r="10" spans="1:175" ht="51" x14ac:dyDescent="0.3">
      <c r="B10" s="204" t="s">
        <v>281</v>
      </c>
      <c r="C10" s="205" t="s">
        <v>307</v>
      </c>
      <c r="D10" s="205" t="s">
        <v>308</v>
      </c>
      <c r="E10" s="171" t="s">
        <v>283</v>
      </c>
      <c r="F10" s="171" t="s">
        <v>10</v>
      </c>
      <c r="G10" s="171" t="s">
        <v>284</v>
      </c>
      <c r="H10" s="205" t="s">
        <v>305</v>
      </c>
      <c r="I10" s="914" t="str">
        <f>'Energy NPV'!U63</f>
        <v>Total Recurring Costs</v>
      </c>
      <c r="J10" s="205" t="s">
        <v>309</v>
      </c>
      <c r="K10" s="171" t="s">
        <v>287</v>
      </c>
      <c r="L10" s="171" t="s">
        <v>288</v>
      </c>
      <c r="M10" s="171" t="s">
        <v>289</v>
      </c>
      <c r="N10" s="195" t="s">
        <v>290</v>
      </c>
      <c r="O10" s="171" t="s">
        <v>291</v>
      </c>
      <c r="P10" s="171" t="s">
        <v>292</v>
      </c>
      <c r="Q10" s="171" t="s">
        <v>293</v>
      </c>
      <c r="R10" s="198" t="s">
        <v>294</v>
      </c>
      <c r="S10" s="195" t="s">
        <v>295</v>
      </c>
      <c r="T10" s="171" t="s">
        <v>296</v>
      </c>
      <c r="U10" s="171" t="s">
        <v>297</v>
      </c>
      <c r="V10" s="171" t="s">
        <v>298</v>
      </c>
      <c r="W10" s="198" t="s">
        <v>299</v>
      </c>
      <c r="Z10" s="204" t="s">
        <v>281</v>
      </c>
      <c r="AA10" s="205" t="s">
        <v>307</v>
      </c>
      <c r="AB10" s="205" t="s">
        <v>308</v>
      </c>
      <c r="AC10" s="171" t="s">
        <v>283</v>
      </c>
      <c r="AD10" s="171" t="s">
        <v>10</v>
      </c>
      <c r="AE10" s="171" t="s">
        <v>284</v>
      </c>
      <c r="AF10" s="205" t="s">
        <v>305</v>
      </c>
      <c r="AG10" s="914" t="str">
        <f>'Energy NPV'!U63</f>
        <v>Total Recurring Costs</v>
      </c>
      <c r="AH10" s="205" t="s">
        <v>309</v>
      </c>
      <c r="AI10" s="171" t="s">
        <v>287</v>
      </c>
      <c r="AJ10" s="171" t="s">
        <v>288</v>
      </c>
      <c r="AK10" s="171" t="s">
        <v>289</v>
      </c>
      <c r="AL10" s="195" t="s">
        <v>290</v>
      </c>
      <c r="AM10" s="171" t="s">
        <v>291</v>
      </c>
      <c r="AN10" s="171" t="s">
        <v>292</v>
      </c>
      <c r="AO10" s="171" t="s">
        <v>293</v>
      </c>
      <c r="AP10" s="198" t="s">
        <v>294</v>
      </c>
      <c r="AQ10" s="195" t="s">
        <v>295</v>
      </c>
      <c r="AR10" s="171" t="s">
        <v>296</v>
      </c>
      <c r="AS10" s="171" t="s">
        <v>297</v>
      </c>
      <c r="AT10" s="171" t="s">
        <v>298</v>
      </c>
      <c r="AU10" s="198" t="s">
        <v>299</v>
      </c>
      <c r="AX10" s="204" t="s">
        <v>281</v>
      </c>
      <c r="AY10" s="205" t="s">
        <v>307</v>
      </c>
      <c r="AZ10" s="205" t="s">
        <v>308</v>
      </c>
      <c r="BA10" s="171" t="s">
        <v>283</v>
      </c>
      <c r="BB10" s="171" t="s">
        <v>10</v>
      </c>
      <c r="BC10" s="171" t="s">
        <v>284</v>
      </c>
      <c r="BD10" s="205" t="s">
        <v>305</v>
      </c>
      <c r="BE10" s="914" t="str">
        <f>'Energy NPV'!U63</f>
        <v>Total Recurring Costs</v>
      </c>
      <c r="BF10" s="205" t="s">
        <v>309</v>
      </c>
      <c r="BG10" s="171" t="s">
        <v>287</v>
      </c>
      <c r="BH10" s="171" t="s">
        <v>288</v>
      </c>
      <c r="BI10" s="171" t="s">
        <v>289</v>
      </c>
      <c r="BJ10" s="195" t="s">
        <v>290</v>
      </c>
      <c r="BK10" s="171" t="s">
        <v>291</v>
      </c>
      <c r="BL10" s="171" t="s">
        <v>292</v>
      </c>
      <c r="BM10" s="171" t="s">
        <v>293</v>
      </c>
      <c r="BN10" s="198" t="s">
        <v>294</v>
      </c>
      <c r="BO10" s="195" t="s">
        <v>295</v>
      </c>
      <c r="BP10" s="171" t="s">
        <v>296</v>
      </c>
      <c r="BQ10" s="171" t="s">
        <v>297</v>
      </c>
      <c r="BR10" s="171" t="s">
        <v>298</v>
      </c>
      <c r="BS10" s="198" t="s">
        <v>299</v>
      </c>
      <c r="BV10" s="204" t="s">
        <v>281</v>
      </c>
      <c r="BW10" s="205" t="s">
        <v>307</v>
      </c>
      <c r="BX10" s="205" t="s">
        <v>308</v>
      </c>
      <c r="BY10" s="171" t="s">
        <v>283</v>
      </c>
      <c r="BZ10" s="171" t="s">
        <v>10</v>
      </c>
      <c r="CA10" s="171" t="s">
        <v>284</v>
      </c>
      <c r="CB10" s="205" t="s">
        <v>305</v>
      </c>
      <c r="CC10" s="914" t="str">
        <f>'Energy NPV'!U63</f>
        <v>Total Recurring Costs</v>
      </c>
      <c r="CD10" s="205" t="s">
        <v>309</v>
      </c>
      <c r="CE10" s="171" t="s">
        <v>287</v>
      </c>
      <c r="CF10" s="171" t="s">
        <v>288</v>
      </c>
      <c r="CG10" s="171" t="s">
        <v>289</v>
      </c>
      <c r="CH10" s="195" t="s">
        <v>290</v>
      </c>
      <c r="CI10" s="171" t="s">
        <v>291</v>
      </c>
      <c r="CJ10" s="171" t="s">
        <v>292</v>
      </c>
      <c r="CK10" s="171" t="s">
        <v>293</v>
      </c>
      <c r="CL10" s="198" t="s">
        <v>294</v>
      </c>
      <c r="CM10" s="195" t="s">
        <v>295</v>
      </c>
      <c r="CN10" s="171" t="s">
        <v>296</v>
      </c>
      <c r="CO10" s="171" t="s">
        <v>297</v>
      </c>
      <c r="CP10" s="171" t="s">
        <v>298</v>
      </c>
      <c r="CQ10" s="198" t="s">
        <v>299</v>
      </c>
      <c r="CT10" s="204" t="s">
        <v>281</v>
      </c>
      <c r="CU10" s="205" t="s">
        <v>307</v>
      </c>
      <c r="CV10" s="205" t="s">
        <v>308</v>
      </c>
      <c r="CW10" s="171" t="s">
        <v>283</v>
      </c>
      <c r="CX10" s="171" t="s">
        <v>10</v>
      </c>
      <c r="CY10" s="171" t="s">
        <v>284</v>
      </c>
      <c r="CZ10" s="205" t="s">
        <v>305</v>
      </c>
      <c r="DA10" s="914" t="str">
        <f>'Energy NPV'!U63</f>
        <v>Total Recurring Costs</v>
      </c>
      <c r="DB10" s="205" t="s">
        <v>309</v>
      </c>
      <c r="DC10" s="171" t="s">
        <v>287</v>
      </c>
      <c r="DD10" s="171" t="s">
        <v>288</v>
      </c>
      <c r="DE10" s="171" t="s">
        <v>289</v>
      </c>
      <c r="DF10" s="195" t="s">
        <v>290</v>
      </c>
      <c r="DG10" s="171" t="s">
        <v>291</v>
      </c>
      <c r="DH10" s="171" t="s">
        <v>292</v>
      </c>
      <c r="DI10" s="171" t="s">
        <v>293</v>
      </c>
      <c r="DJ10" s="198" t="s">
        <v>294</v>
      </c>
      <c r="DK10" s="195" t="s">
        <v>295</v>
      </c>
      <c r="DL10" s="171" t="s">
        <v>296</v>
      </c>
      <c r="DM10" s="171" t="s">
        <v>297</v>
      </c>
      <c r="DN10" s="171" t="s">
        <v>298</v>
      </c>
      <c r="DO10" s="198" t="s">
        <v>299</v>
      </c>
    </row>
    <row r="11" spans="1:175" x14ac:dyDescent="0.3">
      <c r="B11" s="173"/>
      <c r="C11" s="226" t="s">
        <v>356</v>
      </c>
      <c r="D11" s="226" t="s">
        <v>476</v>
      </c>
      <c r="E11" s="201" t="s">
        <v>474</v>
      </c>
      <c r="F11" s="201" t="s">
        <v>474</v>
      </c>
      <c r="G11" s="201" t="s">
        <v>474</v>
      </c>
      <c r="H11" s="201" t="s">
        <v>474</v>
      </c>
      <c r="I11" s="948" t="str">
        <f>'Energy NPV'!U64</f>
        <v>(£ ha-1)</v>
      </c>
      <c r="J11" s="201" t="s">
        <v>474</v>
      </c>
      <c r="K11" s="201" t="s">
        <v>474</v>
      </c>
      <c r="L11" s="201" t="s">
        <v>474</v>
      </c>
      <c r="M11" s="202" t="s">
        <v>474</v>
      </c>
      <c r="N11" s="201" t="s">
        <v>474</v>
      </c>
      <c r="O11" s="201" t="s">
        <v>474</v>
      </c>
      <c r="P11" s="201" t="s">
        <v>474</v>
      </c>
      <c r="Q11" s="201" t="s">
        <v>474</v>
      </c>
      <c r="R11" s="202" t="s">
        <v>474</v>
      </c>
      <c r="S11" s="201" t="s">
        <v>474</v>
      </c>
      <c r="T11" s="201" t="s">
        <v>474</v>
      </c>
      <c r="U11" s="201" t="s">
        <v>474</v>
      </c>
      <c r="V11" s="201" t="s">
        <v>474</v>
      </c>
      <c r="W11" s="202" t="s">
        <v>474</v>
      </c>
      <c r="Z11" s="173"/>
      <c r="AA11" s="226" t="s">
        <v>356</v>
      </c>
      <c r="AB11" s="226" t="s">
        <v>476</v>
      </c>
      <c r="AC11" s="201" t="s">
        <v>474</v>
      </c>
      <c r="AD11" s="201" t="s">
        <v>474</v>
      </c>
      <c r="AE11" s="201" t="s">
        <v>474</v>
      </c>
      <c r="AF11" s="201" t="s">
        <v>474</v>
      </c>
      <c r="AG11" s="948" t="str">
        <f>'Energy NPV'!U64</f>
        <v>(£ ha-1)</v>
      </c>
      <c r="AH11" s="201" t="s">
        <v>474</v>
      </c>
      <c r="AI11" s="201" t="s">
        <v>474</v>
      </c>
      <c r="AJ11" s="201" t="s">
        <v>474</v>
      </c>
      <c r="AK11" s="202" t="s">
        <v>474</v>
      </c>
      <c r="AL11" s="201" t="s">
        <v>474</v>
      </c>
      <c r="AM11" s="201" t="s">
        <v>474</v>
      </c>
      <c r="AN11" s="201" t="s">
        <v>474</v>
      </c>
      <c r="AO11" s="201" t="s">
        <v>474</v>
      </c>
      <c r="AP11" s="202" t="s">
        <v>474</v>
      </c>
      <c r="AQ11" s="201" t="s">
        <v>474</v>
      </c>
      <c r="AR11" s="201" t="s">
        <v>474</v>
      </c>
      <c r="AS11" s="201" t="s">
        <v>474</v>
      </c>
      <c r="AT11" s="201" t="s">
        <v>474</v>
      </c>
      <c r="AU11" s="202" t="s">
        <v>474</v>
      </c>
      <c r="AX11" s="173"/>
      <c r="AY11" s="226" t="s">
        <v>356</v>
      </c>
      <c r="AZ11" s="226" t="s">
        <v>476</v>
      </c>
      <c r="BA11" s="201" t="s">
        <v>474</v>
      </c>
      <c r="BB11" s="201" t="s">
        <v>474</v>
      </c>
      <c r="BC11" s="201" t="s">
        <v>474</v>
      </c>
      <c r="BD11" s="201" t="s">
        <v>474</v>
      </c>
      <c r="BE11" s="948" t="str">
        <f>'Energy NPV'!U64</f>
        <v>(£ ha-1)</v>
      </c>
      <c r="BF11" s="201" t="s">
        <v>474</v>
      </c>
      <c r="BG11" s="201" t="s">
        <v>474</v>
      </c>
      <c r="BH11" s="201" t="s">
        <v>474</v>
      </c>
      <c r="BI11" s="202" t="s">
        <v>474</v>
      </c>
      <c r="BJ11" s="201" t="s">
        <v>474</v>
      </c>
      <c r="BK11" s="201" t="s">
        <v>474</v>
      </c>
      <c r="BL11" s="201" t="s">
        <v>474</v>
      </c>
      <c r="BM11" s="201" t="s">
        <v>474</v>
      </c>
      <c r="BN11" s="202" t="s">
        <v>474</v>
      </c>
      <c r="BO11" s="201" t="s">
        <v>474</v>
      </c>
      <c r="BP11" s="201" t="s">
        <v>474</v>
      </c>
      <c r="BQ11" s="201" t="s">
        <v>474</v>
      </c>
      <c r="BR11" s="201" t="s">
        <v>474</v>
      </c>
      <c r="BS11" s="202" t="s">
        <v>474</v>
      </c>
      <c r="BV11" s="173"/>
      <c r="BW11" s="226" t="s">
        <v>356</v>
      </c>
      <c r="BX11" s="226" t="s">
        <v>476</v>
      </c>
      <c r="BY11" s="201" t="s">
        <v>474</v>
      </c>
      <c r="BZ11" s="201" t="s">
        <v>474</v>
      </c>
      <c r="CA11" s="201" t="s">
        <v>474</v>
      </c>
      <c r="CB11" s="201" t="s">
        <v>474</v>
      </c>
      <c r="CC11" s="948" t="str">
        <f>'Energy NPV'!U64</f>
        <v>(£ ha-1)</v>
      </c>
      <c r="CD11" s="201" t="s">
        <v>474</v>
      </c>
      <c r="CE11" s="201" t="s">
        <v>474</v>
      </c>
      <c r="CF11" s="201" t="s">
        <v>474</v>
      </c>
      <c r="CG11" s="202" t="s">
        <v>474</v>
      </c>
      <c r="CH11" s="201" t="s">
        <v>474</v>
      </c>
      <c r="CI11" s="201" t="s">
        <v>474</v>
      </c>
      <c r="CJ11" s="201" t="s">
        <v>474</v>
      </c>
      <c r="CK11" s="201" t="s">
        <v>474</v>
      </c>
      <c r="CL11" s="202" t="s">
        <v>474</v>
      </c>
      <c r="CM11" s="201" t="s">
        <v>474</v>
      </c>
      <c r="CN11" s="201" t="s">
        <v>474</v>
      </c>
      <c r="CO11" s="201" t="s">
        <v>474</v>
      </c>
      <c r="CP11" s="201" t="s">
        <v>474</v>
      </c>
      <c r="CQ11" s="202" t="s">
        <v>474</v>
      </c>
      <c r="CT11" s="173"/>
      <c r="CU11" s="226" t="s">
        <v>356</v>
      </c>
      <c r="CV11" s="226" t="s">
        <v>476</v>
      </c>
      <c r="CW11" s="201" t="s">
        <v>474</v>
      </c>
      <c r="CX11" s="201" t="s">
        <v>474</v>
      </c>
      <c r="CY11" s="201" t="s">
        <v>474</v>
      </c>
      <c r="CZ11" s="201" t="s">
        <v>474</v>
      </c>
      <c r="DA11" s="948" t="str">
        <f>'Energy NPV'!U64</f>
        <v>(£ ha-1)</v>
      </c>
      <c r="DB11" s="201" t="s">
        <v>474</v>
      </c>
      <c r="DC11" s="201" t="s">
        <v>474</v>
      </c>
      <c r="DD11" s="201" t="s">
        <v>474</v>
      </c>
      <c r="DE11" s="202" t="s">
        <v>474</v>
      </c>
      <c r="DF11" s="201" t="s">
        <v>474</v>
      </c>
      <c r="DG11" s="201" t="s">
        <v>474</v>
      </c>
      <c r="DH11" s="201" t="s">
        <v>474</v>
      </c>
      <c r="DI11" s="201" t="s">
        <v>474</v>
      </c>
      <c r="DJ11" s="202" t="s">
        <v>474</v>
      </c>
      <c r="DK11" s="201" t="s">
        <v>474</v>
      </c>
      <c r="DL11" s="201" t="s">
        <v>474</v>
      </c>
      <c r="DM11" s="201" t="s">
        <v>474</v>
      </c>
      <c r="DN11" s="201" t="s">
        <v>474</v>
      </c>
      <c r="DO11" s="202" t="s">
        <v>474</v>
      </c>
    </row>
    <row r="12" spans="1:175" x14ac:dyDescent="0.3">
      <c r="B12" s="204">
        <v>1</v>
      </c>
      <c r="C12" s="197">
        <f>'Energy NPV'!$D65</f>
        <v>2.0466666666666664</v>
      </c>
      <c r="D12" s="197">
        <f>'Energy margins'!$S$12</f>
        <v>55</v>
      </c>
      <c r="E12" s="197">
        <f>C12*D12</f>
        <v>112.56666666666665</v>
      </c>
      <c r="F12" s="197">
        <f>'Margins summary'!$U$14</f>
        <v>220</v>
      </c>
      <c r="G12" s="197">
        <f>E12+F12</f>
        <v>332.56666666666666</v>
      </c>
      <c r="H12" s="197">
        <f>'Margins summary'!$T$20</f>
        <v>5106.0919999999996</v>
      </c>
      <c r="I12" s="897">
        <f>'Energy NPV'!U65</f>
        <v>0</v>
      </c>
      <c r="J12" s="197"/>
      <c r="K12" s="197">
        <f t="shared" ref="K12:K27" si="0">(H12+I12+J12)*$E$8</f>
        <v>5106.0919999999996</v>
      </c>
      <c r="L12" s="197">
        <f t="shared" ref="L12:L27" si="1">E12-K12</f>
        <v>-4993.525333333333</v>
      </c>
      <c r="M12" s="197">
        <f t="shared" ref="M12:M27" si="2">G12-K12</f>
        <v>-4773.525333333333</v>
      </c>
      <c r="N12" s="1016">
        <f>E12/((1+$B$4)^(B12-1))</f>
        <v>112.56666666666665</v>
      </c>
      <c r="O12" s="213">
        <f>F12/((1+$B$4)^(B12-1))</f>
        <v>220</v>
      </c>
      <c r="P12" s="213">
        <f>K12/((1+$B$4)^(B12-1))</f>
        <v>5106.0919999999996</v>
      </c>
      <c r="Q12" s="213">
        <f>L12/((1+$B$4)^(B12-1))</f>
        <v>-4993.525333333333</v>
      </c>
      <c r="R12" s="908">
        <f>M12/((1+$B$4)^(B12-1))</f>
        <v>-4773.525333333333</v>
      </c>
      <c r="S12" s="196">
        <f>N12</f>
        <v>112.56666666666665</v>
      </c>
      <c r="T12" s="197">
        <f>O12</f>
        <v>220</v>
      </c>
      <c r="U12" s="197">
        <f>P12</f>
        <v>5106.0919999999996</v>
      </c>
      <c r="V12" s="197">
        <f>Q12</f>
        <v>-4993.525333333333</v>
      </c>
      <c r="W12" s="199">
        <f>R12</f>
        <v>-4773.525333333333</v>
      </c>
      <c r="Z12" s="204">
        <v>1</v>
      </c>
      <c r="AA12" s="225">
        <f>'Energy NPV'!$D65</f>
        <v>2.0466666666666664</v>
      </c>
      <c r="AB12" s="197">
        <f>'Energy margins'!$S$12</f>
        <v>55</v>
      </c>
      <c r="AC12" s="197">
        <f>AA12*AB12</f>
        <v>112.56666666666665</v>
      </c>
      <c r="AD12" s="197">
        <f>'Margins summary'!$U$14</f>
        <v>220</v>
      </c>
      <c r="AE12" s="197">
        <f>AC12+AD12</f>
        <v>332.56666666666666</v>
      </c>
      <c r="AF12" s="197">
        <f>'Margins summary'!$T$20</f>
        <v>5106.0919999999996</v>
      </c>
      <c r="AG12" s="897">
        <f>'Energy NPV'!U65</f>
        <v>0</v>
      </c>
      <c r="AH12" s="197"/>
      <c r="AI12" s="197">
        <f t="shared" ref="AI12:AI27" si="3">(AF12+AG12+AH12)*$AB$8</f>
        <v>7659.137999999999</v>
      </c>
      <c r="AJ12" s="197">
        <f t="shared" ref="AJ12:AJ27" si="4">AC12-AI12</f>
        <v>-7546.5713333333324</v>
      </c>
      <c r="AK12" s="197">
        <f t="shared" ref="AK12:AK27" si="5">AE12-AI12</f>
        <v>-7326.5713333333324</v>
      </c>
      <c r="AL12" s="1016">
        <f>AC12/((1+$B$4)^(Z12-1))</f>
        <v>112.56666666666665</v>
      </c>
      <c r="AM12" s="213">
        <f>AD12/((1+$B$4)^(Z12-1))</f>
        <v>220</v>
      </c>
      <c r="AN12" s="213">
        <f>AI12/((1+$B$4)^(Z12-1))</f>
        <v>7659.137999999999</v>
      </c>
      <c r="AO12" s="213">
        <f>AJ12/((1+$B$4)^(Z12-1))</f>
        <v>-7546.5713333333324</v>
      </c>
      <c r="AP12" s="908">
        <f>AK12/((1+$B$4)^(Z12-1))</f>
        <v>-7326.5713333333324</v>
      </c>
      <c r="AQ12" s="196">
        <f>AL12</f>
        <v>112.56666666666665</v>
      </c>
      <c r="AR12" s="197">
        <f>AM12</f>
        <v>220</v>
      </c>
      <c r="AS12" s="197">
        <f>AN12</f>
        <v>7659.137999999999</v>
      </c>
      <c r="AT12" s="197">
        <f>AO12</f>
        <v>-7546.5713333333324</v>
      </c>
      <c r="AU12" s="199">
        <f>AP12</f>
        <v>-7326.5713333333324</v>
      </c>
      <c r="AX12" s="204">
        <v>1</v>
      </c>
      <c r="AY12" s="197">
        <f>'Energy NPV'!$D65</f>
        <v>2.0466666666666664</v>
      </c>
      <c r="AZ12" s="197">
        <f>'Energy margins'!$S$12</f>
        <v>55</v>
      </c>
      <c r="BA12" s="197">
        <f>AY12*AZ12</f>
        <v>112.56666666666665</v>
      </c>
      <c r="BB12" s="197">
        <f>'Margins summary'!$U$14</f>
        <v>220</v>
      </c>
      <c r="BC12" s="197">
        <f>BA12+BB12</f>
        <v>332.56666666666666</v>
      </c>
      <c r="BD12" s="197">
        <f>'Margins summary'!$T$20</f>
        <v>5106.0919999999996</v>
      </c>
      <c r="BE12" s="897">
        <f>'Energy NPV'!U65</f>
        <v>0</v>
      </c>
      <c r="BF12" s="197"/>
      <c r="BG12" s="197">
        <f t="shared" ref="BG12:BG27" si="6">(BD12+BE12+BF12)*$AZ$8</f>
        <v>2553.0459999999998</v>
      </c>
      <c r="BH12" s="197">
        <f t="shared" ref="BH12:BH27" si="7">BA12-BG12</f>
        <v>-2440.4793333333332</v>
      </c>
      <c r="BI12" s="197">
        <f t="shared" ref="BI12:BI27" si="8">BC12-BG12</f>
        <v>-2220.4793333333332</v>
      </c>
      <c r="BJ12" s="1016">
        <f>BA12/((1+$B$4)^(AX12-1))</f>
        <v>112.56666666666665</v>
      </c>
      <c r="BK12" s="213">
        <f>BB12/((1+$B$4)^(AX12-1))</f>
        <v>220</v>
      </c>
      <c r="BL12" s="213">
        <f>BG12/((1+$B$4)^(AX12-1))</f>
        <v>2553.0459999999998</v>
      </c>
      <c r="BM12" s="213">
        <f>BH12/((1+$B$4)^(AX12-1))</f>
        <v>-2440.4793333333332</v>
      </c>
      <c r="BN12" s="908">
        <f>BI12/((1+$B$4)^(AX12-1))</f>
        <v>-2220.4793333333332</v>
      </c>
      <c r="BO12" s="196">
        <f>BJ12</f>
        <v>112.56666666666665</v>
      </c>
      <c r="BP12" s="197">
        <f>BK12</f>
        <v>220</v>
      </c>
      <c r="BQ12" s="197">
        <f>BL12</f>
        <v>2553.0459999999998</v>
      </c>
      <c r="BR12" s="197">
        <f>BM12</f>
        <v>-2440.4793333333332</v>
      </c>
      <c r="BS12" s="199">
        <f>BN12</f>
        <v>-2220.4793333333332</v>
      </c>
      <c r="BV12" s="204">
        <v>1</v>
      </c>
      <c r="BW12" s="197">
        <f>'Energy NPV'!$D65</f>
        <v>2.0466666666666664</v>
      </c>
      <c r="BX12" s="197">
        <f>'Energy margins'!$S$12</f>
        <v>55</v>
      </c>
      <c r="BY12" s="197">
        <f>BW12*BX12</f>
        <v>112.56666666666665</v>
      </c>
      <c r="BZ12" s="197">
        <f>'Margins summary'!$U$14</f>
        <v>220</v>
      </c>
      <c r="CA12" s="197">
        <f>BY12+BZ12</f>
        <v>332.56666666666666</v>
      </c>
      <c r="CB12" s="197">
        <f>'Margins summary'!$T$20</f>
        <v>5106.0919999999996</v>
      </c>
      <c r="CC12" s="897">
        <f>'Energy NPV'!U65</f>
        <v>0</v>
      </c>
      <c r="CD12" s="197"/>
      <c r="CE12" s="197">
        <f t="shared" ref="CE12:CE27" si="9">(CB12+CC12+CD12)*$BX$8</f>
        <v>10212.183999999999</v>
      </c>
      <c r="CF12" s="197">
        <f t="shared" ref="CF12:CF27" si="10">BY12-CE12</f>
        <v>-10099.617333333332</v>
      </c>
      <c r="CG12" s="197">
        <f t="shared" ref="CG12:CG27" si="11">CA12-CE12</f>
        <v>-9879.6173333333318</v>
      </c>
      <c r="CH12" s="1016">
        <f>BY12/((1+$B$4)^(BV12-1))</f>
        <v>112.56666666666665</v>
      </c>
      <c r="CI12" s="213">
        <f>BZ12/((1+$B$4)^(BV12-1))</f>
        <v>220</v>
      </c>
      <c r="CJ12" s="213">
        <f>CE12/((1+$B$4)^(BV12-1))</f>
        <v>10212.183999999999</v>
      </c>
      <c r="CK12" s="213">
        <f>CF12/((1+$B$4)^(BV12-1))</f>
        <v>-10099.617333333332</v>
      </c>
      <c r="CL12" s="908">
        <f>CG12/((1+$B$4)^(BV12-1))</f>
        <v>-9879.6173333333318</v>
      </c>
      <c r="CM12" s="196">
        <f>CH12</f>
        <v>112.56666666666665</v>
      </c>
      <c r="CN12" s="197">
        <f>CI12</f>
        <v>220</v>
      </c>
      <c r="CO12" s="197">
        <f>CJ12</f>
        <v>10212.183999999999</v>
      </c>
      <c r="CP12" s="197">
        <f>CK12</f>
        <v>-10099.617333333332</v>
      </c>
      <c r="CQ12" s="199">
        <f>CL12</f>
        <v>-9879.6173333333318</v>
      </c>
      <c r="CT12" s="204">
        <v>1</v>
      </c>
      <c r="CU12" s="197">
        <f>'Energy NPV'!$D65</f>
        <v>2.0466666666666664</v>
      </c>
      <c r="CV12" s="197">
        <f>'Energy margins'!$S$12</f>
        <v>55</v>
      </c>
      <c r="CW12" s="197">
        <f t="shared" ref="CW12:CW27" si="12">CU12*CV12</f>
        <v>112.56666666666665</v>
      </c>
      <c r="CX12" s="197">
        <f>'Margins summary'!$U$14</f>
        <v>220</v>
      </c>
      <c r="CY12" s="197">
        <f>CW12+CX12</f>
        <v>332.56666666666666</v>
      </c>
      <c r="CZ12" s="197">
        <f>'Margins summary'!$T$20</f>
        <v>5106.0919999999996</v>
      </c>
      <c r="DA12" s="897">
        <f>'Energy NPV'!U65</f>
        <v>0</v>
      </c>
      <c r="DB12" s="197"/>
      <c r="DC12" s="197">
        <f t="shared" ref="DC12:DC27" si="13">(CZ12+DA12+DB12)*$CV$8</f>
        <v>0</v>
      </c>
      <c r="DD12" s="197">
        <f t="shared" ref="DD12:DD27" si="14">CW12-DC12</f>
        <v>112.56666666666665</v>
      </c>
      <c r="DE12" s="197">
        <f t="shared" ref="DE12:DE27" si="15">CY12-DC12</f>
        <v>332.56666666666666</v>
      </c>
      <c r="DF12" s="1016">
        <f t="shared" ref="DF12:DF27" si="16">CW12/((1+$B$4)^(CT12-1))</f>
        <v>112.56666666666665</v>
      </c>
      <c r="DG12" s="213">
        <f t="shared" ref="DG12:DG27" si="17">CX12/((1+$B$4)^(CT12-1))</f>
        <v>220</v>
      </c>
      <c r="DH12" s="213">
        <f t="shared" ref="DH12:DH27" si="18">DC12/((1+$B$4)^(CT12-1))</f>
        <v>0</v>
      </c>
      <c r="DI12" s="213">
        <f t="shared" ref="DI12:DI27" si="19">DD12/((1+$B$4)^(CT12-1))</f>
        <v>112.56666666666665</v>
      </c>
      <c r="DJ12" s="908">
        <f t="shared" ref="DJ12:DJ27" si="20">DE12/((1+$B$4)^(CT12-1))</f>
        <v>332.56666666666666</v>
      </c>
      <c r="DK12" s="196">
        <f>DF12</f>
        <v>112.56666666666665</v>
      </c>
      <c r="DL12" s="197">
        <f>DG12</f>
        <v>220</v>
      </c>
      <c r="DM12" s="197">
        <f>DH12</f>
        <v>0</v>
      </c>
      <c r="DN12" s="197">
        <f>DI12</f>
        <v>112.56666666666665</v>
      </c>
      <c r="DO12" s="199">
        <f>DJ12</f>
        <v>332.56666666666666</v>
      </c>
    </row>
    <row r="13" spans="1:175" x14ac:dyDescent="0.3">
      <c r="B13" s="204">
        <v>2</v>
      </c>
      <c r="C13" s="197">
        <f>'Energy NPV'!$D66</f>
        <v>8.27</v>
      </c>
      <c r="D13" s="197">
        <f>'Energy margins'!$S$12</f>
        <v>55</v>
      </c>
      <c r="E13" s="197">
        <f t="shared" ref="E13:E27" si="21">C13*D13</f>
        <v>454.84999999999997</v>
      </c>
      <c r="F13" s="197">
        <f>'Margins summary'!$U$14</f>
        <v>220</v>
      </c>
      <c r="G13" s="197">
        <f t="shared" ref="G13:G27" si="22">E13+F13</f>
        <v>674.84999999999991</v>
      </c>
      <c r="H13" s="197"/>
      <c r="I13" s="897">
        <f>'Energy NPV'!U66</f>
        <v>439.04199999999997</v>
      </c>
      <c r="J13" s="197"/>
      <c r="K13" s="197">
        <f t="shared" si="0"/>
        <v>439.04199999999997</v>
      </c>
      <c r="L13" s="197">
        <f t="shared" si="1"/>
        <v>15.807999999999993</v>
      </c>
      <c r="M13" s="197">
        <f t="shared" si="2"/>
        <v>235.80799999999994</v>
      </c>
      <c r="N13" s="196">
        <f t="shared" ref="N13:N27" si="23">E13/((1+$B$4)^(B13-1))</f>
        <v>437.35576923076917</v>
      </c>
      <c r="O13" s="197">
        <f t="shared" ref="O13:O27" si="24">F13/((1+$B$4)^(B13-1))</f>
        <v>211.53846153846152</v>
      </c>
      <c r="P13" s="197">
        <f t="shared" ref="P13:P27" si="25">K13/((1+$B$4)^(B13-1))</f>
        <v>422.15576923076918</v>
      </c>
      <c r="Q13" s="197">
        <f t="shared" ref="Q13:Q27" si="26">L13/((1+$B$4)^(B13-1))</f>
        <v>15.199999999999992</v>
      </c>
      <c r="R13" s="199">
        <f t="shared" ref="R13:R27" si="27">M13/((1+$B$4)^(B13-1))</f>
        <v>226.73846153846148</v>
      </c>
      <c r="S13" s="196">
        <f>S12+N13</f>
        <v>549.92243589743578</v>
      </c>
      <c r="T13" s="197">
        <f t="shared" ref="T13:W27" si="28">T12+O13</f>
        <v>431.53846153846155</v>
      </c>
      <c r="U13" s="197">
        <f t="shared" si="28"/>
        <v>5528.2477692307684</v>
      </c>
      <c r="V13" s="197">
        <f t="shared" si="28"/>
        <v>-4978.3253333333332</v>
      </c>
      <c r="W13" s="199">
        <f t="shared" si="28"/>
        <v>-4546.7868717948713</v>
      </c>
      <c r="Z13" s="204">
        <v>2</v>
      </c>
      <c r="AA13" s="225">
        <f>'Energy NPV'!$D66</f>
        <v>8.27</v>
      </c>
      <c r="AB13" s="197">
        <f>'Energy margins'!$S$12</f>
        <v>55</v>
      </c>
      <c r="AC13" s="197">
        <f t="shared" ref="AC13:AC26" si="29">AA13*AB13</f>
        <v>454.84999999999997</v>
      </c>
      <c r="AD13" s="197">
        <f>'Margins summary'!$U$14</f>
        <v>220</v>
      </c>
      <c r="AE13" s="197">
        <f t="shared" ref="AE13:AE27" si="30">AC13+AD13</f>
        <v>674.84999999999991</v>
      </c>
      <c r="AF13" s="197"/>
      <c r="AG13" s="897">
        <f>'Energy NPV'!U66</f>
        <v>439.04199999999997</v>
      </c>
      <c r="AH13" s="197"/>
      <c r="AI13" s="197">
        <f t="shared" si="3"/>
        <v>658.56299999999999</v>
      </c>
      <c r="AJ13" s="197">
        <f t="shared" si="4"/>
        <v>-203.71300000000002</v>
      </c>
      <c r="AK13" s="197">
        <f t="shared" si="5"/>
        <v>16.286999999999921</v>
      </c>
      <c r="AL13" s="196">
        <f t="shared" ref="AL13:AL27" si="31">AC13/((1+$B$4)^(Z13-1))</f>
        <v>437.35576923076917</v>
      </c>
      <c r="AM13" s="197">
        <f t="shared" ref="AM13:AM27" si="32">AD13/((1+$B$4)^(Z13-1))</f>
        <v>211.53846153846152</v>
      </c>
      <c r="AN13" s="197">
        <f t="shared" ref="AN13:AN27" si="33">AI13/((1+$B$4)^(Z13-1))</f>
        <v>633.23365384615386</v>
      </c>
      <c r="AO13" s="197">
        <f t="shared" ref="AO13:AO27" si="34">AJ13/((1+$B$4)^(Z13-1))</f>
        <v>-195.87788461538463</v>
      </c>
      <c r="AP13" s="199">
        <f t="shared" ref="AP13:AP27" si="35">AK13/((1+$B$4)^(Z13-1))</f>
        <v>15.660576923076846</v>
      </c>
      <c r="AQ13" s="196">
        <f>AQ12+AL13</f>
        <v>549.92243589743578</v>
      </c>
      <c r="AR13" s="197">
        <f t="shared" ref="AR13:AU27" si="36">AR12+AM13</f>
        <v>431.53846153846155</v>
      </c>
      <c r="AS13" s="197">
        <f t="shared" si="36"/>
        <v>8292.3716538461522</v>
      </c>
      <c r="AT13" s="197">
        <f t="shared" si="36"/>
        <v>-7742.449217948717</v>
      </c>
      <c r="AU13" s="199">
        <f t="shared" si="36"/>
        <v>-7310.910756410256</v>
      </c>
      <c r="AX13" s="204">
        <v>2</v>
      </c>
      <c r="AY13" s="197">
        <f>'Energy NPV'!$D66</f>
        <v>8.27</v>
      </c>
      <c r="AZ13" s="197">
        <f>'Energy margins'!$S$12</f>
        <v>55</v>
      </c>
      <c r="BA13" s="197">
        <f t="shared" ref="BA13:BA27" si="37">AY13*AZ13</f>
        <v>454.84999999999997</v>
      </c>
      <c r="BB13" s="197">
        <f>'Margins summary'!$U$14</f>
        <v>220</v>
      </c>
      <c r="BC13" s="197">
        <f t="shared" ref="BC13:BC27" si="38">BA13+BB13</f>
        <v>674.84999999999991</v>
      </c>
      <c r="BD13" s="197"/>
      <c r="BE13" s="897">
        <f>'Energy NPV'!U66</f>
        <v>439.04199999999997</v>
      </c>
      <c r="BF13" s="197"/>
      <c r="BG13" s="197">
        <f t="shared" si="6"/>
        <v>219.52099999999999</v>
      </c>
      <c r="BH13" s="197">
        <f t="shared" si="7"/>
        <v>235.32899999999998</v>
      </c>
      <c r="BI13" s="197">
        <f t="shared" si="8"/>
        <v>455.32899999999995</v>
      </c>
      <c r="BJ13" s="196">
        <f t="shared" ref="BJ13:BJ27" si="39">BA13/((1+$B$4)^(AX13-1))</f>
        <v>437.35576923076917</v>
      </c>
      <c r="BK13" s="197">
        <f t="shared" ref="BK13:BK27" si="40">BB13/((1+$B$4)^(AX13-1))</f>
        <v>211.53846153846152</v>
      </c>
      <c r="BL13" s="197">
        <f t="shared" ref="BL13:BL27" si="41">BG13/((1+$B$4)^(AX13-1))</f>
        <v>211.07788461538459</v>
      </c>
      <c r="BM13" s="197">
        <f t="shared" ref="BM13:BM27" si="42">BH13/((1+$B$4)^(AX13-1))</f>
        <v>226.27788461538458</v>
      </c>
      <c r="BN13" s="199">
        <f t="shared" ref="BN13:BN27" si="43">BI13/((1+$B$4)^(AX13-1))</f>
        <v>437.8163461538461</v>
      </c>
      <c r="BO13" s="196">
        <f>BO12+BJ13</f>
        <v>549.92243589743578</v>
      </c>
      <c r="BP13" s="197">
        <f t="shared" ref="BP13:BS27" si="44">BP12+BK13</f>
        <v>431.53846153846155</v>
      </c>
      <c r="BQ13" s="197">
        <f t="shared" si="44"/>
        <v>2764.1238846153842</v>
      </c>
      <c r="BR13" s="197">
        <f t="shared" si="44"/>
        <v>-2214.2014487179486</v>
      </c>
      <c r="BS13" s="199">
        <f t="shared" si="44"/>
        <v>-1782.6629871794871</v>
      </c>
      <c r="BV13" s="204">
        <v>2</v>
      </c>
      <c r="BW13" s="197">
        <f>'Energy NPV'!$D66</f>
        <v>8.27</v>
      </c>
      <c r="BX13" s="197">
        <f>'Energy margins'!$S$12</f>
        <v>55</v>
      </c>
      <c r="BY13" s="197">
        <f t="shared" ref="BY13:BY27" si="45">BW13*BX13</f>
        <v>454.84999999999997</v>
      </c>
      <c r="BZ13" s="197">
        <f>'Margins summary'!$U$14</f>
        <v>220</v>
      </c>
      <c r="CA13" s="197">
        <f t="shared" ref="CA13:CA27" si="46">BY13+BZ13</f>
        <v>674.84999999999991</v>
      </c>
      <c r="CB13" s="197"/>
      <c r="CC13" s="897">
        <f>'Energy NPV'!U66</f>
        <v>439.04199999999997</v>
      </c>
      <c r="CD13" s="197"/>
      <c r="CE13" s="197">
        <f t="shared" si="9"/>
        <v>878.08399999999995</v>
      </c>
      <c r="CF13" s="197">
        <f t="shared" si="10"/>
        <v>-423.23399999999998</v>
      </c>
      <c r="CG13" s="197">
        <f t="shared" si="11"/>
        <v>-203.23400000000004</v>
      </c>
      <c r="CH13" s="196">
        <f t="shared" ref="CH13:CH27" si="47">BY13/((1+$B$4)^(BV13-1))</f>
        <v>437.35576923076917</v>
      </c>
      <c r="CI13" s="197">
        <f t="shared" ref="CI13:CI27" si="48">BZ13/((1+$B$4)^(BV13-1))</f>
        <v>211.53846153846152</v>
      </c>
      <c r="CJ13" s="197">
        <f t="shared" ref="CJ13:CJ27" si="49">CE13/((1+$B$4)^(BV13-1))</f>
        <v>844.31153846153836</v>
      </c>
      <c r="CK13" s="197">
        <f t="shared" ref="CK13:CK27" si="50">CF13/((1+$B$4)^(BV13-1))</f>
        <v>-406.95576923076919</v>
      </c>
      <c r="CL13" s="199">
        <f t="shared" ref="CL13:CL26" si="51">CG13/((1+$B$4)^(BV13-1))</f>
        <v>-195.41730769230773</v>
      </c>
      <c r="CM13" s="196">
        <f>CM12+CH13</f>
        <v>549.92243589743578</v>
      </c>
      <c r="CN13" s="197">
        <f t="shared" ref="CN13:CN27" si="52">CN12+CI13</f>
        <v>431.53846153846155</v>
      </c>
      <c r="CO13" s="197">
        <f t="shared" ref="CO13:CO27" si="53">CO12+CJ13</f>
        <v>11056.495538461537</v>
      </c>
      <c r="CP13" s="197">
        <f t="shared" ref="CP13:CP27" si="54">CP12+CK13</f>
        <v>-10506.573102564102</v>
      </c>
      <c r="CQ13" s="199">
        <f t="shared" ref="CQ13:CQ27" si="55">CQ12+CL13</f>
        <v>-10075.034641025639</v>
      </c>
      <c r="CT13" s="204">
        <v>2</v>
      </c>
      <c r="CU13" s="197">
        <f>'Energy NPV'!$D66</f>
        <v>8.27</v>
      </c>
      <c r="CV13" s="197">
        <f>'Energy margins'!$S$12</f>
        <v>55</v>
      </c>
      <c r="CW13" s="197">
        <f t="shared" si="12"/>
        <v>454.84999999999997</v>
      </c>
      <c r="CX13" s="197">
        <f>'Margins summary'!$U$14</f>
        <v>220</v>
      </c>
      <c r="CY13" s="197">
        <f t="shared" ref="CY13:CY27" si="56">CW13+CX13</f>
        <v>674.84999999999991</v>
      </c>
      <c r="CZ13" s="197"/>
      <c r="DA13" s="897">
        <f>'Energy NPV'!U66</f>
        <v>439.04199999999997</v>
      </c>
      <c r="DB13" s="197"/>
      <c r="DC13" s="197">
        <f t="shared" si="13"/>
        <v>0</v>
      </c>
      <c r="DD13" s="197">
        <f t="shared" si="14"/>
        <v>454.84999999999997</v>
      </c>
      <c r="DE13" s="197">
        <f t="shared" si="15"/>
        <v>674.84999999999991</v>
      </c>
      <c r="DF13" s="196">
        <f t="shared" si="16"/>
        <v>437.35576923076917</v>
      </c>
      <c r="DG13" s="197">
        <f t="shared" si="17"/>
        <v>211.53846153846152</v>
      </c>
      <c r="DH13" s="197">
        <f t="shared" si="18"/>
        <v>0</v>
      </c>
      <c r="DI13" s="197">
        <f t="shared" si="19"/>
        <v>437.35576923076917</v>
      </c>
      <c r="DJ13" s="199">
        <f t="shared" si="20"/>
        <v>648.8942307692306</v>
      </c>
      <c r="DK13" s="196">
        <f>DK12+DF13</f>
        <v>549.92243589743578</v>
      </c>
      <c r="DL13" s="197">
        <f t="shared" ref="DL13:DL27" si="57">DL12+DG13</f>
        <v>431.53846153846155</v>
      </c>
      <c r="DM13" s="197">
        <f t="shared" ref="DM13:DM27" si="58">DM12+DH13</f>
        <v>0</v>
      </c>
      <c r="DN13" s="197">
        <f t="shared" ref="DN13:DN27" si="59">DN12+DI13</f>
        <v>549.92243589743578</v>
      </c>
      <c r="DO13" s="199">
        <f t="shared" ref="DO13:DO27" si="60">DO12+DJ13</f>
        <v>981.46089743589732</v>
      </c>
    </row>
    <row r="14" spans="1:175" x14ac:dyDescent="0.3">
      <c r="B14" s="204">
        <f t="shared" ref="B14:B27" si="61">B13+1</f>
        <v>3</v>
      </c>
      <c r="C14" s="197">
        <f>'Energy NPV'!$D67</f>
        <v>10.926666666666668</v>
      </c>
      <c r="D14" s="197">
        <f>'Energy margins'!$S$12</f>
        <v>55</v>
      </c>
      <c r="E14" s="197">
        <f t="shared" si="21"/>
        <v>600.9666666666667</v>
      </c>
      <c r="F14" s="197">
        <f>'Margins summary'!$U$14</f>
        <v>220</v>
      </c>
      <c r="G14" s="197">
        <f t="shared" si="22"/>
        <v>820.9666666666667</v>
      </c>
      <c r="H14" s="197"/>
      <c r="I14" s="897">
        <f>'Energy NPV'!U67</f>
        <v>439.04199999999997</v>
      </c>
      <c r="J14" s="197"/>
      <c r="K14" s="197">
        <f t="shared" si="0"/>
        <v>439.04199999999997</v>
      </c>
      <c r="L14" s="197">
        <f t="shared" si="1"/>
        <v>161.92466666666672</v>
      </c>
      <c r="M14" s="197">
        <f t="shared" si="2"/>
        <v>381.92466666666672</v>
      </c>
      <c r="N14" s="196">
        <f t="shared" si="23"/>
        <v>555.62746548323469</v>
      </c>
      <c r="O14" s="197">
        <f t="shared" si="24"/>
        <v>203.40236686390531</v>
      </c>
      <c r="P14" s="197">
        <f t="shared" si="25"/>
        <v>405.91900887573956</v>
      </c>
      <c r="Q14" s="197">
        <f t="shared" si="26"/>
        <v>149.70845660749509</v>
      </c>
      <c r="R14" s="199">
        <f t="shared" si="27"/>
        <v>353.11082347140041</v>
      </c>
      <c r="S14" s="196">
        <f t="shared" ref="S14:S27" si="62">S13+N14</f>
        <v>1105.5499013806705</v>
      </c>
      <c r="T14" s="197">
        <f t="shared" si="28"/>
        <v>634.94082840236683</v>
      </c>
      <c r="U14" s="197">
        <f t="shared" si="28"/>
        <v>5934.166778106508</v>
      </c>
      <c r="V14" s="197">
        <f t="shared" si="28"/>
        <v>-4828.6168767258378</v>
      </c>
      <c r="W14" s="199">
        <f t="shared" si="28"/>
        <v>-4193.6760483234712</v>
      </c>
      <c r="Z14" s="204">
        <f t="shared" ref="Z14:Z27" si="63">Z13+1</f>
        <v>3</v>
      </c>
      <c r="AA14" s="225">
        <f>'Energy NPV'!$D67</f>
        <v>10.926666666666668</v>
      </c>
      <c r="AB14" s="197">
        <f>'Energy margins'!$S$12</f>
        <v>55</v>
      </c>
      <c r="AC14" s="197">
        <f t="shared" si="29"/>
        <v>600.9666666666667</v>
      </c>
      <c r="AD14" s="197">
        <f>'Margins summary'!$U$14</f>
        <v>220</v>
      </c>
      <c r="AE14" s="197">
        <f t="shared" si="30"/>
        <v>820.9666666666667</v>
      </c>
      <c r="AF14" s="197"/>
      <c r="AG14" s="897">
        <f>'Energy NPV'!U67</f>
        <v>439.04199999999997</v>
      </c>
      <c r="AH14" s="197"/>
      <c r="AI14" s="197">
        <f t="shared" si="3"/>
        <v>658.56299999999999</v>
      </c>
      <c r="AJ14" s="197">
        <f t="shared" si="4"/>
        <v>-57.596333333333291</v>
      </c>
      <c r="AK14" s="197">
        <f t="shared" si="5"/>
        <v>162.40366666666671</v>
      </c>
      <c r="AL14" s="196">
        <f t="shared" si="31"/>
        <v>555.62746548323469</v>
      </c>
      <c r="AM14" s="197">
        <f t="shared" si="32"/>
        <v>203.40236686390531</v>
      </c>
      <c r="AN14" s="197">
        <f t="shared" si="33"/>
        <v>608.87851331360935</v>
      </c>
      <c r="AO14" s="197">
        <f t="shared" si="34"/>
        <v>-53.251047830374709</v>
      </c>
      <c r="AP14" s="199">
        <f t="shared" si="35"/>
        <v>150.1513190335306</v>
      </c>
      <c r="AQ14" s="196">
        <f t="shared" ref="AQ14:AQ27" si="64">AQ13+AL14</f>
        <v>1105.5499013806705</v>
      </c>
      <c r="AR14" s="197">
        <f t="shared" si="36"/>
        <v>634.94082840236683</v>
      </c>
      <c r="AS14" s="197">
        <f t="shared" si="36"/>
        <v>8901.250167159762</v>
      </c>
      <c r="AT14" s="197">
        <f t="shared" si="36"/>
        <v>-7795.7002657790918</v>
      </c>
      <c r="AU14" s="199">
        <f t="shared" si="36"/>
        <v>-7160.7594373767251</v>
      </c>
      <c r="AX14" s="204">
        <f t="shared" ref="AX14:AX27" si="65">AX13+1</f>
        <v>3</v>
      </c>
      <c r="AY14" s="197">
        <f>'Energy NPV'!$D67</f>
        <v>10.926666666666668</v>
      </c>
      <c r="AZ14" s="197">
        <f>'Energy margins'!$S$12</f>
        <v>55</v>
      </c>
      <c r="BA14" s="197">
        <f t="shared" si="37"/>
        <v>600.9666666666667</v>
      </c>
      <c r="BB14" s="197">
        <f>'Margins summary'!$U$14</f>
        <v>220</v>
      </c>
      <c r="BC14" s="197">
        <f t="shared" si="38"/>
        <v>820.9666666666667</v>
      </c>
      <c r="BD14" s="197"/>
      <c r="BE14" s="897">
        <f>'Energy NPV'!U67</f>
        <v>439.04199999999997</v>
      </c>
      <c r="BF14" s="197"/>
      <c r="BG14" s="197">
        <f t="shared" si="6"/>
        <v>219.52099999999999</v>
      </c>
      <c r="BH14" s="197">
        <f t="shared" si="7"/>
        <v>381.44566666666674</v>
      </c>
      <c r="BI14" s="197">
        <f t="shared" si="8"/>
        <v>601.44566666666674</v>
      </c>
      <c r="BJ14" s="196">
        <f t="shared" si="39"/>
        <v>555.62746548323469</v>
      </c>
      <c r="BK14" s="197">
        <f t="shared" si="40"/>
        <v>203.40236686390531</v>
      </c>
      <c r="BL14" s="197">
        <f t="shared" si="41"/>
        <v>202.95950443786978</v>
      </c>
      <c r="BM14" s="197">
        <f t="shared" si="42"/>
        <v>352.6679610453649</v>
      </c>
      <c r="BN14" s="199">
        <f t="shared" si="43"/>
        <v>556.07032790927019</v>
      </c>
      <c r="BO14" s="196">
        <f t="shared" ref="BO14:BO27" si="66">BO13+BJ14</f>
        <v>1105.5499013806705</v>
      </c>
      <c r="BP14" s="197">
        <f t="shared" si="44"/>
        <v>634.94082840236683</v>
      </c>
      <c r="BQ14" s="197">
        <f t="shared" si="44"/>
        <v>2967.083389053254</v>
      </c>
      <c r="BR14" s="197">
        <f t="shared" si="44"/>
        <v>-1861.5334876725838</v>
      </c>
      <c r="BS14" s="199">
        <f t="shared" si="44"/>
        <v>-1226.5926592702169</v>
      </c>
      <c r="BV14" s="204">
        <f t="shared" ref="BV14:BV27" si="67">BV13+1</f>
        <v>3</v>
      </c>
      <c r="BW14" s="197">
        <f>'Energy NPV'!$D67</f>
        <v>10.926666666666668</v>
      </c>
      <c r="BX14" s="197">
        <f>'Energy margins'!$S$12</f>
        <v>55</v>
      </c>
      <c r="BY14" s="197">
        <f t="shared" si="45"/>
        <v>600.9666666666667</v>
      </c>
      <c r="BZ14" s="197">
        <f>'Margins summary'!$U$14</f>
        <v>220</v>
      </c>
      <c r="CA14" s="197">
        <f t="shared" si="46"/>
        <v>820.9666666666667</v>
      </c>
      <c r="CB14" s="197"/>
      <c r="CC14" s="897">
        <f>'Energy NPV'!U67</f>
        <v>439.04199999999997</v>
      </c>
      <c r="CD14" s="197"/>
      <c r="CE14" s="197">
        <f t="shared" si="9"/>
        <v>878.08399999999995</v>
      </c>
      <c r="CF14" s="197">
        <f t="shared" si="10"/>
        <v>-277.11733333333325</v>
      </c>
      <c r="CG14" s="197">
        <f t="shared" si="11"/>
        <v>-57.117333333333249</v>
      </c>
      <c r="CH14" s="196">
        <f t="shared" si="47"/>
        <v>555.62746548323469</v>
      </c>
      <c r="CI14" s="197">
        <f t="shared" si="48"/>
        <v>203.40236686390531</v>
      </c>
      <c r="CJ14" s="197">
        <f t="shared" si="49"/>
        <v>811.83801775147913</v>
      </c>
      <c r="CK14" s="197">
        <f t="shared" si="50"/>
        <v>-256.2105522682445</v>
      </c>
      <c r="CL14" s="199">
        <f t="shared" si="51"/>
        <v>-52.80818540433917</v>
      </c>
      <c r="CM14" s="196">
        <f t="shared" ref="CM14:CM27" si="68">CM13+CH14</f>
        <v>1105.5499013806705</v>
      </c>
      <c r="CN14" s="197">
        <f t="shared" si="52"/>
        <v>634.94082840236683</v>
      </c>
      <c r="CO14" s="197">
        <f t="shared" si="53"/>
        <v>11868.333556213016</v>
      </c>
      <c r="CP14" s="197">
        <f t="shared" si="54"/>
        <v>-10762.783654832347</v>
      </c>
      <c r="CQ14" s="199">
        <f t="shared" si="55"/>
        <v>-10127.842826429978</v>
      </c>
      <c r="CT14" s="204">
        <f t="shared" ref="CT14:CT27" si="69">CT13+1</f>
        <v>3</v>
      </c>
      <c r="CU14" s="197">
        <f>'Energy NPV'!$D67</f>
        <v>10.926666666666668</v>
      </c>
      <c r="CV14" s="197">
        <f>'Energy margins'!$S$12</f>
        <v>55</v>
      </c>
      <c r="CW14" s="197">
        <f t="shared" si="12"/>
        <v>600.9666666666667</v>
      </c>
      <c r="CX14" s="197">
        <f>'Margins summary'!$U$14</f>
        <v>220</v>
      </c>
      <c r="CY14" s="197">
        <f t="shared" si="56"/>
        <v>820.9666666666667</v>
      </c>
      <c r="CZ14" s="197"/>
      <c r="DA14" s="897">
        <f>'Energy NPV'!U67</f>
        <v>439.04199999999997</v>
      </c>
      <c r="DB14" s="197"/>
      <c r="DC14" s="197">
        <f t="shared" si="13"/>
        <v>0</v>
      </c>
      <c r="DD14" s="197">
        <f t="shared" si="14"/>
        <v>600.9666666666667</v>
      </c>
      <c r="DE14" s="197">
        <f t="shared" si="15"/>
        <v>820.9666666666667</v>
      </c>
      <c r="DF14" s="196">
        <f t="shared" si="16"/>
        <v>555.62746548323469</v>
      </c>
      <c r="DG14" s="197">
        <f t="shared" si="17"/>
        <v>203.40236686390531</v>
      </c>
      <c r="DH14" s="197">
        <f t="shared" si="18"/>
        <v>0</v>
      </c>
      <c r="DI14" s="197">
        <f t="shared" si="19"/>
        <v>555.62746548323469</v>
      </c>
      <c r="DJ14" s="199">
        <f t="shared" si="20"/>
        <v>759.02983234713997</v>
      </c>
      <c r="DK14" s="196">
        <f t="shared" ref="DK14:DK27" si="70">DK13+DF14</f>
        <v>1105.5499013806705</v>
      </c>
      <c r="DL14" s="197">
        <f t="shared" si="57"/>
        <v>634.94082840236683</v>
      </c>
      <c r="DM14" s="197">
        <f t="shared" si="58"/>
        <v>0</v>
      </c>
      <c r="DN14" s="197">
        <f t="shared" si="59"/>
        <v>1105.5499013806705</v>
      </c>
      <c r="DO14" s="199">
        <f t="shared" si="60"/>
        <v>1740.4907297830373</v>
      </c>
    </row>
    <row r="15" spans="1:175" x14ac:dyDescent="0.3">
      <c r="B15" s="204">
        <f t="shared" si="61"/>
        <v>4</v>
      </c>
      <c r="C15" s="225">
        <f>'Energy NPV'!$D68</f>
        <v>11.617000000000001</v>
      </c>
      <c r="D15" s="197">
        <f>'Energy margins'!$S$12</f>
        <v>55</v>
      </c>
      <c r="E15" s="197">
        <f t="shared" si="21"/>
        <v>638.93500000000006</v>
      </c>
      <c r="F15" s="197">
        <f>'Margins summary'!$U$14</f>
        <v>220</v>
      </c>
      <c r="G15" s="197">
        <f t="shared" si="22"/>
        <v>858.93500000000006</v>
      </c>
      <c r="H15" s="197"/>
      <c r="I15" s="897">
        <f>'Energy NPV'!U68</f>
        <v>278.04200000000003</v>
      </c>
      <c r="J15" s="197"/>
      <c r="K15" s="197">
        <f t="shared" si="0"/>
        <v>278.04200000000003</v>
      </c>
      <c r="L15" s="197">
        <f t="shared" si="1"/>
        <v>360.89300000000003</v>
      </c>
      <c r="M15" s="197">
        <f t="shared" si="2"/>
        <v>580.89300000000003</v>
      </c>
      <c r="N15" s="196">
        <f t="shared" si="23"/>
        <v>568.01088842740103</v>
      </c>
      <c r="O15" s="197">
        <f t="shared" si="24"/>
        <v>195.57919890760127</v>
      </c>
      <c r="P15" s="197">
        <f t="shared" si="25"/>
        <v>247.17832555757852</v>
      </c>
      <c r="Q15" s="197">
        <f t="shared" si="26"/>
        <v>320.83256286982248</v>
      </c>
      <c r="R15" s="199">
        <f t="shared" si="27"/>
        <v>516.41176177742375</v>
      </c>
      <c r="S15" s="196">
        <f t="shared" si="62"/>
        <v>1673.5607898080716</v>
      </c>
      <c r="T15" s="197">
        <f t="shared" si="28"/>
        <v>830.5200273099681</v>
      </c>
      <c r="U15" s="197">
        <f t="shared" si="28"/>
        <v>6181.3451036640863</v>
      </c>
      <c r="V15" s="197">
        <f t="shared" si="28"/>
        <v>-4507.7843138560156</v>
      </c>
      <c r="W15" s="199">
        <f t="shared" si="28"/>
        <v>-3677.2642865460475</v>
      </c>
      <c r="Z15" s="204">
        <f t="shared" si="63"/>
        <v>4</v>
      </c>
      <c r="AA15" s="225">
        <f>'Energy NPV'!$D68</f>
        <v>11.617000000000001</v>
      </c>
      <c r="AB15" s="197">
        <f>'Energy margins'!$S$12</f>
        <v>55</v>
      </c>
      <c r="AC15" s="197">
        <f t="shared" si="29"/>
        <v>638.93500000000006</v>
      </c>
      <c r="AD15" s="197">
        <f>'Margins summary'!$U$14</f>
        <v>220</v>
      </c>
      <c r="AE15" s="197">
        <f t="shared" si="30"/>
        <v>858.93500000000006</v>
      </c>
      <c r="AF15" s="197"/>
      <c r="AG15" s="897">
        <f>'Energy NPV'!U68</f>
        <v>278.04200000000003</v>
      </c>
      <c r="AH15" s="197"/>
      <c r="AI15" s="197">
        <f t="shared" si="3"/>
        <v>417.06300000000005</v>
      </c>
      <c r="AJ15" s="197">
        <f t="shared" si="4"/>
        <v>221.87200000000001</v>
      </c>
      <c r="AK15" s="197">
        <f t="shared" si="5"/>
        <v>441.87200000000001</v>
      </c>
      <c r="AL15" s="196">
        <f t="shared" si="31"/>
        <v>568.01088842740103</v>
      </c>
      <c r="AM15" s="197">
        <f t="shared" si="32"/>
        <v>195.57919890760127</v>
      </c>
      <c r="AN15" s="197">
        <f t="shared" si="33"/>
        <v>370.76748833636776</v>
      </c>
      <c r="AO15" s="197">
        <f t="shared" si="34"/>
        <v>197.24340009103324</v>
      </c>
      <c r="AP15" s="199">
        <f t="shared" si="35"/>
        <v>392.82259899863448</v>
      </c>
      <c r="AQ15" s="196">
        <f t="shared" si="64"/>
        <v>1673.5607898080716</v>
      </c>
      <c r="AR15" s="197">
        <f t="shared" si="36"/>
        <v>830.5200273099681</v>
      </c>
      <c r="AS15" s="197">
        <f t="shared" si="36"/>
        <v>9272.017655496129</v>
      </c>
      <c r="AT15" s="197">
        <f t="shared" si="36"/>
        <v>-7598.4568656880583</v>
      </c>
      <c r="AU15" s="199">
        <f t="shared" si="36"/>
        <v>-6767.9368383780911</v>
      </c>
      <c r="AX15" s="204">
        <f t="shared" si="65"/>
        <v>4</v>
      </c>
      <c r="AY15" s="225">
        <f>'Energy NPV'!$D68</f>
        <v>11.617000000000001</v>
      </c>
      <c r="AZ15" s="197">
        <f>'Energy margins'!$S$12</f>
        <v>55</v>
      </c>
      <c r="BA15" s="197">
        <f t="shared" si="37"/>
        <v>638.93500000000006</v>
      </c>
      <c r="BB15" s="197">
        <f>'Margins summary'!$U$14</f>
        <v>220</v>
      </c>
      <c r="BC15" s="197">
        <f t="shared" si="38"/>
        <v>858.93500000000006</v>
      </c>
      <c r="BD15" s="197"/>
      <c r="BE15" s="897">
        <f>'Energy NPV'!U68</f>
        <v>278.04200000000003</v>
      </c>
      <c r="BF15" s="197"/>
      <c r="BG15" s="197">
        <f t="shared" si="6"/>
        <v>139.02100000000002</v>
      </c>
      <c r="BH15" s="197">
        <f t="shared" si="7"/>
        <v>499.91400000000004</v>
      </c>
      <c r="BI15" s="197">
        <f t="shared" si="8"/>
        <v>719.91399999999999</v>
      </c>
      <c r="BJ15" s="196">
        <f t="shared" si="39"/>
        <v>568.01088842740103</v>
      </c>
      <c r="BK15" s="197">
        <f t="shared" si="40"/>
        <v>195.57919890760127</v>
      </c>
      <c r="BL15" s="197">
        <f t="shared" si="41"/>
        <v>123.58916277878926</v>
      </c>
      <c r="BM15" s="197">
        <f t="shared" si="42"/>
        <v>444.42172564861175</v>
      </c>
      <c r="BN15" s="199">
        <f t="shared" si="43"/>
        <v>640.00092455621291</v>
      </c>
      <c r="BO15" s="196">
        <f t="shared" si="66"/>
        <v>1673.5607898080716</v>
      </c>
      <c r="BP15" s="197">
        <f t="shared" si="44"/>
        <v>830.5200273099681</v>
      </c>
      <c r="BQ15" s="197">
        <f t="shared" si="44"/>
        <v>3090.6725518320432</v>
      </c>
      <c r="BR15" s="197">
        <f t="shared" si="44"/>
        <v>-1417.111762023972</v>
      </c>
      <c r="BS15" s="199">
        <f t="shared" si="44"/>
        <v>-586.59173471400402</v>
      </c>
      <c r="BV15" s="204">
        <f t="shared" si="67"/>
        <v>4</v>
      </c>
      <c r="BW15" s="225">
        <f>'Energy NPV'!$D68</f>
        <v>11.617000000000001</v>
      </c>
      <c r="BX15" s="197">
        <f>'Energy margins'!$S$12</f>
        <v>55</v>
      </c>
      <c r="BY15" s="197">
        <f t="shared" si="45"/>
        <v>638.93500000000006</v>
      </c>
      <c r="BZ15" s="197">
        <f>'Margins summary'!$U$14</f>
        <v>220</v>
      </c>
      <c r="CA15" s="197">
        <f t="shared" si="46"/>
        <v>858.93500000000006</v>
      </c>
      <c r="CB15" s="197"/>
      <c r="CC15" s="897">
        <f>'Energy NPV'!U68</f>
        <v>278.04200000000003</v>
      </c>
      <c r="CD15" s="197"/>
      <c r="CE15" s="197">
        <f t="shared" si="9"/>
        <v>556.08400000000006</v>
      </c>
      <c r="CF15" s="197">
        <f t="shared" si="10"/>
        <v>82.850999999999999</v>
      </c>
      <c r="CG15" s="197">
        <f t="shared" si="11"/>
        <v>302.851</v>
      </c>
      <c r="CH15" s="196">
        <f t="shared" si="47"/>
        <v>568.01088842740103</v>
      </c>
      <c r="CI15" s="197">
        <f t="shared" si="48"/>
        <v>195.57919890760127</v>
      </c>
      <c r="CJ15" s="197">
        <f t="shared" si="49"/>
        <v>494.35665111515704</v>
      </c>
      <c r="CK15" s="197">
        <f t="shared" si="50"/>
        <v>73.654237312243964</v>
      </c>
      <c r="CL15" s="199">
        <f t="shared" si="51"/>
        <v>269.2334362198452</v>
      </c>
      <c r="CM15" s="196">
        <f t="shared" si="68"/>
        <v>1673.5607898080716</v>
      </c>
      <c r="CN15" s="197">
        <f t="shared" si="52"/>
        <v>830.5200273099681</v>
      </c>
      <c r="CO15" s="197">
        <f t="shared" si="53"/>
        <v>12362.690207328173</v>
      </c>
      <c r="CP15" s="197">
        <f t="shared" si="54"/>
        <v>-10689.129417520102</v>
      </c>
      <c r="CQ15" s="199">
        <f t="shared" si="55"/>
        <v>-9858.6093902101329</v>
      </c>
      <c r="CT15" s="204">
        <f t="shared" si="69"/>
        <v>4</v>
      </c>
      <c r="CU15" s="225">
        <f>'Energy NPV'!$D68</f>
        <v>11.617000000000001</v>
      </c>
      <c r="CV15" s="197">
        <f>'Energy margins'!$S$12</f>
        <v>55</v>
      </c>
      <c r="CW15" s="197">
        <f t="shared" si="12"/>
        <v>638.93500000000006</v>
      </c>
      <c r="CX15" s="197">
        <f>'Margins summary'!$U$14</f>
        <v>220</v>
      </c>
      <c r="CY15" s="197">
        <f t="shared" si="56"/>
        <v>858.93500000000006</v>
      </c>
      <c r="CZ15" s="197"/>
      <c r="DA15" s="897">
        <f>'Energy NPV'!U68</f>
        <v>278.04200000000003</v>
      </c>
      <c r="DB15" s="197"/>
      <c r="DC15" s="197">
        <f t="shared" si="13"/>
        <v>0</v>
      </c>
      <c r="DD15" s="197">
        <f t="shared" si="14"/>
        <v>638.93500000000006</v>
      </c>
      <c r="DE15" s="197">
        <f t="shared" si="15"/>
        <v>858.93500000000006</v>
      </c>
      <c r="DF15" s="196">
        <f t="shared" si="16"/>
        <v>568.01088842740103</v>
      </c>
      <c r="DG15" s="197">
        <f t="shared" si="17"/>
        <v>195.57919890760127</v>
      </c>
      <c r="DH15" s="197">
        <f t="shared" si="18"/>
        <v>0</v>
      </c>
      <c r="DI15" s="197">
        <f t="shared" si="19"/>
        <v>568.01088842740103</v>
      </c>
      <c r="DJ15" s="199">
        <f t="shared" si="20"/>
        <v>763.59008733500229</v>
      </c>
      <c r="DK15" s="196">
        <f t="shared" si="70"/>
        <v>1673.5607898080716</v>
      </c>
      <c r="DL15" s="197">
        <f t="shared" si="57"/>
        <v>830.5200273099681</v>
      </c>
      <c r="DM15" s="197">
        <f t="shared" si="58"/>
        <v>0</v>
      </c>
      <c r="DN15" s="197">
        <f t="shared" si="59"/>
        <v>1673.5607898080716</v>
      </c>
      <c r="DO15" s="199">
        <f t="shared" si="60"/>
        <v>2504.0808171180397</v>
      </c>
    </row>
    <row r="16" spans="1:175" x14ac:dyDescent="0.3">
      <c r="B16" s="204">
        <f t="shared" si="61"/>
        <v>5</v>
      </c>
      <c r="C16" s="225">
        <f>'Energy NPV'!$D69</f>
        <v>11.617000000000001</v>
      </c>
      <c r="D16" s="197">
        <f>'Energy margins'!$S$12</f>
        <v>55</v>
      </c>
      <c r="E16" s="197">
        <f t="shared" si="21"/>
        <v>638.93500000000006</v>
      </c>
      <c r="F16" s="197">
        <f>'Margins summary'!$U$14</f>
        <v>220</v>
      </c>
      <c r="G16" s="197">
        <f t="shared" si="22"/>
        <v>858.93500000000006</v>
      </c>
      <c r="H16" s="197"/>
      <c r="I16" s="897">
        <f>'Energy NPV'!U69</f>
        <v>278.04200000000003</v>
      </c>
      <c r="J16" s="197"/>
      <c r="K16" s="197">
        <f t="shared" si="0"/>
        <v>278.04200000000003</v>
      </c>
      <c r="L16" s="197">
        <f t="shared" si="1"/>
        <v>360.89300000000003</v>
      </c>
      <c r="M16" s="197">
        <f t="shared" si="2"/>
        <v>580.89300000000003</v>
      </c>
      <c r="N16" s="196">
        <f t="shared" si="23"/>
        <v>546.16431579557786</v>
      </c>
      <c r="O16" s="197">
        <f t="shared" si="24"/>
        <v>188.05692202653967</v>
      </c>
      <c r="P16" s="197">
        <f t="shared" si="25"/>
        <v>237.67146688228701</v>
      </c>
      <c r="Q16" s="197">
        <f t="shared" si="26"/>
        <v>308.4928489132908</v>
      </c>
      <c r="R16" s="199">
        <f t="shared" si="27"/>
        <v>496.54977093983047</v>
      </c>
      <c r="S16" s="196">
        <f t="shared" si="62"/>
        <v>2219.7251056036494</v>
      </c>
      <c r="T16" s="197">
        <f t="shared" si="28"/>
        <v>1018.5769493365078</v>
      </c>
      <c r="U16" s="197">
        <f t="shared" si="28"/>
        <v>6419.0165705463733</v>
      </c>
      <c r="V16" s="197">
        <f t="shared" si="28"/>
        <v>-4199.2914649427248</v>
      </c>
      <c r="W16" s="199">
        <f t="shared" si="28"/>
        <v>-3180.714515606217</v>
      </c>
      <c r="Z16" s="204">
        <f t="shared" si="63"/>
        <v>5</v>
      </c>
      <c r="AA16" s="225">
        <f>'Energy NPV'!$D69</f>
        <v>11.617000000000001</v>
      </c>
      <c r="AB16" s="197">
        <f>'Energy margins'!$S$12</f>
        <v>55</v>
      </c>
      <c r="AC16" s="197">
        <f t="shared" si="29"/>
        <v>638.93500000000006</v>
      </c>
      <c r="AD16" s="197">
        <f>'Margins summary'!$U$14</f>
        <v>220</v>
      </c>
      <c r="AE16" s="197">
        <f t="shared" si="30"/>
        <v>858.93500000000006</v>
      </c>
      <c r="AF16" s="197"/>
      <c r="AG16" s="897">
        <f>'Energy NPV'!U69</f>
        <v>278.04200000000003</v>
      </c>
      <c r="AH16" s="197"/>
      <c r="AI16" s="197">
        <f t="shared" si="3"/>
        <v>417.06300000000005</v>
      </c>
      <c r="AJ16" s="197">
        <f t="shared" si="4"/>
        <v>221.87200000000001</v>
      </c>
      <c r="AK16" s="197">
        <f t="shared" si="5"/>
        <v>441.87200000000001</v>
      </c>
      <c r="AL16" s="196">
        <f t="shared" si="31"/>
        <v>546.16431579557786</v>
      </c>
      <c r="AM16" s="197">
        <f t="shared" si="32"/>
        <v>188.05692202653967</v>
      </c>
      <c r="AN16" s="197">
        <f t="shared" si="33"/>
        <v>356.50720032343054</v>
      </c>
      <c r="AO16" s="197">
        <f t="shared" si="34"/>
        <v>189.65711547214732</v>
      </c>
      <c r="AP16" s="199">
        <f t="shared" si="35"/>
        <v>377.71403749868699</v>
      </c>
      <c r="AQ16" s="196">
        <f t="shared" si="64"/>
        <v>2219.7251056036494</v>
      </c>
      <c r="AR16" s="197">
        <f t="shared" si="36"/>
        <v>1018.5769493365078</v>
      </c>
      <c r="AS16" s="197">
        <f t="shared" si="36"/>
        <v>9628.5248558195599</v>
      </c>
      <c r="AT16" s="197">
        <f t="shared" si="36"/>
        <v>-7408.7997502159105</v>
      </c>
      <c r="AU16" s="199">
        <f t="shared" si="36"/>
        <v>-6390.2228008794045</v>
      </c>
      <c r="AX16" s="204">
        <f t="shared" si="65"/>
        <v>5</v>
      </c>
      <c r="AY16" s="225">
        <f>'Energy NPV'!$D69</f>
        <v>11.617000000000001</v>
      </c>
      <c r="AZ16" s="197">
        <f>'Energy margins'!$S$12</f>
        <v>55</v>
      </c>
      <c r="BA16" s="197">
        <f t="shared" si="37"/>
        <v>638.93500000000006</v>
      </c>
      <c r="BB16" s="197">
        <f>'Margins summary'!$U$14</f>
        <v>220</v>
      </c>
      <c r="BC16" s="197">
        <f t="shared" si="38"/>
        <v>858.93500000000006</v>
      </c>
      <c r="BD16" s="197"/>
      <c r="BE16" s="897">
        <f>'Energy NPV'!U69</f>
        <v>278.04200000000003</v>
      </c>
      <c r="BF16" s="197"/>
      <c r="BG16" s="197">
        <f t="shared" si="6"/>
        <v>139.02100000000002</v>
      </c>
      <c r="BH16" s="197">
        <f t="shared" si="7"/>
        <v>499.91400000000004</v>
      </c>
      <c r="BI16" s="197">
        <f t="shared" si="8"/>
        <v>719.91399999999999</v>
      </c>
      <c r="BJ16" s="196">
        <f t="shared" si="39"/>
        <v>546.16431579557786</v>
      </c>
      <c r="BK16" s="197">
        <f t="shared" si="40"/>
        <v>188.05692202653967</v>
      </c>
      <c r="BL16" s="197">
        <f t="shared" si="41"/>
        <v>118.8357334411435</v>
      </c>
      <c r="BM16" s="197">
        <f t="shared" si="42"/>
        <v>427.32858235443433</v>
      </c>
      <c r="BN16" s="199">
        <f t="shared" si="43"/>
        <v>615.38550438097388</v>
      </c>
      <c r="BO16" s="196">
        <f t="shared" si="66"/>
        <v>2219.7251056036494</v>
      </c>
      <c r="BP16" s="197">
        <f t="shared" si="44"/>
        <v>1018.5769493365078</v>
      </c>
      <c r="BQ16" s="197">
        <f t="shared" si="44"/>
        <v>3209.5082852731866</v>
      </c>
      <c r="BR16" s="197">
        <f t="shared" si="44"/>
        <v>-989.78317966953773</v>
      </c>
      <c r="BS16" s="199">
        <f t="shared" si="44"/>
        <v>28.793769666969865</v>
      </c>
      <c r="BV16" s="204">
        <f t="shared" si="67"/>
        <v>5</v>
      </c>
      <c r="BW16" s="225">
        <f>'Energy NPV'!$D69</f>
        <v>11.617000000000001</v>
      </c>
      <c r="BX16" s="197">
        <f>'Energy margins'!$S$12</f>
        <v>55</v>
      </c>
      <c r="BY16" s="197">
        <f t="shared" si="45"/>
        <v>638.93500000000006</v>
      </c>
      <c r="BZ16" s="197">
        <f>'Margins summary'!$U$14</f>
        <v>220</v>
      </c>
      <c r="CA16" s="197">
        <f t="shared" si="46"/>
        <v>858.93500000000006</v>
      </c>
      <c r="CB16" s="197"/>
      <c r="CC16" s="897">
        <f>'Energy NPV'!U69</f>
        <v>278.04200000000003</v>
      </c>
      <c r="CD16" s="197"/>
      <c r="CE16" s="197">
        <f t="shared" si="9"/>
        <v>556.08400000000006</v>
      </c>
      <c r="CF16" s="197">
        <f t="shared" si="10"/>
        <v>82.850999999999999</v>
      </c>
      <c r="CG16" s="197">
        <f t="shared" si="11"/>
        <v>302.851</v>
      </c>
      <c r="CH16" s="196">
        <f t="shared" si="47"/>
        <v>546.16431579557786</v>
      </c>
      <c r="CI16" s="197">
        <f t="shared" si="48"/>
        <v>188.05692202653967</v>
      </c>
      <c r="CJ16" s="197">
        <f t="shared" si="49"/>
        <v>475.34293376457401</v>
      </c>
      <c r="CK16" s="197">
        <f t="shared" si="50"/>
        <v>70.821382031003807</v>
      </c>
      <c r="CL16" s="199">
        <f t="shared" si="51"/>
        <v>258.87830405754346</v>
      </c>
      <c r="CM16" s="196">
        <f t="shared" si="68"/>
        <v>2219.7251056036494</v>
      </c>
      <c r="CN16" s="197">
        <f t="shared" si="52"/>
        <v>1018.5769493365078</v>
      </c>
      <c r="CO16" s="197">
        <f t="shared" si="53"/>
        <v>12838.033141092747</v>
      </c>
      <c r="CP16" s="197">
        <f t="shared" si="54"/>
        <v>-10618.308035489099</v>
      </c>
      <c r="CQ16" s="199">
        <f t="shared" si="55"/>
        <v>-9599.7310861525893</v>
      </c>
      <c r="CT16" s="204">
        <f t="shared" si="69"/>
        <v>5</v>
      </c>
      <c r="CU16" s="225">
        <f>'Energy NPV'!$D69</f>
        <v>11.617000000000001</v>
      </c>
      <c r="CV16" s="197">
        <f>'Energy margins'!$S$12</f>
        <v>55</v>
      </c>
      <c r="CW16" s="197">
        <f t="shared" si="12"/>
        <v>638.93500000000006</v>
      </c>
      <c r="CX16" s="197">
        <f>'Margins summary'!$U$14</f>
        <v>220</v>
      </c>
      <c r="CY16" s="197">
        <f t="shared" si="56"/>
        <v>858.93500000000006</v>
      </c>
      <c r="CZ16" s="197"/>
      <c r="DA16" s="897">
        <f>'Energy NPV'!U69</f>
        <v>278.04200000000003</v>
      </c>
      <c r="DB16" s="197"/>
      <c r="DC16" s="197">
        <f t="shared" si="13"/>
        <v>0</v>
      </c>
      <c r="DD16" s="197">
        <f t="shared" si="14"/>
        <v>638.93500000000006</v>
      </c>
      <c r="DE16" s="197">
        <f t="shared" si="15"/>
        <v>858.93500000000006</v>
      </c>
      <c r="DF16" s="196">
        <f t="shared" si="16"/>
        <v>546.16431579557786</v>
      </c>
      <c r="DG16" s="197">
        <f t="shared" si="17"/>
        <v>188.05692202653967</v>
      </c>
      <c r="DH16" s="197">
        <f t="shared" si="18"/>
        <v>0</v>
      </c>
      <c r="DI16" s="197">
        <f t="shared" si="19"/>
        <v>546.16431579557786</v>
      </c>
      <c r="DJ16" s="199">
        <f t="shared" si="20"/>
        <v>734.22123782211747</v>
      </c>
      <c r="DK16" s="196">
        <f t="shared" si="70"/>
        <v>2219.7251056036494</v>
      </c>
      <c r="DL16" s="197">
        <f t="shared" si="57"/>
        <v>1018.5769493365078</v>
      </c>
      <c r="DM16" s="197">
        <f t="shared" si="58"/>
        <v>0</v>
      </c>
      <c r="DN16" s="197">
        <f t="shared" si="59"/>
        <v>2219.7251056036494</v>
      </c>
      <c r="DO16" s="199">
        <f t="shared" si="60"/>
        <v>3238.3020549401572</v>
      </c>
    </row>
    <row r="17" spans="2:119" x14ac:dyDescent="0.3">
      <c r="B17" s="204">
        <f t="shared" si="61"/>
        <v>6</v>
      </c>
      <c r="C17" s="225">
        <f>'Energy NPV'!$D70</f>
        <v>11.617000000000001</v>
      </c>
      <c r="D17" s="197">
        <f>'Energy margins'!$S$12</f>
        <v>55</v>
      </c>
      <c r="E17" s="197">
        <f t="shared" si="21"/>
        <v>638.93500000000006</v>
      </c>
      <c r="F17" s="197">
        <f>'Margins summary'!$U$14</f>
        <v>220</v>
      </c>
      <c r="G17" s="197">
        <f t="shared" si="22"/>
        <v>858.93500000000006</v>
      </c>
      <c r="H17" s="197"/>
      <c r="I17" s="897">
        <f>'Energy NPV'!U70</f>
        <v>278.04200000000003</v>
      </c>
      <c r="J17" s="197"/>
      <c r="K17" s="197">
        <f t="shared" si="0"/>
        <v>278.04200000000003</v>
      </c>
      <c r="L17" s="197">
        <f t="shared" si="1"/>
        <v>360.89300000000003</v>
      </c>
      <c r="M17" s="197">
        <f t="shared" si="2"/>
        <v>580.89300000000003</v>
      </c>
      <c r="N17" s="196">
        <f t="shared" si="23"/>
        <v>525.15799595728629</v>
      </c>
      <c r="O17" s="197">
        <f t="shared" si="24"/>
        <v>180.82396348705734</v>
      </c>
      <c r="P17" s="197">
        <f t="shared" si="25"/>
        <v>228.53025661758366</v>
      </c>
      <c r="Q17" s="197">
        <f t="shared" si="26"/>
        <v>296.62773933970266</v>
      </c>
      <c r="R17" s="199">
        <f t="shared" si="27"/>
        <v>477.45170282676003</v>
      </c>
      <c r="S17" s="196">
        <f t="shared" si="62"/>
        <v>2744.8831015609358</v>
      </c>
      <c r="T17" s="197">
        <f t="shared" si="28"/>
        <v>1199.4009128235652</v>
      </c>
      <c r="U17" s="197">
        <f t="shared" si="28"/>
        <v>6647.5468271639566</v>
      </c>
      <c r="V17" s="197">
        <f t="shared" si="28"/>
        <v>-3902.6637256030222</v>
      </c>
      <c r="W17" s="199">
        <f t="shared" si="28"/>
        <v>-2703.2628127794569</v>
      </c>
      <c r="Z17" s="204">
        <f t="shared" si="63"/>
        <v>6</v>
      </c>
      <c r="AA17" s="225">
        <f>'Energy NPV'!$D70</f>
        <v>11.617000000000001</v>
      </c>
      <c r="AB17" s="197">
        <f>'Energy margins'!$S$12</f>
        <v>55</v>
      </c>
      <c r="AC17" s="197">
        <f t="shared" si="29"/>
        <v>638.93500000000006</v>
      </c>
      <c r="AD17" s="197">
        <f>'Margins summary'!$U$14</f>
        <v>220</v>
      </c>
      <c r="AE17" s="197">
        <f t="shared" si="30"/>
        <v>858.93500000000006</v>
      </c>
      <c r="AF17" s="197"/>
      <c r="AG17" s="897">
        <f>'Energy NPV'!U70</f>
        <v>278.04200000000003</v>
      </c>
      <c r="AH17" s="197"/>
      <c r="AI17" s="197">
        <f t="shared" si="3"/>
        <v>417.06300000000005</v>
      </c>
      <c r="AJ17" s="197">
        <f t="shared" si="4"/>
        <v>221.87200000000001</v>
      </c>
      <c r="AK17" s="197">
        <f t="shared" si="5"/>
        <v>441.87200000000001</v>
      </c>
      <c r="AL17" s="196">
        <f t="shared" si="31"/>
        <v>525.15799595728629</v>
      </c>
      <c r="AM17" s="197">
        <f t="shared" si="32"/>
        <v>180.82396348705734</v>
      </c>
      <c r="AN17" s="197">
        <f t="shared" si="33"/>
        <v>342.79538492637545</v>
      </c>
      <c r="AO17" s="197">
        <f t="shared" si="34"/>
        <v>182.36261103091087</v>
      </c>
      <c r="AP17" s="199">
        <f t="shared" si="35"/>
        <v>363.18657451796821</v>
      </c>
      <c r="AQ17" s="196">
        <f t="shared" si="64"/>
        <v>2744.8831015609358</v>
      </c>
      <c r="AR17" s="197">
        <f t="shared" si="36"/>
        <v>1199.4009128235652</v>
      </c>
      <c r="AS17" s="197">
        <f t="shared" si="36"/>
        <v>9971.3202407459357</v>
      </c>
      <c r="AT17" s="197">
        <f t="shared" si="36"/>
        <v>-7226.437139185</v>
      </c>
      <c r="AU17" s="199">
        <f t="shared" si="36"/>
        <v>-6027.0362263614361</v>
      </c>
      <c r="AX17" s="204">
        <f t="shared" si="65"/>
        <v>6</v>
      </c>
      <c r="AY17" s="225">
        <f>'Energy NPV'!$D70</f>
        <v>11.617000000000001</v>
      </c>
      <c r="AZ17" s="197">
        <f>'Energy margins'!$S$12</f>
        <v>55</v>
      </c>
      <c r="BA17" s="197">
        <f t="shared" si="37"/>
        <v>638.93500000000006</v>
      </c>
      <c r="BB17" s="197">
        <f>'Margins summary'!$U$14</f>
        <v>220</v>
      </c>
      <c r="BC17" s="197">
        <f t="shared" si="38"/>
        <v>858.93500000000006</v>
      </c>
      <c r="BD17" s="197"/>
      <c r="BE17" s="897">
        <f>'Energy NPV'!U70</f>
        <v>278.04200000000003</v>
      </c>
      <c r="BF17" s="197"/>
      <c r="BG17" s="197">
        <f t="shared" si="6"/>
        <v>139.02100000000002</v>
      </c>
      <c r="BH17" s="197">
        <f t="shared" si="7"/>
        <v>499.91400000000004</v>
      </c>
      <c r="BI17" s="197">
        <f t="shared" si="8"/>
        <v>719.91399999999999</v>
      </c>
      <c r="BJ17" s="196">
        <f t="shared" si="39"/>
        <v>525.15799595728629</v>
      </c>
      <c r="BK17" s="197">
        <f t="shared" si="40"/>
        <v>180.82396348705734</v>
      </c>
      <c r="BL17" s="197">
        <f t="shared" si="41"/>
        <v>114.26512830879183</v>
      </c>
      <c r="BM17" s="197">
        <f t="shared" si="42"/>
        <v>410.89286764849453</v>
      </c>
      <c r="BN17" s="199">
        <f t="shared" si="43"/>
        <v>591.71683113555184</v>
      </c>
      <c r="BO17" s="196">
        <f t="shared" si="66"/>
        <v>2744.8831015609358</v>
      </c>
      <c r="BP17" s="197">
        <f t="shared" si="44"/>
        <v>1199.4009128235652</v>
      </c>
      <c r="BQ17" s="197">
        <f t="shared" si="44"/>
        <v>3323.7734135819783</v>
      </c>
      <c r="BR17" s="197">
        <f t="shared" si="44"/>
        <v>-578.8903120210432</v>
      </c>
      <c r="BS17" s="199">
        <f t="shared" si="44"/>
        <v>620.51060080252171</v>
      </c>
      <c r="BV17" s="204">
        <f t="shared" si="67"/>
        <v>6</v>
      </c>
      <c r="BW17" s="225">
        <f>'Energy NPV'!$D70</f>
        <v>11.617000000000001</v>
      </c>
      <c r="BX17" s="197">
        <f>'Energy margins'!$S$12</f>
        <v>55</v>
      </c>
      <c r="BY17" s="197">
        <f t="shared" si="45"/>
        <v>638.93500000000006</v>
      </c>
      <c r="BZ17" s="197">
        <f>'Margins summary'!$U$14</f>
        <v>220</v>
      </c>
      <c r="CA17" s="197">
        <f t="shared" si="46"/>
        <v>858.93500000000006</v>
      </c>
      <c r="CB17" s="197"/>
      <c r="CC17" s="897">
        <f>'Energy NPV'!U70</f>
        <v>278.04200000000003</v>
      </c>
      <c r="CD17" s="197"/>
      <c r="CE17" s="197">
        <f t="shared" si="9"/>
        <v>556.08400000000006</v>
      </c>
      <c r="CF17" s="197">
        <f t="shared" si="10"/>
        <v>82.850999999999999</v>
      </c>
      <c r="CG17" s="197">
        <f t="shared" si="11"/>
        <v>302.851</v>
      </c>
      <c r="CH17" s="196">
        <f t="shared" si="47"/>
        <v>525.15799595728629</v>
      </c>
      <c r="CI17" s="197">
        <f t="shared" si="48"/>
        <v>180.82396348705734</v>
      </c>
      <c r="CJ17" s="197">
        <f t="shared" si="49"/>
        <v>457.06051323516732</v>
      </c>
      <c r="CK17" s="197">
        <f t="shared" si="50"/>
        <v>68.09748272211904</v>
      </c>
      <c r="CL17" s="199">
        <f t="shared" si="51"/>
        <v>248.92144620917637</v>
      </c>
      <c r="CM17" s="196">
        <f t="shared" si="68"/>
        <v>2744.8831015609358</v>
      </c>
      <c r="CN17" s="197">
        <f t="shared" si="52"/>
        <v>1199.4009128235652</v>
      </c>
      <c r="CO17" s="197">
        <f t="shared" si="53"/>
        <v>13295.093654327913</v>
      </c>
      <c r="CP17" s="197">
        <f t="shared" si="54"/>
        <v>-10550.210552766979</v>
      </c>
      <c r="CQ17" s="199">
        <f t="shared" si="55"/>
        <v>-9350.8096399434125</v>
      </c>
      <c r="CT17" s="204">
        <f t="shared" si="69"/>
        <v>6</v>
      </c>
      <c r="CU17" s="225">
        <f>'Energy NPV'!$D70</f>
        <v>11.617000000000001</v>
      </c>
      <c r="CV17" s="197">
        <f>'Energy margins'!$S$12</f>
        <v>55</v>
      </c>
      <c r="CW17" s="197">
        <f t="shared" si="12"/>
        <v>638.93500000000006</v>
      </c>
      <c r="CX17" s="197">
        <f>'Margins summary'!$U$14</f>
        <v>220</v>
      </c>
      <c r="CY17" s="197">
        <f t="shared" si="56"/>
        <v>858.93500000000006</v>
      </c>
      <c r="CZ17" s="197"/>
      <c r="DA17" s="897">
        <f>'Energy NPV'!U70</f>
        <v>278.04200000000003</v>
      </c>
      <c r="DB17" s="197"/>
      <c r="DC17" s="197">
        <f t="shared" si="13"/>
        <v>0</v>
      </c>
      <c r="DD17" s="197">
        <f t="shared" si="14"/>
        <v>638.93500000000006</v>
      </c>
      <c r="DE17" s="197">
        <f t="shared" si="15"/>
        <v>858.93500000000006</v>
      </c>
      <c r="DF17" s="196">
        <f t="shared" si="16"/>
        <v>525.15799595728629</v>
      </c>
      <c r="DG17" s="197">
        <f t="shared" si="17"/>
        <v>180.82396348705734</v>
      </c>
      <c r="DH17" s="197">
        <f t="shared" si="18"/>
        <v>0</v>
      </c>
      <c r="DI17" s="197">
        <f t="shared" si="19"/>
        <v>525.15799595728629</v>
      </c>
      <c r="DJ17" s="199">
        <f t="shared" si="20"/>
        <v>705.98195944434372</v>
      </c>
      <c r="DK17" s="196">
        <f t="shared" si="70"/>
        <v>2744.8831015609358</v>
      </c>
      <c r="DL17" s="197">
        <f t="shared" si="57"/>
        <v>1199.4009128235652</v>
      </c>
      <c r="DM17" s="197">
        <f t="shared" si="58"/>
        <v>0</v>
      </c>
      <c r="DN17" s="197">
        <f t="shared" si="59"/>
        <v>2744.8831015609358</v>
      </c>
      <c r="DO17" s="199">
        <f t="shared" si="60"/>
        <v>3944.284014384501</v>
      </c>
    </row>
    <row r="18" spans="2:119" x14ac:dyDescent="0.3">
      <c r="B18" s="204">
        <f t="shared" si="61"/>
        <v>7</v>
      </c>
      <c r="C18" s="225">
        <f>'Energy NPV'!$D71</f>
        <v>11.617000000000001</v>
      </c>
      <c r="D18" s="197">
        <f>'Energy margins'!$S$12</f>
        <v>55</v>
      </c>
      <c r="E18" s="197">
        <f t="shared" si="21"/>
        <v>638.93500000000006</v>
      </c>
      <c r="F18" s="197">
        <f>'Margins summary'!$U$14</f>
        <v>220</v>
      </c>
      <c r="G18" s="197">
        <f t="shared" si="22"/>
        <v>858.93500000000006</v>
      </c>
      <c r="H18" s="197"/>
      <c r="I18" s="897">
        <f>'Energy NPV'!U71</f>
        <v>278.04200000000003</v>
      </c>
      <c r="J18" s="197"/>
      <c r="K18" s="197">
        <f t="shared" si="0"/>
        <v>278.04200000000003</v>
      </c>
      <c r="L18" s="197">
        <f t="shared" si="1"/>
        <v>360.89300000000003</v>
      </c>
      <c r="M18" s="197">
        <f t="shared" si="2"/>
        <v>580.89300000000003</v>
      </c>
      <c r="N18" s="196">
        <f t="shared" si="23"/>
        <v>504.95961149739071</v>
      </c>
      <c r="O18" s="197">
        <f t="shared" si="24"/>
        <v>173.86919566063204</v>
      </c>
      <c r="P18" s="197">
        <f t="shared" si="25"/>
        <v>219.7406313630612</v>
      </c>
      <c r="Q18" s="197">
        <f t="shared" si="26"/>
        <v>285.21898013432951</v>
      </c>
      <c r="R18" s="199">
        <f t="shared" si="27"/>
        <v>459.08817579496156</v>
      </c>
      <c r="S18" s="196">
        <f t="shared" si="62"/>
        <v>3249.8427130583264</v>
      </c>
      <c r="T18" s="197">
        <f t="shared" si="28"/>
        <v>1373.2701084841974</v>
      </c>
      <c r="U18" s="197">
        <f t="shared" si="28"/>
        <v>6867.2874585270174</v>
      </c>
      <c r="V18" s="197">
        <f t="shared" si="28"/>
        <v>-3617.4447454686924</v>
      </c>
      <c r="W18" s="199">
        <f t="shared" si="28"/>
        <v>-2244.1746369844955</v>
      </c>
      <c r="Z18" s="204">
        <f t="shared" si="63"/>
        <v>7</v>
      </c>
      <c r="AA18" s="225">
        <f>'Energy NPV'!$D71</f>
        <v>11.617000000000001</v>
      </c>
      <c r="AB18" s="197">
        <f>'Energy margins'!$S$12</f>
        <v>55</v>
      </c>
      <c r="AC18" s="197">
        <f t="shared" si="29"/>
        <v>638.93500000000006</v>
      </c>
      <c r="AD18" s="197">
        <f>'Margins summary'!$U$14</f>
        <v>220</v>
      </c>
      <c r="AE18" s="197">
        <f t="shared" si="30"/>
        <v>858.93500000000006</v>
      </c>
      <c r="AF18" s="197"/>
      <c r="AG18" s="897">
        <f>'Energy NPV'!U71</f>
        <v>278.04200000000003</v>
      </c>
      <c r="AH18" s="197"/>
      <c r="AI18" s="197">
        <f t="shared" si="3"/>
        <v>417.06300000000005</v>
      </c>
      <c r="AJ18" s="197">
        <f t="shared" si="4"/>
        <v>221.87200000000001</v>
      </c>
      <c r="AK18" s="197">
        <f t="shared" si="5"/>
        <v>441.87200000000001</v>
      </c>
      <c r="AL18" s="196">
        <f t="shared" si="31"/>
        <v>504.95961149739071</v>
      </c>
      <c r="AM18" s="197">
        <f t="shared" si="32"/>
        <v>173.86919566063204</v>
      </c>
      <c r="AN18" s="197">
        <f t="shared" si="33"/>
        <v>329.6109470445918</v>
      </c>
      <c r="AO18" s="197">
        <f t="shared" si="34"/>
        <v>175.34866445279891</v>
      </c>
      <c r="AP18" s="199">
        <f t="shared" si="35"/>
        <v>349.21786011343096</v>
      </c>
      <c r="AQ18" s="196">
        <f t="shared" si="64"/>
        <v>3249.8427130583264</v>
      </c>
      <c r="AR18" s="197">
        <f t="shared" si="36"/>
        <v>1373.2701084841974</v>
      </c>
      <c r="AS18" s="197">
        <f t="shared" si="36"/>
        <v>10300.931187790527</v>
      </c>
      <c r="AT18" s="197">
        <f t="shared" si="36"/>
        <v>-7051.0884747322007</v>
      </c>
      <c r="AU18" s="199">
        <f t="shared" si="36"/>
        <v>-5677.8183662480051</v>
      </c>
      <c r="AX18" s="204">
        <f t="shared" si="65"/>
        <v>7</v>
      </c>
      <c r="AY18" s="225">
        <f>'Energy NPV'!$D71</f>
        <v>11.617000000000001</v>
      </c>
      <c r="AZ18" s="197">
        <f>'Energy margins'!$S$12</f>
        <v>55</v>
      </c>
      <c r="BA18" s="197">
        <f t="shared" si="37"/>
        <v>638.93500000000006</v>
      </c>
      <c r="BB18" s="197">
        <f>'Margins summary'!$U$14</f>
        <v>220</v>
      </c>
      <c r="BC18" s="197">
        <f t="shared" si="38"/>
        <v>858.93500000000006</v>
      </c>
      <c r="BD18" s="197"/>
      <c r="BE18" s="897">
        <f>'Energy NPV'!U71</f>
        <v>278.04200000000003</v>
      </c>
      <c r="BF18" s="197"/>
      <c r="BG18" s="197">
        <f t="shared" si="6"/>
        <v>139.02100000000002</v>
      </c>
      <c r="BH18" s="197">
        <f t="shared" si="7"/>
        <v>499.91400000000004</v>
      </c>
      <c r="BI18" s="197">
        <f t="shared" si="8"/>
        <v>719.91399999999999</v>
      </c>
      <c r="BJ18" s="196">
        <f t="shared" si="39"/>
        <v>504.95961149739071</v>
      </c>
      <c r="BK18" s="197">
        <f t="shared" si="40"/>
        <v>173.86919566063204</v>
      </c>
      <c r="BL18" s="197">
        <f t="shared" si="41"/>
        <v>109.8703156815306</v>
      </c>
      <c r="BM18" s="197">
        <f t="shared" si="42"/>
        <v>395.08929581586011</v>
      </c>
      <c r="BN18" s="199">
        <f t="shared" si="43"/>
        <v>568.9584914764921</v>
      </c>
      <c r="BO18" s="196">
        <f t="shared" si="66"/>
        <v>3249.8427130583264</v>
      </c>
      <c r="BP18" s="197">
        <f t="shared" si="44"/>
        <v>1373.2701084841974</v>
      </c>
      <c r="BQ18" s="197">
        <f t="shared" si="44"/>
        <v>3433.6437292635087</v>
      </c>
      <c r="BR18" s="197">
        <f t="shared" si="44"/>
        <v>-183.80101620518309</v>
      </c>
      <c r="BS18" s="199">
        <f t="shared" si="44"/>
        <v>1189.4690922790137</v>
      </c>
      <c r="BV18" s="204">
        <f t="shared" si="67"/>
        <v>7</v>
      </c>
      <c r="BW18" s="225">
        <f>'Energy NPV'!$D71</f>
        <v>11.617000000000001</v>
      </c>
      <c r="BX18" s="197">
        <f>'Energy margins'!$S$12</f>
        <v>55</v>
      </c>
      <c r="BY18" s="197">
        <f t="shared" si="45"/>
        <v>638.93500000000006</v>
      </c>
      <c r="BZ18" s="197">
        <f>'Margins summary'!$U$14</f>
        <v>220</v>
      </c>
      <c r="CA18" s="197">
        <f t="shared" si="46"/>
        <v>858.93500000000006</v>
      </c>
      <c r="CB18" s="197"/>
      <c r="CC18" s="897">
        <f>'Energy NPV'!U71</f>
        <v>278.04200000000003</v>
      </c>
      <c r="CD18" s="197"/>
      <c r="CE18" s="197">
        <f t="shared" si="9"/>
        <v>556.08400000000006</v>
      </c>
      <c r="CF18" s="197">
        <f t="shared" si="10"/>
        <v>82.850999999999999</v>
      </c>
      <c r="CG18" s="197">
        <f t="shared" si="11"/>
        <v>302.851</v>
      </c>
      <c r="CH18" s="196">
        <f t="shared" si="47"/>
        <v>504.95961149739071</v>
      </c>
      <c r="CI18" s="197">
        <f t="shared" si="48"/>
        <v>173.86919566063204</v>
      </c>
      <c r="CJ18" s="197">
        <f t="shared" si="49"/>
        <v>439.4812627261224</v>
      </c>
      <c r="CK18" s="197">
        <f t="shared" si="50"/>
        <v>65.478348771268301</v>
      </c>
      <c r="CL18" s="199">
        <f t="shared" si="51"/>
        <v>239.34754443190036</v>
      </c>
      <c r="CM18" s="196">
        <f t="shared" si="68"/>
        <v>3249.8427130583264</v>
      </c>
      <c r="CN18" s="197">
        <f t="shared" si="52"/>
        <v>1373.2701084841974</v>
      </c>
      <c r="CO18" s="197">
        <f t="shared" si="53"/>
        <v>13734.574917054035</v>
      </c>
      <c r="CP18" s="197">
        <f t="shared" si="54"/>
        <v>-10484.732203995711</v>
      </c>
      <c r="CQ18" s="199">
        <f t="shared" si="55"/>
        <v>-9111.4620955115115</v>
      </c>
      <c r="CT18" s="204">
        <f t="shared" si="69"/>
        <v>7</v>
      </c>
      <c r="CU18" s="225">
        <f>'Energy NPV'!$D71</f>
        <v>11.617000000000001</v>
      </c>
      <c r="CV18" s="197">
        <f>'Energy margins'!$S$12</f>
        <v>55</v>
      </c>
      <c r="CW18" s="197">
        <f t="shared" si="12"/>
        <v>638.93500000000006</v>
      </c>
      <c r="CX18" s="197">
        <f>'Margins summary'!$U$14</f>
        <v>220</v>
      </c>
      <c r="CY18" s="197">
        <f t="shared" si="56"/>
        <v>858.93500000000006</v>
      </c>
      <c r="CZ18" s="197"/>
      <c r="DA18" s="897">
        <f>'Energy NPV'!U71</f>
        <v>278.04200000000003</v>
      </c>
      <c r="DB18" s="197"/>
      <c r="DC18" s="197">
        <f t="shared" si="13"/>
        <v>0</v>
      </c>
      <c r="DD18" s="197">
        <f t="shared" si="14"/>
        <v>638.93500000000006</v>
      </c>
      <c r="DE18" s="197">
        <f t="shared" si="15"/>
        <v>858.93500000000006</v>
      </c>
      <c r="DF18" s="196">
        <f t="shared" si="16"/>
        <v>504.95961149739071</v>
      </c>
      <c r="DG18" s="197">
        <f t="shared" si="17"/>
        <v>173.86919566063204</v>
      </c>
      <c r="DH18" s="197">
        <f t="shared" si="18"/>
        <v>0</v>
      </c>
      <c r="DI18" s="197">
        <f t="shared" si="19"/>
        <v>504.95961149739071</v>
      </c>
      <c r="DJ18" s="199">
        <f t="shared" si="20"/>
        <v>678.82880715802276</v>
      </c>
      <c r="DK18" s="196">
        <f t="shared" si="70"/>
        <v>3249.8427130583264</v>
      </c>
      <c r="DL18" s="197">
        <f t="shared" si="57"/>
        <v>1373.2701084841974</v>
      </c>
      <c r="DM18" s="197">
        <f t="shared" si="58"/>
        <v>0</v>
      </c>
      <c r="DN18" s="197">
        <f t="shared" si="59"/>
        <v>3249.8427130583264</v>
      </c>
      <c r="DO18" s="199">
        <f t="shared" si="60"/>
        <v>4623.1128215425233</v>
      </c>
    </row>
    <row r="19" spans="2:119" x14ac:dyDescent="0.3">
      <c r="B19" s="204">
        <f t="shared" si="61"/>
        <v>8</v>
      </c>
      <c r="C19" s="225">
        <f>'Energy NPV'!$D72</f>
        <v>11.617000000000001</v>
      </c>
      <c r="D19" s="197">
        <f>'Energy margins'!$S$12</f>
        <v>55</v>
      </c>
      <c r="E19" s="197">
        <f t="shared" si="21"/>
        <v>638.93500000000006</v>
      </c>
      <c r="F19" s="197">
        <f>'Margins summary'!$U$14</f>
        <v>220</v>
      </c>
      <c r="G19" s="197">
        <f t="shared" si="22"/>
        <v>858.93500000000006</v>
      </c>
      <c r="H19" s="197"/>
      <c r="I19" s="897">
        <f>'Energy NPV'!U72</f>
        <v>278.04200000000003</v>
      </c>
      <c r="J19" s="197"/>
      <c r="K19" s="197">
        <f t="shared" si="0"/>
        <v>278.04200000000003</v>
      </c>
      <c r="L19" s="197">
        <f t="shared" si="1"/>
        <v>360.89300000000003</v>
      </c>
      <c r="M19" s="197">
        <f t="shared" si="2"/>
        <v>580.89300000000003</v>
      </c>
      <c r="N19" s="196">
        <f t="shared" si="23"/>
        <v>485.53808797826031</v>
      </c>
      <c r="O19" s="197">
        <f t="shared" si="24"/>
        <v>167.18191890445391</v>
      </c>
      <c r="P19" s="197">
        <f t="shared" si="25"/>
        <v>211.28906861832809</v>
      </c>
      <c r="Q19" s="197">
        <f t="shared" si="26"/>
        <v>274.24901935993222</v>
      </c>
      <c r="R19" s="199">
        <f t="shared" si="27"/>
        <v>441.43093826438616</v>
      </c>
      <c r="S19" s="196">
        <f t="shared" si="62"/>
        <v>3735.3808010365865</v>
      </c>
      <c r="T19" s="197">
        <f t="shared" si="28"/>
        <v>1540.4520273886512</v>
      </c>
      <c r="U19" s="197">
        <f t="shared" si="28"/>
        <v>7078.5765271453456</v>
      </c>
      <c r="V19" s="197">
        <f t="shared" si="28"/>
        <v>-3343.19572610876</v>
      </c>
      <c r="W19" s="199">
        <f t="shared" si="28"/>
        <v>-1802.7436987201093</v>
      </c>
      <c r="Z19" s="204">
        <f t="shared" si="63"/>
        <v>8</v>
      </c>
      <c r="AA19" s="225">
        <f>'Energy NPV'!$D72</f>
        <v>11.617000000000001</v>
      </c>
      <c r="AB19" s="197">
        <f>'Energy margins'!$S$12</f>
        <v>55</v>
      </c>
      <c r="AC19" s="197">
        <f t="shared" si="29"/>
        <v>638.93500000000006</v>
      </c>
      <c r="AD19" s="197">
        <f>'Margins summary'!$U$14</f>
        <v>220</v>
      </c>
      <c r="AE19" s="197">
        <f t="shared" si="30"/>
        <v>858.93500000000006</v>
      </c>
      <c r="AF19" s="197"/>
      <c r="AG19" s="897">
        <f>'Energy NPV'!U72</f>
        <v>278.04200000000003</v>
      </c>
      <c r="AH19" s="197"/>
      <c r="AI19" s="197">
        <f t="shared" si="3"/>
        <v>417.06300000000005</v>
      </c>
      <c r="AJ19" s="197">
        <f t="shared" si="4"/>
        <v>221.87200000000001</v>
      </c>
      <c r="AK19" s="197">
        <f t="shared" si="5"/>
        <v>441.87200000000001</v>
      </c>
      <c r="AL19" s="196">
        <f t="shared" si="31"/>
        <v>485.53808797826031</v>
      </c>
      <c r="AM19" s="197">
        <f t="shared" si="32"/>
        <v>167.18191890445391</v>
      </c>
      <c r="AN19" s="197">
        <f t="shared" si="33"/>
        <v>316.93360292749213</v>
      </c>
      <c r="AO19" s="197">
        <f t="shared" si="34"/>
        <v>168.60448505076818</v>
      </c>
      <c r="AP19" s="199">
        <f t="shared" si="35"/>
        <v>335.78640395522211</v>
      </c>
      <c r="AQ19" s="196">
        <f t="shared" si="64"/>
        <v>3735.3808010365865</v>
      </c>
      <c r="AR19" s="197">
        <f t="shared" si="36"/>
        <v>1540.4520273886512</v>
      </c>
      <c r="AS19" s="197">
        <f t="shared" si="36"/>
        <v>10617.86479071802</v>
      </c>
      <c r="AT19" s="197">
        <f t="shared" si="36"/>
        <v>-6882.4839896814328</v>
      </c>
      <c r="AU19" s="199">
        <f t="shared" si="36"/>
        <v>-5342.0319622927827</v>
      </c>
      <c r="AX19" s="204">
        <f t="shared" si="65"/>
        <v>8</v>
      </c>
      <c r="AY19" s="225">
        <f>'Energy NPV'!$D72</f>
        <v>11.617000000000001</v>
      </c>
      <c r="AZ19" s="197">
        <f>'Energy margins'!$S$12</f>
        <v>55</v>
      </c>
      <c r="BA19" s="197">
        <f t="shared" si="37"/>
        <v>638.93500000000006</v>
      </c>
      <c r="BB19" s="197">
        <f>'Margins summary'!$U$14</f>
        <v>220</v>
      </c>
      <c r="BC19" s="197">
        <f t="shared" si="38"/>
        <v>858.93500000000006</v>
      </c>
      <c r="BD19" s="197"/>
      <c r="BE19" s="897">
        <f>'Energy NPV'!U72</f>
        <v>278.04200000000003</v>
      </c>
      <c r="BF19" s="197"/>
      <c r="BG19" s="197">
        <f t="shared" si="6"/>
        <v>139.02100000000002</v>
      </c>
      <c r="BH19" s="197">
        <f t="shared" si="7"/>
        <v>499.91400000000004</v>
      </c>
      <c r="BI19" s="197">
        <f t="shared" si="8"/>
        <v>719.91399999999999</v>
      </c>
      <c r="BJ19" s="196">
        <f t="shared" si="39"/>
        <v>485.53808797826031</v>
      </c>
      <c r="BK19" s="197">
        <f t="shared" si="40"/>
        <v>167.18191890445391</v>
      </c>
      <c r="BL19" s="197">
        <f t="shared" si="41"/>
        <v>105.64453430916404</v>
      </c>
      <c r="BM19" s="197">
        <f t="shared" si="42"/>
        <v>379.89355366909626</v>
      </c>
      <c r="BN19" s="199">
        <f t="shared" si="43"/>
        <v>547.0754725735502</v>
      </c>
      <c r="BO19" s="196">
        <f t="shared" si="66"/>
        <v>3735.3808010365865</v>
      </c>
      <c r="BP19" s="197">
        <f t="shared" si="44"/>
        <v>1540.4520273886512</v>
      </c>
      <c r="BQ19" s="197">
        <f t="shared" si="44"/>
        <v>3539.2882635726728</v>
      </c>
      <c r="BR19" s="197">
        <f t="shared" si="44"/>
        <v>196.09253746391317</v>
      </c>
      <c r="BS19" s="199">
        <f t="shared" si="44"/>
        <v>1736.5445648525638</v>
      </c>
      <c r="BV19" s="204">
        <f t="shared" si="67"/>
        <v>8</v>
      </c>
      <c r="BW19" s="225">
        <f>'Energy NPV'!$D72</f>
        <v>11.617000000000001</v>
      </c>
      <c r="BX19" s="197">
        <f>'Energy margins'!$S$12</f>
        <v>55</v>
      </c>
      <c r="BY19" s="197">
        <f t="shared" si="45"/>
        <v>638.93500000000006</v>
      </c>
      <c r="BZ19" s="197">
        <f>'Margins summary'!$U$14</f>
        <v>220</v>
      </c>
      <c r="CA19" s="197">
        <f t="shared" si="46"/>
        <v>858.93500000000006</v>
      </c>
      <c r="CB19" s="197"/>
      <c r="CC19" s="897">
        <f>'Energy NPV'!U72</f>
        <v>278.04200000000003</v>
      </c>
      <c r="CD19" s="197"/>
      <c r="CE19" s="197">
        <f t="shared" si="9"/>
        <v>556.08400000000006</v>
      </c>
      <c r="CF19" s="197">
        <f t="shared" si="10"/>
        <v>82.850999999999999</v>
      </c>
      <c r="CG19" s="197">
        <f t="shared" si="11"/>
        <v>302.851</v>
      </c>
      <c r="CH19" s="196">
        <f t="shared" si="47"/>
        <v>485.53808797826031</v>
      </c>
      <c r="CI19" s="197">
        <f t="shared" si="48"/>
        <v>167.18191890445391</v>
      </c>
      <c r="CJ19" s="197">
        <f t="shared" si="49"/>
        <v>422.57813723665618</v>
      </c>
      <c r="CK19" s="197">
        <f t="shared" si="50"/>
        <v>62.959950741604139</v>
      </c>
      <c r="CL19" s="199">
        <f t="shared" si="51"/>
        <v>230.14186964605807</v>
      </c>
      <c r="CM19" s="196">
        <f t="shared" si="68"/>
        <v>3735.3808010365865</v>
      </c>
      <c r="CN19" s="197">
        <f t="shared" si="52"/>
        <v>1540.4520273886512</v>
      </c>
      <c r="CO19" s="197">
        <f t="shared" si="53"/>
        <v>14157.153054290691</v>
      </c>
      <c r="CP19" s="197">
        <f t="shared" si="54"/>
        <v>-10421.772253254107</v>
      </c>
      <c r="CQ19" s="199">
        <f t="shared" si="55"/>
        <v>-8881.3202258654528</v>
      </c>
      <c r="CT19" s="204">
        <f t="shared" si="69"/>
        <v>8</v>
      </c>
      <c r="CU19" s="225">
        <f>'Energy NPV'!$D72</f>
        <v>11.617000000000001</v>
      </c>
      <c r="CV19" s="197">
        <f>'Energy margins'!$S$12</f>
        <v>55</v>
      </c>
      <c r="CW19" s="197">
        <f t="shared" si="12"/>
        <v>638.93500000000006</v>
      </c>
      <c r="CX19" s="197">
        <f>'Margins summary'!$U$14</f>
        <v>220</v>
      </c>
      <c r="CY19" s="197">
        <f t="shared" si="56"/>
        <v>858.93500000000006</v>
      </c>
      <c r="CZ19" s="197"/>
      <c r="DA19" s="897">
        <f>'Energy NPV'!U72</f>
        <v>278.04200000000003</v>
      </c>
      <c r="DB19" s="197"/>
      <c r="DC19" s="197">
        <f t="shared" si="13"/>
        <v>0</v>
      </c>
      <c r="DD19" s="197">
        <f t="shared" si="14"/>
        <v>638.93500000000006</v>
      </c>
      <c r="DE19" s="197">
        <f t="shared" si="15"/>
        <v>858.93500000000006</v>
      </c>
      <c r="DF19" s="196">
        <f t="shared" si="16"/>
        <v>485.53808797826031</v>
      </c>
      <c r="DG19" s="197">
        <f t="shared" si="17"/>
        <v>167.18191890445391</v>
      </c>
      <c r="DH19" s="197">
        <f t="shared" si="18"/>
        <v>0</v>
      </c>
      <c r="DI19" s="197">
        <f t="shared" si="19"/>
        <v>485.53808797826031</v>
      </c>
      <c r="DJ19" s="199">
        <f t="shared" si="20"/>
        <v>652.7200068827143</v>
      </c>
      <c r="DK19" s="196">
        <f t="shared" si="70"/>
        <v>3735.3808010365865</v>
      </c>
      <c r="DL19" s="197">
        <f t="shared" si="57"/>
        <v>1540.4520273886512</v>
      </c>
      <c r="DM19" s="197">
        <f t="shared" si="58"/>
        <v>0</v>
      </c>
      <c r="DN19" s="197">
        <f t="shared" si="59"/>
        <v>3735.3808010365865</v>
      </c>
      <c r="DO19" s="199">
        <f t="shared" si="60"/>
        <v>5275.8328284252375</v>
      </c>
    </row>
    <row r="20" spans="2:119" x14ac:dyDescent="0.3">
      <c r="B20" s="204">
        <f t="shared" si="61"/>
        <v>9</v>
      </c>
      <c r="C20" s="225">
        <f>'Energy NPV'!$D73</f>
        <v>11.617000000000001</v>
      </c>
      <c r="D20" s="197">
        <f>'Energy margins'!$S$12</f>
        <v>55</v>
      </c>
      <c r="E20" s="197">
        <f t="shared" si="21"/>
        <v>638.93500000000006</v>
      </c>
      <c r="F20" s="197">
        <f>'Margins summary'!$U$14</f>
        <v>220</v>
      </c>
      <c r="G20" s="197">
        <f t="shared" si="22"/>
        <v>858.93500000000006</v>
      </c>
      <c r="H20" s="197"/>
      <c r="I20" s="897">
        <f>'Energy NPV'!U73</f>
        <v>278.04200000000003</v>
      </c>
      <c r="J20" s="197"/>
      <c r="K20" s="197">
        <f t="shared" si="0"/>
        <v>278.04200000000003</v>
      </c>
      <c r="L20" s="197">
        <f t="shared" si="1"/>
        <v>360.89300000000003</v>
      </c>
      <c r="M20" s="197">
        <f t="shared" si="2"/>
        <v>580.89300000000003</v>
      </c>
      <c r="N20" s="196">
        <f t="shared" si="23"/>
        <v>466.86354613294253</v>
      </c>
      <c r="O20" s="197">
        <f t="shared" si="24"/>
        <v>160.75184510043644</v>
      </c>
      <c r="P20" s="197">
        <f t="shared" si="25"/>
        <v>203.1625659791616</v>
      </c>
      <c r="Q20" s="197">
        <f t="shared" si="26"/>
        <v>263.70098015378096</v>
      </c>
      <c r="R20" s="199">
        <f t="shared" si="27"/>
        <v>424.45282525421737</v>
      </c>
      <c r="S20" s="196">
        <f t="shared" si="62"/>
        <v>4202.2443471695287</v>
      </c>
      <c r="T20" s="197">
        <f t="shared" si="28"/>
        <v>1701.2038724890876</v>
      </c>
      <c r="U20" s="197">
        <f t="shared" si="28"/>
        <v>7281.7390931245072</v>
      </c>
      <c r="V20" s="197">
        <f t="shared" si="28"/>
        <v>-3079.494745954979</v>
      </c>
      <c r="W20" s="199">
        <f t="shared" si="28"/>
        <v>-1378.2908734658918</v>
      </c>
      <c r="Z20" s="204">
        <f t="shared" si="63"/>
        <v>9</v>
      </c>
      <c r="AA20" s="225">
        <f>'Energy NPV'!$D73</f>
        <v>11.617000000000001</v>
      </c>
      <c r="AB20" s="197">
        <f>'Energy margins'!$S$12</f>
        <v>55</v>
      </c>
      <c r="AC20" s="197">
        <f t="shared" si="29"/>
        <v>638.93500000000006</v>
      </c>
      <c r="AD20" s="197">
        <f>'Margins summary'!$U$14</f>
        <v>220</v>
      </c>
      <c r="AE20" s="197">
        <f t="shared" si="30"/>
        <v>858.93500000000006</v>
      </c>
      <c r="AF20" s="197"/>
      <c r="AG20" s="897">
        <f>'Energy NPV'!U73</f>
        <v>278.04200000000003</v>
      </c>
      <c r="AH20" s="197"/>
      <c r="AI20" s="197">
        <f t="shared" si="3"/>
        <v>417.06300000000005</v>
      </c>
      <c r="AJ20" s="197">
        <f t="shared" si="4"/>
        <v>221.87200000000001</v>
      </c>
      <c r="AK20" s="197">
        <f t="shared" si="5"/>
        <v>441.87200000000001</v>
      </c>
      <c r="AL20" s="196">
        <f t="shared" si="31"/>
        <v>466.86354613294253</v>
      </c>
      <c r="AM20" s="197">
        <f t="shared" si="32"/>
        <v>160.75184510043644</v>
      </c>
      <c r="AN20" s="197">
        <f t="shared" si="33"/>
        <v>304.74384896874238</v>
      </c>
      <c r="AO20" s="197">
        <f t="shared" si="34"/>
        <v>162.11969716420015</v>
      </c>
      <c r="AP20" s="199">
        <f t="shared" si="35"/>
        <v>322.87154226463656</v>
      </c>
      <c r="AQ20" s="196">
        <f t="shared" si="64"/>
        <v>4202.2443471695287</v>
      </c>
      <c r="AR20" s="197">
        <f t="shared" si="36"/>
        <v>1701.2038724890876</v>
      </c>
      <c r="AS20" s="197">
        <f t="shared" si="36"/>
        <v>10922.608639686763</v>
      </c>
      <c r="AT20" s="197">
        <f t="shared" si="36"/>
        <v>-6720.3642925172326</v>
      </c>
      <c r="AU20" s="199">
        <f t="shared" si="36"/>
        <v>-5019.1604200281463</v>
      </c>
      <c r="AX20" s="204">
        <f t="shared" si="65"/>
        <v>9</v>
      </c>
      <c r="AY20" s="225">
        <f>'Energy NPV'!$D73</f>
        <v>11.617000000000001</v>
      </c>
      <c r="AZ20" s="197">
        <f>'Energy margins'!$S$12</f>
        <v>55</v>
      </c>
      <c r="BA20" s="197">
        <f t="shared" si="37"/>
        <v>638.93500000000006</v>
      </c>
      <c r="BB20" s="197">
        <f>'Margins summary'!$U$14</f>
        <v>220</v>
      </c>
      <c r="BC20" s="197">
        <f t="shared" si="38"/>
        <v>858.93500000000006</v>
      </c>
      <c r="BD20" s="197"/>
      <c r="BE20" s="897">
        <f>'Energy NPV'!U73</f>
        <v>278.04200000000003</v>
      </c>
      <c r="BF20" s="197"/>
      <c r="BG20" s="197">
        <f t="shared" si="6"/>
        <v>139.02100000000002</v>
      </c>
      <c r="BH20" s="197">
        <f t="shared" si="7"/>
        <v>499.91400000000004</v>
      </c>
      <c r="BI20" s="197">
        <f t="shared" si="8"/>
        <v>719.91399999999999</v>
      </c>
      <c r="BJ20" s="196">
        <f t="shared" si="39"/>
        <v>466.86354613294253</v>
      </c>
      <c r="BK20" s="197">
        <f t="shared" si="40"/>
        <v>160.75184510043644</v>
      </c>
      <c r="BL20" s="197">
        <f t="shared" si="41"/>
        <v>101.5812829895808</v>
      </c>
      <c r="BM20" s="197">
        <f t="shared" si="42"/>
        <v>365.28226314336177</v>
      </c>
      <c r="BN20" s="199">
        <f t="shared" si="43"/>
        <v>526.03410824379819</v>
      </c>
      <c r="BO20" s="196">
        <f t="shared" si="66"/>
        <v>4202.2443471695287</v>
      </c>
      <c r="BP20" s="197">
        <f t="shared" si="44"/>
        <v>1701.2038724890876</v>
      </c>
      <c r="BQ20" s="197">
        <f t="shared" si="44"/>
        <v>3640.8695465622536</v>
      </c>
      <c r="BR20" s="197">
        <f t="shared" si="44"/>
        <v>561.37480060727489</v>
      </c>
      <c r="BS20" s="199">
        <f t="shared" si="44"/>
        <v>2262.5786730963619</v>
      </c>
      <c r="BV20" s="204">
        <f t="shared" si="67"/>
        <v>9</v>
      </c>
      <c r="BW20" s="225">
        <f>'Energy NPV'!$D73</f>
        <v>11.617000000000001</v>
      </c>
      <c r="BX20" s="197">
        <f>'Energy margins'!$S$12</f>
        <v>55</v>
      </c>
      <c r="BY20" s="197">
        <f t="shared" si="45"/>
        <v>638.93500000000006</v>
      </c>
      <c r="BZ20" s="197">
        <f>'Margins summary'!$U$14</f>
        <v>220</v>
      </c>
      <c r="CA20" s="197">
        <f t="shared" si="46"/>
        <v>858.93500000000006</v>
      </c>
      <c r="CB20" s="197"/>
      <c r="CC20" s="897">
        <f>'Energy NPV'!U73</f>
        <v>278.04200000000003</v>
      </c>
      <c r="CD20" s="197"/>
      <c r="CE20" s="197">
        <f t="shared" si="9"/>
        <v>556.08400000000006</v>
      </c>
      <c r="CF20" s="197">
        <f t="shared" si="10"/>
        <v>82.850999999999999</v>
      </c>
      <c r="CG20" s="197">
        <f t="shared" si="11"/>
        <v>302.851</v>
      </c>
      <c r="CH20" s="196">
        <f t="shared" si="47"/>
        <v>466.86354613294253</v>
      </c>
      <c r="CI20" s="197">
        <f t="shared" si="48"/>
        <v>160.75184510043644</v>
      </c>
      <c r="CJ20" s="197">
        <f t="shared" si="49"/>
        <v>406.3251319583232</v>
      </c>
      <c r="CK20" s="197">
        <f t="shared" si="50"/>
        <v>60.538414174619355</v>
      </c>
      <c r="CL20" s="199">
        <f t="shared" si="51"/>
        <v>221.29025927505577</v>
      </c>
      <c r="CM20" s="196">
        <f t="shared" si="68"/>
        <v>4202.2443471695287</v>
      </c>
      <c r="CN20" s="197">
        <f t="shared" si="52"/>
        <v>1701.2038724890876</v>
      </c>
      <c r="CO20" s="197">
        <f t="shared" si="53"/>
        <v>14563.478186249014</v>
      </c>
      <c r="CP20" s="197">
        <f t="shared" si="54"/>
        <v>-10361.233839079487</v>
      </c>
      <c r="CQ20" s="199">
        <f t="shared" si="55"/>
        <v>-8660.0299665903967</v>
      </c>
      <c r="CT20" s="204">
        <f t="shared" si="69"/>
        <v>9</v>
      </c>
      <c r="CU20" s="225">
        <f>'Energy NPV'!$D73</f>
        <v>11.617000000000001</v>
      </c>
      <c r="CV20" s="197">
        <f>'Energy margins'!$S$12</f>
        <v>55</v>
      </c>
      <c r="CW20" s="197">
        <f t="shared" si="12"/>
        <v>638.93500000000006</v>
      </c>
      <c r="CX20" s="197">
        <f>'Margins summary'!$U$14</f>
        <v>220</v>
      </c>
      <c r="CY20" s="197">
        <f t="shared" si="56"/>
        <v>858.93500000000006</v>
      </c>
      <c r="CZ20" s="197"/>
      <c r="DA20" s="897">
        <f>'Energy NPV'!U73</f>
        <v>278.04200000000003</v>
      </c>
      <c r="DB20" s="197"/>
      <c r="DC20" s="197">
        <f t="shared" si="13"/>
        <v>0</v>
      </c>
      <c r="DD20" s="197">
        <f t="shared" si="14"/>
        <v>638.93500000000006</v>
      </c>
      <c r="DE20" s="197">
        <f t="shared" si="15"/>
        <v>858.93500000000006</v>
      </c>
      <c r="DF20" s="196">
        <f t="shared" si="16"/>
        <v>466.86354613294253</v>
      </c>
      <c r="DG20" s="197">
        <f t="shared" si="17"/>
        <v>160.75184510043644</v>
      </c>
      <c r="DH20" s="197">
        <f t="shared" si="18"/>
        <v>0</v>
      </c>
      <c r="DI20" s="197">
        <f t="shared" si="19"/>
        <v>466.86354613294253</v>
      </c>
      <c r="DJ20" s="199">
        <f t="shared" si="20"/>
        <v>627.615391233379</v>
      </c>
      <c r="DK20" s="196">
        <f t="shared" si="70"/>
        <v>4202.2443471695287</v>
      </c>
      <c r="DL20" s="197">
        <f t="shared" si="57"/>
        <v>1701.2038724890876</v>
      </c>
      <c r="DM20" s="197">
        <f t="shared" si="58"/>
        <v>0</v>
      </c>
      <c r="DN20" s="197">
        <f t="shared" si="59"/>
        <v>4202.2443471695287</v>
      </c>
      <c r="DO20" s="199">
        <f t="shared" si="60"/>
        <v>5903.4482196586168</v>
      </c>
    </row>
    <row r="21" spans="2:119" x14ac:dyDescent="0.3">
      <c r="B21" s="204">
        <f t="shared" si="61"/>
        <v>10</v>
      </c>
      <c r="C21" s="225">
        <f>'Energy NPV'!$D74</f>
        <v>11.617000000000001</v>
      </c>
      <c r="D21" s="197">
        <f>'Energy margins'!$S$12</f>
        <v>55</v>
      </c>
      <c r="E21" s="197">
        <f t="shared" si="21"/>
        <v>638.93500000000006</v>
      </c>
      <c r="F21" s="197">
        <f>'Margins summary'!$U$14</f>
        <v>220</v>
      </c>
      <c r="G21" s="197">
        <f t="shared" si="22"/>
        <v>858.93500000000006</v>
      </c>
      <c r="H21" s="197"/>
      <c r="I21" s="897">
        <f>'Energy NPV'!U74</f>
        <v>278.04200000000003</v>
      </c>
      <c r="J21" s="197"/>
      <c r="K21" s="197">
        <f t="shared" si="0"/>
        <v>278.04200000000003</v>
      </c>
      <c r="L21" s="197">
        <f t="shared" si="1"/>
        <v>360.89300000000003</v>
      </c>
      <c r="M21" s="197">
        <f t="shared" si="2"/>
        <v>580.89300000000003</v>
      </c>
      <c r="N21" s="196">
        <f t="shared" si="23"/>
        <v>448.90725589706011</v>
      </c>
      <c r="O21" s="197">
        <f t="shared" si="24"/>
        <v>154.5690818273427</v>
      </c>
      <c r="P21" s="197">
        <f t="shared" si="25"/>
        <v>195.34862113380922</v>
      </c>
      <c r="Q21" s="197">
        <f t="shared" si="26"/>
        <v>253.55863476325089</v>
      </c>
      <c r="R21" s="199">
        <f t="shared" si="27"/>
        <v>408.12771659059359</v>
      </c>
      <c r="S21" s="196">
        <f t="shared" si="62"/>
        <v>4651.1516030665889</v>
      </c>
      <c r="T21" s="197">
        <f t="shared" si="28"/>
        <v>1855.7729543164303</v>
      </c>
      <c r="U21" s="197">
        <f t="shared" si="28"/>
        <v>7477.0877142583167</v>
      </c>
      <c r="V21" s="197">
        <f t="shared" si="28"/>
        <v>-2825.9361111917278</v>
      </c>
      <c r="W21" s="199">
        <f t="shared" si="28"/>
        <v>-970.16315687529823</v>
      </c>
      <c r="Z21" s="204">
        <f t="shared" si="63"/>
        <v>10</v>
      </c>
      <c r="AA21" s="225">
        <f>'Energy NPV'!$D74</f>
        <v>11.617000000000001</v>
      </c>
      <c r="AB21" s="197">
        <f>'Energy margins'!$S$12</f>
        <v>55</v>
      </c>
      <c r="AC21" s="197">
        <f t="shared" si="29"/>
        <v>638.93500000000006</v>
      </c>
      <c r="AD21" s="197">
        <f>'Margins summary'!$U$14</f>
        <v>220</v>
      </c>
      <c r="AE21" s="197">
        <f t="shared" si="30"/>
        <v>858.93500000000006</v>
      </c>
      <c r="AF21" s="197"/>
      <c r="AG21" s="897">
        <f>'Energy NPV'!U74</f>
        <v>278.04200000000003</v>
      </c>
      <c r="AH21" s="197"/>
      <c r="AI21" s="197">
        <f t="shared" si="3"/>
        <v>417.06300000000005</v>
      </c>
      <c r="AJ21" s="197">
        <f t="shared" si="4"/>
        <v>221.87200000000001</v>
      </c>
      <c r="AK21" s="197">
        <f t="shared" si="5"/>
        <v>441.87200000000001</v>
      </c>
      <c r="AL21" s="196">
        <f t="shared" si="31"/>
        <v>448.90725589706011</v>
      </c>
      <c r="AM21" s="197">
        <f t="shared" si="32"/>
        <v>154.5690818273427</v>
      </c>
      <c r="AN21" s="197">
        <f t="shared" si="33"/>
        <v>293.0229317007138</v>
      </c>
      <c r="AO21" s="197">
        <f t="shared" si="34"/>
        <v>155.88432419634628</v>
      </c>
      <c r="AP21" s="199">
        <f t="shared" si="35"/>
        <v>310.45340602368901</v>
      </c>
      <c r="AQ21" s="196">
        <f t="shared" si="64"/>
        <v>4651.1516030665889</v>
      </c>
      <c r="AR21" s="197">
        <f t="shared" si="36"/>
        <v>1855.7729543164303</v>
      </c>
      <c r="AS21" s="197">
        <f t="shared" si="36"/>
        <v>11215.631571387477</v>
      </c>
      <c r="AT21" s="197">
        <f t="shared" si="36"/>
        <v>-6564.4799683208867</v>
      </c>
      <c r="AU21" s="199">
        <f t="shared" si="36"/>
        <v>-4708.7070140044571</v>
      </c>
      <c r="AX21" s="204">
        <f t="shared" si="65"/>
        <v>10</v>
      </c>
      <c r="AY21" s="225">
        <f>'Energy NPV'!$D74</f>
        <v>11.617000000000001</v>
      </c>
      <c r="AZ21" s="197">
        <f>'Energy margins'!$S$12</f>
        <v>55</v>
      </c>
      <c r="BA21" s="197">
        <f t="shared" si="37"/>
        <v>638.93500000000006</v>
      </c>
      <c r="BB21" s="197">
        <f>'Margins summary'!$U$14</f>
        <v>220</v>
      </c>
      <c r="BC21" s="197">
        <f t="shared" si="38"/>
        <v>858.93500000000006</v>
      </c>
      <c r="BD21" s="197"/>
      <c r="BE21" s="897">
        <f>'Energy NPV'!U74</f>
        <v>278.04200000000003</v>
      </c>
      <c r="BF21" s="197"/>
      <c r="BG21" s="197">
        <f t="shared" si="6"/>
        <v>139.02100000000002</v>
      </c>
      <c r="BH21" s="197">
        <f t="shared" si="7"/>
        <v>499.91400000000004</v>
      </c>
      <c r="BI21" s="197">
        <f t="shared" si="8"/>
        <v>719.91399999999999</v>
      </c>
      <c r="BJ21" s="196">
        <f t="shared" si="39"/>
        <v>448.90725589706011</v>
      </c>
      <c r="BK21" s="197">
        <f t="shared" si="40"/>
        <v>154.5690818273427</v>
      </c>
      <c r="BL21" s="197">
        <f t="shared" si="41"/>
        <v>97.674310566904609</v>
      </c>
      <c r="BM21" s="197">
        <f t="shared" si="42"/>
        <v>351.23294533015547</v>
      </c>
      <c r="BN21" s="199">
        <f t="shared" si="43"/>
        <v>505.80202715749817</v>
      </c>
      <c r="BO21" s="196">
        <f t="shared" si="66"/>
        <v>4651.1516030665889</v>
      </c>
      <c r="BP21" s="197">
        <f t="shared" si="44"/>
        <v>1855.7729543164303</v>
      </c>
      <c r="BQ21" s="197">
        <f t="shared" si="44"/>
        <v>3738.5438571291584</v>
      </c>
      <c r="BR21" s="197">
        <f t="shared" si="44"/>
        <v>912.60774593743031</v>
      </c>
      <c r="BS21" s="199">
        <f t="shared" si="44"/>
        <v>2768.3807002538601</v>
      </c>
      <c r="BV21" s="204">
        <f t="shared" si="67"/>
        <v>10</v>
      </c>
      <c r="BW21" s="225">
        <f>'Energy NPV'!$D74</f>
        <v>11.617000000000001</v>
      </c>
      <c r="BX21" s="197">
        <f>'Energy margins'!$S$12</f>
        <v>55</v>
      </c>
      <c r="BY21" s="197">
        <f t="shared" si="45"/>
        <v>638.93500000000006</v>
      </c>
      <c r="BZ21" s="197">
        <f>'Margins summary'!$U$14</f>
        <v>220</v>
      </c>
      <c r="CA21" s="197">
        <f t="shared" si="46"/>
        <v>858.93500000000006</v>
      </c>
      <c r="CB21" s="197"/>
      <c r="CC21" s="897">
        <f>'Energy NPV'!U74</f>
        <v>278.04200000000003</v>
      </c>
      <c r="CD21" s="197"/>
      <c r="CE21" s="197">
        <f t="shared" si="9"/>
        <v>556.08400000000006</v>
      </c>
      <c r="CF21" s="197">
        <f t="shared" si="10"/>
        <v>82.850999999999999</v>
      </c>
      <c r="CG21" s="197">
        <f t="shared" si="11"/>
        <v>302.851</v>
      </c>
      <c r="CH21" s="196">
        <f t="shared" si="47"/>
        <v>448.90725589706011</v>
      </c>
      <c r="CI21" s="197">
        <f t="shared" si="48"/>
        <v>154.5690818273427</v>
      </c>
      <c r="CJ21" s="197">
        <f t="shared" si="49"/>
        <v>390.69724226761844</v>
      </c>
      <c r="CK21" s="197">
        <f t="shared" si="50"/>
        <v>58.210013629441683</v>
      </c>
      <c r="CL21" s="199">
        <f t="shared" si="51"/>
        <v>212.7790954567844</v>
      </c>
      <c r="CM21" s="196">
        <f t="shared" si="68"/>
        <v>4651.1516030665889</v>
      </c>
      <c r="CN21" s="197">
        <f t="shared" si="52"/>
        <v>1855.7729543164303</v>
      </c>
      <c r="CO21" s="197">
        <f t="shared" si="53"/>
        <v>14954.175428516633</v>
      </c>
      <c r="CP21" s="197">
        <f t="shared" si="54"/>
        <v>-10303.023825450045</v>
      </c>
      <c r="CQ21" s="199">
        <f t="shared" si="55"/>
        <v>-8447.2508711336122</v>
      </c>
      <c r="CT21" s="204">
        <f t="shared" si="69"/>
        <v>10</v>
      </c>
      <c r="CU21" s="225">
        <f>'Energy NPV'!$D74</f>
        <v>11.617000000000001</v>
      </c>
      <c r="CV21" s="197">
        <f>'Energy margins'!$S$12</f>
        <v>55</v>
      </c>
      <c r="CW21" s="197">
        <f t="shared" si="12"/>
        <v>638.93500000000006</v>
      </c>
      <c r="CX21" s="197">
        <f>'Margins summary'!$U$14</f>
        <v>220</v>
      </c>
      <c r="CY21" s="197">
        <f t="shared" si="56"/>
        <v>858.93500000000006</v>
      </c>
      <c r="CZ21" s="197"/>
      <c r="DA21" s="897">
        <f>'Energy NPV'!U74</f>
        <v>278.04200000000003</v>
      </c>
      <c r="DB21" s="197"/>
      <c r="DC21" s="197">
        <f t="shared" si="13"/>
        <v>0</v>
      </c>
      <c r="DD21" s="197">
        <f t="shared" si="14"/>
        <v>638.93500000000006</v>
      </c>
      <c r="DE21" s="197">
        <f t="shared" si="15"/>
        <v>858.93500000000006</v>
      </c>
      <c r="DF21" s="196">
        <f t="shared" si="16"/>
        <v>448.90725589706011</v>
      </c>
      <c r="DG21" s="197">
        <f t="shared" si="17"/>
        <v>154.5690818273427</v>
      </c>
      <c r="DH21" s="197">
        <f t="shared" si="18"/>
        <v>0</v>
      </c>
      <c r="DI21" s="197">
        <f t="shared" si="19"/>
        <v>448.90725589706011</v>
      </c>
      <c r="DJ21" s="199">
        <f t="shared" si="20"/>
        <v>603.47633772440281</v>
      </c>
      <c r="DK21" s="196">
        <f t="shared" si="70"/>
        <v>4651.1516030665889</v>
      </c>
      <c r="DL21" s="197">
        <f t="shared" si="57"/>
        <v>1855.7729543164303</v>
      </c>
      <c r="DM21" s="197">
        <f t="shared" si="58"/>
        <v>0</v>
      </c>
      <c r="DN21" s="197">
        <f t="shared" si="59"/>
        <v>4651.1516030665889</v>
      </c>
      <c r="DO21" s="199">
        <f t="shared" si="60"/>
        <v>6506.9245573830194</v>
      </c>
    </row>
    <row r="22" spans="2:119" x14ac:dyDescent="0.3">
      <c r="B22" s="204">
        <f t="shared" si="61"/>
        <v>11</v>
      </c>
      <c r="C22" s="225">
        <f>'Energy NPV'!$D75</f>
        <v>11.617000000000001</v>
      </c>
      <c r="D22" s="197">
        <f>'Energy margins'!$S$12</f>
        <v>55</v>
      </c>
      <c r="E22" s="197">
        <f t="shared" si="21"/>
        <v>638.93500000000006</v>
      </c>
      <c r="F22" s="197">
        <f>'Margins summary'!$U$14</f>
        <v>220</v>
      </c>
      <c r="G22" s="197">
        <f t="shared" si="22"/>
        <v>858.93500000000006</v>
      </c>
      <c r="H22" s="197"/>
      <c r="I22" s="897">
        <f>'Energy NPV'!U75</f>
        <v>278.04200000000003</v>
      </c>
      <c r="J22" s="197"/>
      <c r="K22" s="197">
        <f t="shared" si="0"/>
        <v>278.04200000000003</v>
      </c>
      <c r="L22" s="197">
        <f t="shared" si="1"/>
        <v>360.89300000000003</v>
      </c>
      <c r="M22" s="197">
        <f t="shared" si="2"/>
        <v>580.89300000000003</v>
      </c>
      <c r="N22" s="196">
        <f t="shared" si="23"/>
        <v>431.64159220871164</v>
      </c>
      <c r="O22" s="197">
        <f t="shared" si="24"/>
        <v>148.62411714167567</v>
      </c>
      <c r="P22" s="197">
        <f t="shared" si="25"/>
        <v>187.8352126286627</v>
      </c>
      <c r="Q22" s="197">
        <f t="shared" si="26"/>
        <v>243.80637958004894</v>
      </c>
      <c r="R22" s="199">
        <f t="shared" si="27"/>
        <v>392.43049672172464</v>
      </c>
      <c r="S22" s="196">
        <f t="shared" si="62"/>
        <v>5082.7931952753006</v>
      </c>
      <c r="T22" s="197">
        <f t="shared" si="28"/>
        <v>2004.397071458106</v>
      </c>
      <c r="U22" s="197">
        <f t="shared" si="28"/>
        <v>7664.9229268869794</v>
      </c>
      <c r="V22" s="197">
        <f t="shared" si="28"/>
        <v>-2582.1297316116788</v>
      </c>
      <c r="W22" s="199">
        <f t="shared" si="28"/>
        <v>-577.73266015357353</v>
      </c>
      <c r="Z22" s="204">
        <f t="shared" si="63"/>
        <v>11</v>
      </c>
      <c r="AA22" s="225">
        <f>'Energy NPV'!$D75</f>
        <v>11.617000000000001</v>
      </c>
      <c r="AB22" s="197">
        <f>'Energy margins'!$S$12</f>
        <v>55</v>
      </c>
      <c r="AC22" s="197">
        <f t="shared" si="29"/>
        <v>638.93500000000006</v>
      </c>
      <c r="AD22" s="197">
        <f>'Margins summary'!$U$14</f>
        <v>220</v>
      </c>
      <c r="AE22" s="197">
        <f t="shared" si="30"/>
        <v>858.93500000000006</v>
      </c>
      <c r="AF22" s="197"/>
      <c r="AG22" s="897">
        <f>'Energy NPV'!U75</f>
        <v>278.04200000000003</v>
      </c>
      <c r="AH22" s="197"/>
      <c r="AI22" s="197">
        <f t="shared" si="3"/>
        <v>417.06300000000005</v>
      </c>
      <c r="AJ22" s="197">
        <f t="shared" si="4"/>
        <v>221.87200000000001</v>
      </c>
      <c r="AK22" s="197">
        <f t="shared" si="5"/>
        <v>441.87200000000001</v>
      </c>
      <c r="AL22" s="196">
        <f t="shared" si="31"/>
        <v>431.64159220871164</v>
      </c>
      <c r="AM22" s="197">
        <f t="shared" si="32"/>
        <v>148.62411714167567</v>
      </c>
      <c r="AN22" s="197">
        <f t="shared" si="33"/>
        <v>281.75281894299405</v>
      </c>
      <c r="AO22" s="197">
        <f t="shared" si="34"/>
        <v>149.88877326571759</v>
      </c>
      <c r="AP22" s="199">
        <f t="shared" si="35"/>
        <v>298.51289040739329</v>
      </c>
      <c r="AQ22" s="196">
        <f t="shared" si="64"/>
        <v>5082.7931952753006</v>
      </c>
      <c r="AR22" s="197">
        <f t="shared" si="36"/>
        <v>2004.397071458106</v>
      </c>
      <c r="AS22" s="197">
        <f t="shared" si="36"/>
        <v>11497.384390330471</v>
      </c>
      <c r="AT22" s="197">
        <f t="shared" si="36"/>
        <v>-6414.591195055169</v>
      </c>
      <c r="AU22" s="199">
        <f t="shared" si="36"/>
        <v>-4410.1941235970635</v>
      </c>
      <c r="AX22" s="204">
        <f t="shared" si="65"/>
        <v>11</v>
      </c>
      <c r="AY22" s="225">
        <f>'Energy NPV'!$D75</f>
        <v>11.617000000000001</v>
      </c>
      <c r="AZ22" s="197">
        <f>'Energy margins'!$S$12</f>
        <v>55</v>
      </c>
      <c r="BA22" s="197">
        <f t="shared" si="37"/>
        <v>638.93500000000006</v>
      </c>
      <c r="BB22" s="197">
        <f>'Margins summary'!$U$14</f>
        <v>220</v>
      </c>
      <c r="BC22" s="197">
        <f t="shared" si="38"/>
        <v>858.93500000000006</v>
      </c>
      <c r="BD22" s="197"/>
      <c r="BE22" s="897">
        <f>'Energy NPV'!U75</f>
        <v>278.04200000000003</v>
      </c>
      <c r="BF22" s="197"/>
      <c r="BG22" s="197">
        <f t="shared" si="6"/>
        <v>139.02100000000002</v>
      </c>
      <c r="BH22" s="197">
        <f t="shared" si="7"/>
        <v>499.91400000000004</v>
      </c>
      <c r="BI22" s="197">
        <f t="shared" si="8"/>
        <v>719.91399999999999</v>
      </c>
      <c r="BJ22" s="196">
        <f t="shared" si="39"/>
        <v>431.64159220871164</v>
      </c>
      <c r="BK22" s="197">
        <f t="shared" si="40"/>
        <v>148.62411714167567</v>
      </c>
      <c r="BL22" s="197">
        <f t="shared" si="41"/>
        <v>93.917606314331351</v>
      </c>
      <c r="BM22" s="197">
        <f t="shared" si="42"/>
        <v>337.72398589438029</v>
      </c>
      <c r="BN22" s="199">
        <f t="shared" si="43"/>
        <v>486.34810303605593</v>
      </c>
      <c r="BO22" s="196">
        <f t="shared" si="66"/>
        <v>5082.7931952753006</v>
      </c>
      <c r="BP22" s="197">
        <f t="shared" si="44"/>
        <v>2004.397071458106</v>
      </c>
      <c r="BQ22" s="197">
        <f t="shared" si="44"/>
        <v>3832.4614634434897</v>
      </c>
      <c r="BR22" s="197">
        <f t="shared" si="44"/>
        <v>1250.3317318318107</v>
      </c>
      <c r="BS22" s="199">
        <f t="shared" si="44"/>
        <v>3254.728803289916</v>
      </c>
      <c r="BV22" s="204">
        <f t="shared" si="67"/>
        <v>11</v>
      </c>
      <c r="BW22" s="225">
        <f>'Energy NPV'!$D75</f>
        <v>11.617000000000001</v>
      </c>
      <c r="BX22" s="197">
        <f>'Energy margins'!$S$12</f>
        <v>55</v>
      </c>
      <c r="BY22" s="197">
        <f t="shared" si="45"/>
        <v>638.93500000000006</v>
      </c>
      <c r="BZ22" s="197">
        <f>'Margins summary'!$U$14</f>
        <v>220</v>
      </c>
      <c r="CA22" s="197">
        <f t="shared" si="46"/>
        <v>858.93500000000006</v>
      </c>
      <c r="CB22" s="197"/>
      <c r="CC22" s="897">
        <f>'Energy NPV'!U75</f>
        <v>278.04200000000003</v>
      </c>
      <c r="CD22" s="197"/>
      <c r="CE22" s="197">
        <f t="shared" si="9"/>
        <v>556.08400000000006</v>
      </c>
      <c r="CF22" s="197">
        <f t="shared" si="10"/>
        <v>82.850999999999999</v>
      </c>
      <c r="CG22" s="197">
        <f t="shared" si="11"/>
        <v>302.851</v>
      </c>
      <c r="CH22" s="196">
        <f t="shared" si="47"/>
        <v>431.64159220871164</v>
      </c>
      <c r="CI22" s="197">
        <f t="shared" si="48"/>
        <v>148.62411714167567</v>
      </c>
      <c r="CJ22" s="197">
        <f t="shared" si="49"/>
        <v>375.67042525732541</v>
      </c>
      <c r="CK22" s="197">
        <f t="shared" si="50"/>
        <v>55.971166951386238</v>
      </c>
      <c r="CL22" s="199">
        <f t="shared" si="51"/>
        <v>204.59528409306191</v>
      </c>
      <c r="CM22" s="196">
        <f t="shared" si="68"/>
        <v>5082.7931952753006</v>
      </c>
      <c r="CN22" s="197">
        <f t="shared" si="52"/>
        <v>2004.397071458106</v>
      </c>
      <c r="CO22" s="197">
        <f t="shared" si="53"/>
        <v>15329.845853773959</v>
      </c>
      <c r="CP22" s="197">
        <f t="shared" si="54"/>
        <v>-10247.05265849866</v>
      </c>
      <c r="CQ22" s="199">
        <f t="shared" si="55"/>
        <v>-8242.65558704055</v>
      </c>
      <c r="CT22" s="204">
        <f t="shared" si="69"/>
        <v>11</v>
      </c>
      <c r="CU22" s="225">
        <f>'Energy NPV'!$D75</f>
        <v>11.617000000000001</v>
      </c>
      <c r="CV22" s="197">
        <f>'Energy margins'!$S$12</f>
        <v>55</v>
      </c>
      <c r="CW22" s="197">
        <f t="shared" si="12"/>
        <v>638.93500000000006</v>
      </c>
      <c r="CX22" s="197">
        <f>'Margins summary'!$U$14</f>
        <v>220</v>
      </c>
      <c r="CY22" s="197">
        <f t="shared" si="56"/>
        <v>858.93500000000006</v>
      </c>
      <c r="CZ22" s="197"/>
      <c r="DA22" s="897">
        <f>'Energy NPV'!U75</f>
        <v>278.04200000000003</v>
      </c>
      <c r="DB22" s="197"/>
      <c r="DC22" s="197">
        <f t="shared" si="13"/>
        <v>0</v>
      </c>
      <c r="DD22" s="197">
        <f t="shared" si="14"/>
        <v>638.93500000000006</v>
      </c>
      <c r="DE22" s="197">
        <f t="shared" si="15"/>
        <v>858.93500000000006</v>
      </c>
      <c r="DF22" s="196">
        <f t="shared" si="16"/>
        <v>431.64159220871164</v>
      </c>
      <c r="DG22" s="197">
        <f t="shared" si="17"/>
        <v>148.62411714167567</v>
      </c>
      <c r="DH22" s="197">
        <f t="shared" si="18"/>
        <v>0</v>
      </c>
      <c r="DI22" s="197">
        <f t="shared" si="19"/>
        <v>431.64159220871164</v>
      </c>
      <c r="DJ22" s="199">
        <f t="shared" si="20"/>
        <v>580.26570935038728</v>
      </c>
      <c r="DK22" s="196">
        <f t="shared" si="70"/>
        <v>5082.7931952753006</v>
      </c>
      <c r="DL22" s="197">
        <f t="shared" si="57"/>
        <v>2004.397071458106</v>
      </c>
      <c r="DM22" s="197">
        <f t="shared" si="58"/>
        <v>0</v>
      </c>
      <c r="DN22" s="197">
        <f t="shared" si="59"/>
        <v>5082.7931952753006</v>
      </c>
      <c r="DO22" s="199">
        <f t="shared" si="60"/>
        <v>7087.190266733407</v>
      </c>
    </row>
    <row r="23" spans="2:119" x14ac:dyDescent="0.3">
      <c r="B23" s="204">
        <f t="shared" si="61"/>
        <v>12</v>
      </c>
      <c r="C23" s="225">
        <f>'Energy NPV'!$D76</f>
        <v>11.617000000000001</v>
      </c>
      <c r="D23" s="197">
        <f>'Energy margins'!$S$12</f>
        <v>55</v>
      </c>
      <c r="E23" s="197">
        <f t="shared" si="21"/>
        <v>638.93500000000006</v>
      </c>
      <c r="F23" s="197">
        <f>'Margins summary'!$U$14</f>
        <v>220</v>
      </c>
      <c r="G23" s="197">
        <f t="shared" si="22"/>
        <v>858.93500000000006</v>
      </c>
      <c r="H23" s="197"/>
      <c r="I23" s="897">
        <f>'Energy NPV'!U76</f>
        <v>278.04200000000003</v>
      </c>
      <c r="J23" s="197"/>
      <c r="K23" s="197">
        <f t="shared" si="0"/>
        <v>278.04200000000003</v>
      </c>
      <c r="L23" s="197">
        <f t="shared" si="1"/>
        <v>360.89300000000003</v>
      </c>
      <c r="M23" s="197">
        <f t="shared" si="2"/>
        <v>580.89300000000003</v>
      </c>
      <c r="N23" s="196">
        <f t="shared" si="23"/>
        <v>415.0399925083766</v>
      </c>
      <c r="O23" s="197">
        <f t="shared" si="24"/>
        <v>142.90780494391893</v>
      </c>
      <c r="P23" s="197">
        <f t="shared" si="25"/>
        <v>180.61078137371416</v>
      </c>
      <c r="Q23" s="197">
        <f t="shared" si="26"/>
        <v>234.42921113466247</v>
      </c>
      <c r="R23" s="199">
        <f t="shared" si="27"/>
        <v>377.33701607858137</v>
      </c>
      <c r="S23" s="196">
        <f t="shared" si="62"/>
        <v>5497.8331877836772</v>
      </c>
      <c r="T23" s="197">
        <f t="shared" si="28"/>
        <v>2147.304876402025</v>
      </c>
      <c r="U23" s="197">
        <f t="shared" si="28"/>
        <v>7845.5337082606939</v>
      </c>
      <c r="V23" s="197">
        <f t="shared" si="28"/>
        <v>-2347.7005204770162</v>
      </c>
      <c r="W23" s="199">
        <f t="shared" si="28"/>
        <v>-200.39564407499216</v>
      </c>
      <c r="Z23" s="204">
        <f t="shared" si="63"/>
        <v>12</v>
      </c>
      <c r="AA23" s="225">
        <f>'Energy NPV'!$D76</f>
        <v>11.617000000000001</v>
      </c>
      <c r="AB23" s="197">
        <f>'Energy margins'!$S$12</f>
        <v>55</v>
      </c>
      <c r="AC23" s="197">
        <f t="shared" si="29"/>
        <v>638.93500000000006</v>
      </c>
      <c r="AD23" s="197">
        <f>'Margins summary'!$U$14</f>
        <v>220</v>
      </c>
      <c r="AE23" s="197">
        <f t="shared" si="30"/>
        <v>858.93500000000006</v>
      </c>
      <c r="AF23" s="197"/>
      <c r="AG23" s="897">
        <f>'Energy NPV'!U76</f>
        <v>278.04200000000003</v>
      </c>
      <c r="AH23" s="197"/>
      <c r="AI23" s="197">
        <f t="shared" si="3"/>
        <v>417.06300000000005</v>
      </c>
      <c r="AJ23" s="197">
        <f t="shared" si="4"/>
        <v>221.87200000000001</v>
      </c>
      <c r="AK23" s="197">
        <f t="shared" si="5"/>
        <v>441.87200000000001</v>
      </c>
      <c r="AL23" s="196">
        <f t="shared" si="31"/>
        <v>415.0399925083766</v>
      </c>
      <c r="AM23" s="197">
        <f t="shared" si="32"/>
        <v>142.90780494391893</v>
      </c>
      <c r="AN23" s="197">
        <f t="shared" si="33"/>
        <v>270.91617206057123</v>
      </c>
      <c r="AO23" s="197">
        <f t="shared" si="34"/>
        <v>144.12382044780537</v>
      </c>
      <c r="AP23" s="199">
        <f t="shared" si="35"/>
        <v>287.03162539172433</v>
      </c>
      <c r="AQ23" s="196">
        <f t="shared" si="64"/>
        <v>5497.8331877836772</v>
      </c>
      <c r="AR23" s="197">
        <f t="shared" si="36"/>
        <v>2147.304876402025</v>
      </c>
      <c r="AS23" s="197">
        <f t="shared" si="36"/>
        <v>11768.300562391043</v>
      </c>
      <c r="AT23" s="197">
        <f t="shared" si="36"/>
        <v>-6270.467374607364</v>
      </c>
      <c r="AU23" s="199">
        <f t="shared" si="36"/>
        <v>-4123.162498205339</v>
      </c>
      <c r="AX23" s="204">
        <f t="shared" si="65"/>
        <v>12</v>
      </c>
      <c r="AY23" s="225">
        <f>'Energy NPV'!$D76</f>
        <v>11.617000000000001</v>
      </c>
      <c r="AZ23" s="197">
        <f>'Energy margins'!$S$12</f>
        <v>55</v>
      </c>
      <c r="BA23" s="197">
        <f t="shared" si="37"/>
        <v>638.93500000000006</v>
      </c>
      <c r="BB23" s="197">
        <f>'Margins summary'!$U$14</f>
        <v>220</v>
      </c>
      <c r="BC23" s="197">
        <f t="shared" si="38"/>
        <v>858.93500000000006</v>
      </c>
      <c r="BD23" s="197"/>
      <c r="BE23" s="897">
        <f>'Energy NPV'!U76</f>
        <v>278.04200000000003</v>
      </c>
      <c r="BF23" s="197"/>
      <c r="BG23" s="197">
        <f t="shared" si="6"/>
        <v>139.02100000000002</v>
      </c>
      <c r="BH23" s="197">
        <f t="shared" si="7"/>
        <v>499.91400000000004</v>
      </c>
      <c r="BI23" s="197">
        <f t="shared" si="8"/>
        <v>719.91399999999999</v>
      </c>
      <c r="BJ23" s="196">
        <f t="shared" si="39"/>
        <v>415.0399925083766</v>
      </c>
      <c r="BK23" s="197">
        <f t="shared" si="40"/>
        <v>142.90780494391893</v>
      </c>
      <c r="BL23" s="197">
        <f t="shared" si="41"/>
        <v>90.305390686857081</v>
      </c>
      <c r="BM23" s="197">
        <f t="shared" si="42"/>
        <v>324.7346018215195</v>
      </c>
      <c r="BN23" s="199">
        <f t="shared" si="43"/>
        <v>467.64240676543841</v>
      </c>
      <c r="BO23" s="196">
        <f t="shared" si="66"/>
        <v>5497.8331877836772</v>
      </c>
      <c r="BP23" s="197">
        <f t="shared" si="44"/>
        <v>2147.304876402025</v>
      </c>
      <c r="BQ23" s="197">
        <f t="shared" si="44"/>
        <v>3922.7668541303469</v>
      </c>
      <c r="BR23" s="197">
        <f t="shared" si="44"/>
        <v>1575.0663336533303</v>
      </c>
      <c r="BS23" s="199">
        <f t="shared" si="44"/>
        <v>3722.3712100553544</v>
      </c>
      <c r="BV23" s="204">
        <f t="shared" si="67"/>
        <v>12</v>
      </c>
      <c r="BW23" s="225">
        <f>'Energy NPV'!$D76</f>
        <v>11.617000000000001</v>
      </c>
      <c r="BX23" s="197">
        <f>'Energy margins'!$S$12</f>
        <v>55</v>
      </c>
      <c r="BY23" s="197">
        <f t="shared" si="45"/>
        <v>638.93500000000006</v>
      </c>
      <c r="BZ23" s="197">
        <f>'Margins summary'!$U$14</f>
        <v>220</v>
      </c>
      <c r="CA23" s="197">
        <f t="shared" si="46"/>
        <v>858.93500000000006</v>
      </c>
      <c r="CB23" s="197"/>
      <c r="CC23" s="897">
        <f>'Energy NPV'!U76</f>
        <v>278.04200000000003</v>
      </c>
      <c r="CD23" s="197"/>
      <c r="CE23" s="197">
        <f t="shared" si="9"/>
        <v>556.08400000000006</v>
      </c>
      <c r="CF23" s="197">
        <f t="shared" si="10"/>
        <v>82.850999999999999</v>
      </c>
      <c r="CG23" s="197">
        <f t="shared" si="11"/>
        <v>302.851</v>
      </c>
      <c r="CH23" s="196">
        <f t="shared" si="47"/>
        <v>415.0399925083766</v>
      </c>
      <c r="CI23" s="197">
        <f t="shared" si="48"/>
        <v>142.90780494391893</v>
      </c>
      <c r="CJ23" s="197">
        <f t="shared" si="49"/>
        <v>361.22156274742832</v>
      </c>
      <c r="CK23" s="197">
        <f t="shared" si="50"/>
        <v>53.818429760948305</v>
      </c>
      <c r="CL23" s="199">
        <f t="shared" si="51"/>
        <v>196.72623470486724</v>
      </c>
      <c r="CM23" s="196">
        <f t="shared" si="68"/>
        <v>5497.8331877836772</v>
      </c>
      <c r="CN23" s="197">
        <f t="shared" si="52"/>
        <v>2147.304876402025</v>
      </c>
      <c r="CO23" s="197">
        <f t="shared" si="53"/>
        <v>15691.067416521388</v>
      </c>
      <c r="CP23" s="197">
        <f t="shared" si="54"/>
        <v>-10193.234228737712</v>
      </c>
      <c r="CQ23" s="199">
        <f t="shared" si="55"/>
        <v>-8045.9293523356828</v>
      </c>
      <c r="CT23" s="204">
        <f t="shared" si="69"/>
        <v>12</v>
      </c>
      <c r="CU23" s="225">
        <f>'Energy NPV'!$D76</f>
        <v>11.617000000000001</v>
      </c>
      <c r="CV23" s="197">
        <f>'Energy margins'!$S$12</f>
        <v>55</v>
      </c>
      <c r="CW23" s="197">
        <f t="shared" si="12"/>
        <v>638.93500000000006</v>
      </c>
      <c r="CX23" s="197">
        <f>'Margins summary'!$U$14</f>
        <v>220</v>
      </c>
      <c r="CY23" s="197">
        <f t="shared" si="56"/>
        <v>858.93500000000006</v>
      </c>
      <c r="CZ23" s="197"/>
      <c r="DA23" s="897">
        <f>'Energy NPV'!U76</f>
        <v>278.04200000000003</v>
      </c>
      <c r="DB23" s="197"/>
      <c r="DC23" s="197">
        <f t="shared" si="13"/>
        <v>0</v>
      </c>
      <c r="DD23" s="197">
        <f t="shared" si="14"/>
        <v>638.93500000000006</v>
      </c>
      <c r="DE23" s="197">
        <f t="shared" si="15"/>
        <v>858.93500000000006</v>
      </c>
      <c r="DF23" s="196">
        <f t="shared" si="16"/>
        <v>415.0399925083766</v>
      </c>
      <c r="DG23" s="197">
        <f t="shared" si="17"/>
        <v>142.90780494391893</v>
      </c>
      <c r="DH23" s="197">
        <f t="shared" si="18"/>
        <v>0</v>
      </c>
      <c r="DI23" s="197">
        <f t="shared" si="19"/>
        <v>415.0399925083766</v>
      </c>
      <c r="DJ23" s="199">
        <f t="shared" si="20"/>
        <v>557.9477974522955</v>
      </c>
      <c r="DK23" s="196">
        <f t="shared" si="70"/>
        <v>5497.8331877836772</v>
      </c>
      <c r="DL23" s="197">
        <f t="shared" si="57"/>
        <v>2147.304876402025</v>
      </c>
      <c r="DM23" s="197">
        <f t="shared" si="58"/>
        <v>0</v>
      </c>
      <c r="DN23" s="197">
        <f t="shared" si="59"/>
        <v>5497.8331877836772</v>
      </c>
      <c r="DO23" s="199">
        <f t="shared" si="60"/>
        <v>7645.1380641857022</v>
      </c>
    </row>
    <row r="24" spans="2:119" x14ac:dyDescent="0.3">
      <c r="B24" s="204">
        <f t="shared" si="61"/>
        <v>13</v>
      </c>
      <c r="C24" s="225">
        <f>'Energy NPV'!$D77</f>
        <v>11.617000000000001</v>
      </c>
      <c r="D24" s="197">
        <f>'Energy margins'!$S$12</f>
        <v>55</v>
      </c>
      <c r="E24" s="197">
        <f t="shared" si="21"/>
        <v>638.93500000000006</v>
      </c>
      <c r="F24" s="197">
        <f>'Margins summary'!$U$14</f>
        <v>220</v>
      </c>
      <c r="G24" s="197">
        <f t="shared" si="22"/>
        <v>858.93500000000006</v>
      </c>
      <c r="H24" s="197"/>
      <c r="I24" s="897">
        <f>'Energy NPV'!U77</f>
        <v>278.04200000000003</v>
      </c>
      <c r="J24" s="197"/>
      <c r="K24" s="197">
        <f t="shared" si="0"/>
        <v>278.04200000000003</v>
      </c>
      <c r="L24" s="197">
        <f t="shared" si="1"/>
        <v>360.89300000000003</v>
      </c>
      <c r="M24" s="197">
        <f t="shared" si="2"/>
        <v>580.89300000000003</v>
      </c>
      <c r="N24" s="196">
        <f t="shared" si="23"/>
        <v>399.07691587343896</v>
      </c>
      <c r="O24" s="197">
        <f t="shared" si="24"/>
        <v>137.41135090761432</v>
      </c>
      <c r="P24" s="197">
        <f t="shared" si="25"/>
        <v>173.66421285934049</v>
      </c>
      <c r="Q24" s="197">
        <f t="shared" si="26"/>
        <v>225.41270301409847</v>
      </c>
      <c r="R24" s="199">
        <f t="shared" si="27"/>
        <v>362.82405392171279</v>
      </c>
      <c r="S24" s="196">
        <f t="shared" si="62"/>
        <v>5896.9101036571165</v>
      </c>
      <c r="T24" s="197">
        <f t="shared" si="28"/>
        <v>2284.7162273096392</v>
      </c>
      <c r="U24" s="197">
        <f t="shared" si="28"/>
        <v>8019.1979211200342</v>
      </c>
      <c r="V24" s="197">
        <f t="shared" si="28"/>
        <v>-2122.2878174629177</v>
      </c>
      <c r="W24" s="199">
        <f t="shared" si="28"/>
        <v>162.42840984672063</v>
      </c>
      <c r="Z24" s="204">
        <f t="shared" si="63"/>
        <v>13</v>
      </c>
      <c r="AA24" s="225">
        <f>'Energy NPV'!$D77</f>
        <v>11.617000000000001</v>
      </c>
      <c r="AB24" s="197">
        <f>'Energy margins'!$S$12</f>
        <v>55</v>
      </c>
      <c r="AC24" s="197">
        <f t="shared" si="29"/>
        <v>638.93500000000006</v>
      </c>
      <c r="AD24" s="197">
        <f>'Margins summary'!$U$14</f>
        <v>220</v>
      </c>
      <c r="AE24" s="197">
        <f t="shared" si="30"/>
        <v>858.93500000000006</v>
      </c>
      <c r="AF24" s="197"/>
      <c r="AG24" s="897">
        <f>'Energy NPV'!U77</f>
        <v>278.04200000000003</v>
      </c>
      <c r="AH24" s="197"/>
      <c r="AI24" s="197">
        <f t="shared" si="3"/>
        <v>417.06300000000005</v>
      </c>
      <c r="AJ24" s="197">
        <f t="shared" si="4"/>
        <v>221.87200000000001</v>
      </c>
      <c r="AK24" s="197">
        <f t="shared" si="5"/>
        <v>441.87200000000001</v>
      </c>
      <c r="AL24" s="196">
        <f t="shared" si="31"/>
        <v>399.07691587343896</v>
      </c>
      <c r="AM24" s="197">
        <f t="shared" si="32"/>
        <v>137.41135090761432</v>
      </c>
      <c r="AN24" s="197">
        <f t="shared" si="33"/>
        <v>260.49631928901073</v>
      </c>
      <c r="AO24" s="197">
        <f t="shared" si="34"/>
        <v>138.58059658442824</v>
      </c>
      <c r="AP24" s="199">
        <f t="shared" si="35"/>
        <v>275.99194749204253</v>
      </c>
      <c r="AQ24" s="196">
        <f t="shared" si="64"/>
        <v>5896.9101036571165</v>
      </c>
      <c r="AR24" s="197">
        <f t="shared" si="36"/>
        <v>2284.7162273096392</v>
      </c>
      <c r="AS24" s="197">
        <f t="shared" si="36"/>
        <v>12028.796881680053</v>
      </c>
      <c r="AT24" s="197">
        <f t="shared" si="36"/>
        <v>-6131.8867780229357</v>
      </c>
      <c r="AU24" s="199">
        <f t="shared" si="36"/>
        <v>-3847.1705507132965</v>
      </c>
      <c r="AX24" s="204">
        <f t="shared" si="65"/>
        <v>13</v>
      </c>
      <c r="AY24" s="225">
        <f>'Energy NPV'!$D77</f>
        <v>11.617000000000001</v>
      </c>
      <c r="AZ24" s="197">
        <f>'Energy margins'!$S$12</f>
        <v>55</v>
      </c>
      <c r="BA24" s="197">
        <f t="shared" si="37"/>
        <v>638.93500000000006</v>
      </c>
      <c r="BB24" s="197">
        <f>'Margins summary'!$U$14</f>
        <v>220</v>
      </c>
      <c r="BC24" s="197">
        <f t="shared" si="38"/>
        <v>858.93500000000006</v>
      </c>
      <c r="BD24" s="197"/>
      <c r="BE24" s="897">
        <f>'Energy NPV'!U77</f>
        <v>278.04200000000003</v>
      </c>
      <c r="BF24" s="197"/>
      <c r="BG24" s="197">
        <f t="shared" si="6"/>
        <v>139.02100000000002</v>
      </c>
      <c r="BH24" s="197">
        <f t="shared" si="7"/>
        <v>499.91400000000004</v>
      </c>
      <c r="BI24" s="197">
        <f t="shared" si="8"/>
        <v>719.91399999999999</v>
      </c>
      <c r="BJ24" s="196">
        <f t="shared" si="39"/>
        <v>399.07691587343896</v>
      </c>
      <c r="BK24" s="197">
        <f t="shared" si="40"/>
        <v>137.41135090761432</v>
      </c>
      <c r="BL24" s="197">
        <f t="shared" si="41"/>
        <v>86.832106429670247</v>
      </c>
      <c r="BM24" s="197">
        <f t="shared" si="42"/>
        <v>312.2448094437687</v>
      </c>
      <c r="BN24" s="199">
        <f t="shared" si="43"/>
        <v>449.65616035138299</v>
      </c>
      <c r="BO24" s="196">
        <f t="shared" si="66"/>
        <v>5896.9101036571165</v>
      </c>
      <c r="BP24" s="197">
        <f t="shared" si="44"/>
        <v>2284.7162273096392</v>
      </c>
      <c r="BQ24" s="197">
        <f t="shared" si="44"/>
        <v>4009.5989605600171</v>
      </c>
      <c r="BR24" s="197">
        <f t="shared" si="44"/>
        <v>1887.3111430970989</v>
      </c>
      <c r="BS24" s="199">
        <f t="shared" si="44"/>
        <v>4172.0273704067376</v>
      </c>
      <c r="BV24" s="204">
        <f t="shared" si="67"/>
        <v>13</v>
      </c>
      <c r="BW24" s="225">
        <f>'Energy NPV'!$D77</f>
        <v>11.617000000000001</v>
      </c>
      <c r="BX24" s="197">
        <f>'Energy margins'!$S$12</f>
        <v>55</v>
      </c>
      <c r="BY24" s="197">
        <f t="shared" si="45"/>
        <v>638.93500000000006</v>
      </c>
      <c r="BZ24" s="197">
        <f>'Margins summary'!$U$14</f>
        <v>220</v>
      </c>
      <c r="CA24" s="197">
        <f t="shared" si="46"/>
        <v>858.93500000000006</v>
      </c>
      <c r="CB24" s="197"/>
      <c r="CC24" s="897">
        <f>'Energy NPV'!U77</f>
        <v>278.04200000000003</v>
      </c>
      <c r="CD24" s="197"/>
      <c r="CE24" s="197">
        <f t="shared" si="9"/>
        <v>556.08400000000006</v>
      </c>
      <c r="CF24" s="197">
        <f t="shared" si="10"/>
        <v>82.850999999999999</v>
      </c>
      <c r="CG24" s="197">
        <f t="shared" si="11"/>
        <v>302.851</v>
      </c>
      <c r="CH24" s="196">
        <f t="shared" si="47"/>
        <v>399.07691587343896</v>
      </c>
      <c r="CI24" s="197">
        <f t="shared" si="48"/>
        <v>137.41135090761432</v>
      </c>
      <c r="CJ24" s="197">
        <f t="shared" si="49"/>
        <v>347.32842571868099</v>
      </c>
      <c r="CK24" s="197">
        <f t="shared" si="50"/>
        <v>51.748490154757974</v>
      </c>
      <c r="CL24" s="199">
        <f t="shared" si="51"/>
        <v>189.15984106237229</v>
      </c>
      <c r="CM24" s="196">
        <f t="shared" si="68"/>
        <v>5896.9101036571165</v>
      </c>
      <c r="CN24" s="197">
        <f t="shared" si="52"/>
        <v>2284.7162273096392</v>
      </c>
      <c r="CO24" s="197">
        <f t="shared" si="53"/>
        <v>16038.395842240068</v>
      </c>
      <c r="CP24" s="197">
        <f t="shared" si="54"/>
        <v>-10141.485738582955</v>
      </c>
      <c r="CQ24" s="199">
        <f t="shared" si="55"/>
        <v>-7856.7695112733109</v>
      </c>
      <c r="CT24" s="204">
        <f t="shared" si="69"/>
        <v>13</v>
      </c>
      <c r="CU24" s="225">
        <f>'Energy NPV'!$D77</f>
        <v>11.617000000000001</v>
      </c>
      <c r="CV24" s="197">
        <f>'Energy margins'!$S$12</f>
        <v>55</v>
      </c>
      <c r="CW24" s="197">
        <f t="shared" si="12"/>
        <v>638.93500000000006</v>
      </c>
      <c r="CX24" s="197">
        <f>'Margins summary'!$U$14</f>
        <v>220</v>
      </c>
      <c r="CY24" s="197">
        <f t="shared" si="56"/>
        <v>858.93500000000006</v>
      </c>
      <c r="CZ24" s="197"/>
      <c r="DA24" s="897">
        <f>'Energy NPV'!U77</f>
        <v>278.04200000000003</v>
      </c>
      <c r="DB24" s="197"/>
      <c r="DC24" s="197">
        <f t="shared" si="13"/>
        <v>0</v>
      </c>
      <c r="DD24" s="197">
        <f t="shared" si="14"/>
        <v>638.93500000000006</v>
      </c>
      <c r="DE24" s="197">
        <f t="shared" si="15"/>
        <v>858.93500000000006</v>
      </c>
      <c r="DF24" s="196">
        <f t="shared" si="16"/>
        <v>399.07691587343896</v>
      </c>
      <c r="DG24" s="197">
        <f t="shared" si="17"/>
        <v>137.41135090761432</v>
      </c>
      <c r="DH24" s="197">
        <f t="shared" si="18"/>
        <v>0</v>
      </c>
      <c r="DI24" s="197">
        <f t="shared" si="19"/>
        <v>399.07691587343896</v>
      </c>
      <c r="DJ24" s="199">
        <f t="shared" si="20"/>
        <v>536.48826678105331</v>
      </c>
      <c r="DK24" s="196">
        <f t="shared" si="70"/>
        <v>5896.9101036571165</v>
      </c>
      <c r="DL24" s="197">
        <f t="shared" si="57"/>
        <v>2284.7162273096392</v>
      </c>
      <c r="DM24" s="197">
        <f t="shared" si="58"/>
        <v>0</v>
      </c>
      <c r="DN24" s="197">
        <f t="shared" si="59"/>
        <v>5896.9101036571165</v>
      </c>
      <c r="DO24" s="199">
        <f t="shared" si="60"/>
        <v>8181.6263309667556</v>
      </c>
    </row>
    <row r="25" spans="2:119" x14ac:dyDescent="0.3">
      <c r="B25" s="204">
        <f t="shared" si="61"/>
        <v>14</v>
      </c>
      <c r="C25" s="225">
        <f>'Energy NPV'!$D78</f>
        <v>11.617000000000001</v>
      </c>
      <c r="D25" s="197">
        <f>'Energy margins'!$S$12</f>
        <v>55</v>
      </c>
      <c r="E25" s="197">
        <f t="shared" si="21"/>
        <v>638.93500000000006</v>
      </c>
      <c r="F25" s="197">
        <f>'Margins summary'!$U$14</f>
        <v>220</v>
      </c>
      <c r="G25" s="197">
        <f t="shared" si="22"/>
        <v>858.93500000000006</v>
      </c>
      <c r="H25" s="197"/>
      <c r="I25" s="897">
        <f>'Energy NPV'!U78</f>
        <v>278.04200000000003</v>
      </c>
      <c r="J25" s="197"/>
      <c r="K25" s="197">
        <f t="shared" si="0"/>
        <v>278.04200000000003</v>
      </c>
      <c r="L25" s="197">
        <f t="shared" si="1"/>
        <v>360.89300000000003</v>
      </c>
      <c r="M25" s="197">
        <f t="shared" si="2"/>
        <v>580.89300000000003</v>
      </c>
      <c r="N25" s="196">
        <f t="shared" si="23"/>
        <v>383.7278037244605</v>
      </c>
      <c r="O25" s="197">
        <f t="shared" si="24"/>
        <v>132.12629894962916</v>
      </c>
      <c r="P25" s="197">
        <f t="shared" si="25"/>
        <v>166.98482005705816</v>
      </c>
      <c r="Q25" s="197">
        <f t="shared" si="26"/>
        <v>216.74298366740237</v>
      </c>
      <c r="R25" s="199">
        <f t="shared" si="27"/>
        <v>348.8692826170315</v>
      </c>
      <c r="S25" s="196">
        <f t="shared" si="62"/>
        <v>6280.637907381577</v>
      </c>
      <c r="T25" s="197">
        <f t="shared" si="28"/>
        <v>2416.8425262592682</v>
      </c>
      <c r="U25" s="197">
        <f t="shared" si="28"/>
        <v>8186.1827411770919</v>
      </c>
      <c r="V25" s="197">
        <f t="shared" si="28"/>
        <v>-1905.5448337955154</v>
      </c>
      <c r="W25" s="199">
        <f t="shared" si="28"/>
        <v>511.29769246375213</v>
      </c>
      <c r="Z25" s="204">
        <f t="shared" si="63"/>
        <v>14</v>
      </c>
      <c r="AA25" s="225">
        <f>'Energy NPV'!$D78</f>
        <v>11.617000000000001</v>
      </c>
      <c r="AB25" s="197">
        <f>'Energy margins'!$S$12</f>
        <v>55</v>
      </c>
      <c r="AC25" s="197">
        <f t="shared" si="29"/>
        <v>638.93500000000006</v>
      </c>
      <c r="AD25" s="197">
        <f>'Margins summary'!$U$14</f>
        <v>220</v>
      </c>
      <c r="AE25" s="197">
        <f t="shared" si="30"/>
        <v>858.93500000000006</v>
      </c>
      <c r="AF25" s="197"/>
      <c r="AG25" s="897">
        <f>'Energy NPV'!U78</f>
        <v>278.04200000000003</v>
      </c>
      <c r="AH25" s="197"/>
      <c r="AI25" s="197">
        <f t="shared" si="3"/>
        <v>417.06300000000005</v>
      </c>
      <c r="AJ25" s="197">
        <f t="shared" si="4"/>
        <v>221.87200000000001</v>
      </c>
      <c r="AK25" s="197">
        <f t="shared" si="5"/>
        <v>441.87200000000001</v>
      </c>
      <c r="AL25" s="196">
        <f t="shared" si="31"/>
        <v>383.7278037244605</v>
      </c>
      <c r="AM25" s="197">
        <f t="shared" si="32"/>
        <v>132.12629894962916</v>
      </c>
      <c r="AN25" s="197">
        <f t="shared" si="33"/>
        <v>250.47723008558725</v>
      </c>
      <c r="AO25" s="197">
        <f t="shared" si="34"/>
        <v>133.25057363887328</v>
      </c>
      <c r="AP25" s="199">
        <f t="shared" si="35"/>
        <v>265.37687258850247</v>
      </c>
      <c r="AQ25" s="196">
        <f t="shared" si="64"/>
        <v>6280.637907381577</v>
      </c>
      <c r="AR25" s="197">
        <f t="shared" si="36"/>
        <v>2416.8425262592682</v>
      </c>
      <c r="AS25" s="197">
        <f t="shared" si="36"/>
        <v>12279.274111765641</v>
      </c>
      <c r="AT25" s="197">
        <f t="shared" si="36"/>
        <v>-5998.6362043840627</v>
      </c>
      <c r="AU25" s="199">
        <f t="shared" si="36"/>
        <v>-3581.793678124794</v>
      </c>
      <c r="AX25" s="204">
        <f t="shared" si="65"/>
        <v>14</v>
      </c>
      <c r="AY25" s="225">
        <f>'Energy NPV'!$D78</f>
        <v>11.617000000000001</v>
      </c>
      <c r="AZ25" s="197">
        <f>'Energy margins'!$S$12</f>
        <v>55</v>
      </c>
      <c r="BA25" s="197">
        <f t="shared" si="37"/>
        <v>638.93500000000006</v>
      </c>
      <c r="BB25" s="197">
        <f>'Margins summary'!$U$14</f>
        <v>220</v>
      </c>
      <c r="BC25" s="197">
        <f t="shared" si="38"/>
        <v>858.93500000000006</v>
      </c>
      <c r="BD25" s="197"/>
      <c r="BE25" s="897">
        <f>'Energy NPV'!U78</f>
        <v>278.04200000000003</v>
      </c>
      <c r="BF25" s="197"/>
      <c r="BG25" s="197">
        <f t="shared" si="6"/>
        <v>139.02100000000002</v>
      </c>
      <c r="BH25" s="197">
        <f t="shared" si="7"/>
        <v>499.91400000000004</v>
      </c>
      <c r="BI25" s="197">
        <f t="shared" si="8"/>
        <v>719.91399999999999</v>
      </c>
      <c r="BJ25" s="196">
        <f t="shared" si="39"/>
        <v>383.7278037244605</v>
      </c>
      <c r="BK25" s="197">
        <f t="shared" si="40"/>
        <v>132.12629894962916</v>
      </c>
      <c r="BL25" s="197">
        <f t="shared" si="41"/>
        <v>83.492410028529079</v>
      </c>
      <c r="BM25" s="197">
        <f t="shared" si="42"/>
        <v>300.23539369593146</v>
      </c>
      <c r="BN25" s="199">
        <f t="shared" si="43"/>
        <v>432.36169264556059</v>
      </c>
      <c r="BO25" s="196">
        <f t="shared" si="66"/>
        <v>6280.637907381577</v>
      </c>
      <c r="BP25" s="197">
        <f t="shared" si="44"/>
        <v>2416.8425262592682</v>
      </c>
      <c r="BQ25" s="197">
        <f t="shared" si="44"/>
        <v>4093.0913705885459</v>
      </c>
      <c r="BR25" s="197">
        <f t="shared" si="44"/>
        <v>2187.5465367930306</v>
      </c>
      <c r="BS25" s="199">
        <f t="shared" si="44"/>
        <v>4604.3890630522983</v>
      </c>
      <c r="BV25" s="204">
        <f t="shared" si="67"/>
        <v>14</v>
      </c>
      <c r="BW25" s="225">
        <f>'Energy NPV'!$D78</f>
        <v>11.617000000000001</v>
      </c>
      <c r="BX25" s="197">
        <f>'Energy margins'!$S$12</f>
        <v>55</v>
      </c>
      <c r="BY25" s="197">
        <f t="shared" si="45"/>
        <v>638.93500000000006</v>
      </c>
      <c r="BZ25" s="197">
        <f>'Margins summary'!$U$14</f>
        <v>220</v>
      </c>
      <c r="CA25" s="197">
        <f t="shared" si="46"/>
        <v>858.93500000000006</v>
      </c>
      <c r="CB25" s="197"/>
      <c r="CC25" s="897">
        <f>'Energy NPV'!U78</f>
        <v>278.04200000000003</v>
      </c>
      <c r="CD25" s="197"/>
      <c r="CE25" s="197">
        <f t="shared" si="9"/>
        <v>556.08400000000006</v>
      </c>
      <c r="CF25" s="197">
        <f t="shared" si="10"/>
        <v>82.850999999999999</v>
      </c>
      <c r="CG25" s="197">
        <f t="shared" si="11"/>
        <v>302.851</v>
      </c>
      <c r="CH25" s="196">
        <f t="shared" si="47"/>
        <v>383.7278037244605</v>
      </c>
      <c r="CI25" s="197">
        <f t="shared" si="48"/>
        <v>132.12629894962916</v>
      </c>
      <c r="CJ25" s="197">
        <f t="shared" si="49"/>
        <v>333.96964011411632</v>
      </c>
      <c r="CK25" s="197">
        <f t="shared" si="50"/>
        <v>49.758163610344205</v>
      </c>
      <c r="CL25" s="199">
        <f t="shared" si="51"/>
        <v>181.88446255997337</v>
      </c>
      <c r="CM25" s="196">
        <f t="shared" si="68"/>
        <v>6280.637907381577</v>
      </c>
      <c r="CN25" s="197">
        <f t="shared" si="52"/>
        <v>2416.8425262592682</v>
      </c>
      <c r="CO25" s="197">
        <f t="shared" si="53"/>
        <v>16372.365482354184</v>
      </c>
      <c r="CP25" s="197">
        <f t="shared" si="54"/>
        <v>-10091.72757497261</v>
      </c>
      <c r="CQ25" s="199">
        <f t="shared" si="55"/>
        <v>-7674.8850487133377</v>
      </c>
      <c r="CT25" s="204">
        <f t="shared" si="69"/>
        <v>14</v>
      </c>
      <c r="CU25" s="225">
        <f>'Energy NPV'!$D78</f>
        <v>11.617000000000001</v>
      </c>
      <c r="CV25" s="197">
        <f>'Energy margins'!$S$12</f>
        <v>55</v>
      </c>
      <c r="CW25" s="197">
        <f t="shared" si="12"/>
        <v>638.93500000000006</v>
      </c>
      <c r="CX25" s="197">
        <f>'Margins summary'!$U$14</f>
        <v>220</v>
      </c>
      <c r="CY25" s="197">
        <f t="shared" si="56"/>
        <v>858.93500000000006</v>
      </c>
      <c r="CZ25" s="197"/>
      <c r="DA25" s="897">
        <f>'Energy NPV'!U78</f>
        <v>278.04200000000003</v>
      </c>
      <c r="DB25" s="197"/>
      <c r="DC25" s="197">
        <f t="shared" si="13"/>
        <v>0</v>
      </c>
      <c r="DD25" s="197">
        <f t="shared" si="14"/>
        <v>638.93500000000006</v>
      </c>
      <c r="DE25" s="197">
        <f t="shared" si="15"/>
        <v>858.93500000000006</v>
      </c>
      <c r="DF25" s="196">
        <f t="shared" si="16"/>
        <v>383.7278037244605</v>
      </c>
      <c r="DG25" s="197">
        <f t="shared" si="17"/>
        <v>132.12629894962916</v>
      </c>
      <c r="DH25" s="197">
        <f t="shared" si="18"/>
        <v>0</v>
      </c>
      <c r="DI25" s="197">
        <f t="shared" si="19"/>
        <v>383.7278037244605</v>
      </c>
      <c r="DJ25" s="199">
        <f t="shared" si="20"/>
        <v>515.85410267408963</v>
      </c>
      <c r="DK25" s="196">
        <f t="shared" si="70"/>
        <v>6280.637907381577</v>
      </c>
      <c r="DL25" s="197">
        <f t="shared" si="57"/>
        <v>2416.8425262592682</v>
      </c>
      <c r="DM25" s="197">
        <f t="shared" si="58"/>
        <v>0</v>
      </c>
      <c r="DN25" s="197">
        <f t="shared" si="59"/>
        <v>6280.637907381577</v>
      </c>
      <c r="DO25" s="199">
        <f t="shared" si="60"/>
        <v>8697.4804336408451</v>
      </c>
    </row>
    <row r="26" spans="2:119" x14ac:dyDescent="0.3">
      <c r="B26" s="204">
        <f t="shared" si="61"/>
        <v>15</v>
      </c>
      <c r="C26" s="225">
        <f>'Energy NPV'!$D79</f>
        <v>11.617000000000001</v>
      </c>
      <c r="D26" s="197">
        <f>'Energy margins'!$S$12</f>
        <v>55</v>
      </c>
      <c r="E26" s="197">
        <f t="shared" si="21"/>
        <v>638.93500000000006</v>
      </c>
      <c r="F26" s="197">
        <f>'Margins summary'!$U$14</f>
        <v>220</v>
      </c>
      <c r="G26" s="197">
        <f t="shared" si="22"/>
        <v>858.93500000000006</v>
      </c>
      <c r="H26" s="197"/>
      <c r="I26" s="897">
        <f>'Energy NPV'!U79</f>
        <v>278.04200000000003</v>
      </c>
      <c r="J26" s="197"/>
      <c r="K26" s="197">
        <f t="shared" si="0"/>
        <v>278.04200000000003</v>
      </c>
      <c r="L26" s="197">
        <f t="shared" si="1"/>
        <v>360.89300000000003</v>
      </c>
      <c r="M26" s="197">
        <f t="shared" si="2"/>
        <v>580.89300000000003</v>
      </c>
      <c r="N26" s="196">
        <f t="shared" si="23"/>
        <v>368.96904204275052</v>
      </c>
      <c r="O26" s="197">
        <f t="shared" si="24"/>
        <v>127.04451822079727</v>
      </c>
      <c r="P26" s="197">
        <f t="shared" si="25"/>
        <v>160.56232697794053</v>
      </c>
      <c r="Q26" s="197">
        <f t="shared" si="26"/>
        <v>208.40671506480996</v>
      </c>
      <c r="R26" s="199">
        <f t="shared" si="27"/>
        <v>335.45123328560726</v>
      </c>
      <c r="S26" s="196">
        <f t="shared" si="62"/>
        <v>6649.6069494243275</v>
      </c>
      <c r="T26" s="197">
        <f t="shared" si="28"/>
        <v>2543.8870444800655</v>
      </c>
      <c r="U26" s="197">
        <f t="shared" si="28"/>
        <v>8346.7450681550326</v>
      </c>
      <c r="V26" s="197">
        <f t="shared" si="28"/>
        <v>-1697.1381187307054</v>
      </c>
      <c r="W26" s="199">
        <f t="shared" si="28"/>
        <v>846.74892574935939</v>
      </c>
      <c r="Z26" s="204">
        <f t="shared" si="63"/>
        <v>15</v>
      </c>
      <c r="AA26" s="225">
        <f>'Energy NPV'!$D79</f>
        <v>11.617000000000001</v>
      </c>
      <c r="AB26" s="197">
        <f>'Energy margins'!$S$12</f>
        <v>55</v>
      </c>
      <c r="AC26" s="197">
        <f t="shared" si="29"/>
        <v>638.93500000000006</v>
      </c>
      <c r="AD26" s="197">
        <f>'Margins summary'!$U$14</f>
        <v>220</v>
      </c>
      <c r="AE26" s="197">
        <f t="shared" si="30"/>
        <v>858.93500000000006</v>
      </c>
      <c r="AF26" s="197"/>
      <c r="AG26" s="897">
        <f>'Energy NPV'!U79</f>
        <v>278.04200000000003</v>
      </c>
      <c r="AH26" s="197"/>
      <c r="AI26" s="197">
        <f t="shared" si="3"/>
        <v>417.06300000000005</v>
      </c>
      <c r="AJ26" s="197">
        <f t="shared" si="4"/>
        <v>221.87200000000001</v>
      </c>
      <c r="AK26" s="197">
        <f t="shared" si="5"/>
        <v>441.87200000000001</v>
      </c>
      <c r="AL26" s="196">
        <f t="shared" si="31"/>
        <v>368.96904204275052</v>
      </c>
      <c r="AM26" s="197">
        <f t="shared" si="32"/>
        <v>127.04451822079727</v>
      </c>
      <c r="AN26" s="197">
        <f t="shared" si="33"/>
        <v>240.84349046691082</v>
      </c>
      <c r="AO26" s="197">
        <f t="shared" si="34"/>
        <v>128.12555157583969</v>
      </c>
      <c r="AP26" s="199">
        <f t="shared" si="35"/>
        <v>255.17006979663697</v>
      </c>
      <c r="AQ26" s="196">
        <f t="shared" si="64"/>
        <v>6649.6069494243275</v>
      </c>
      <c r="AR26" s="197">
        <f t="shared" si="36"/>
        <v>2543.8870444800655</v>
      </c>
      <c r="AS26" s="197">
        <f t="shared" si="36"/>
        <v>12520.117602232551</v>
      </c>
      <c r="AT26" s="197">
        <f t="shared" si="36"/>
        <v>-5870.5106528082233</v>
      </c>
      <c r="AU26" s="199">
        <f t="shared" si="36"/>
        <v>-3326.6236083281569</v>
      </c>
      <c r="AX26" s="204">
        <f t="shared" si="65"/>
        <v>15</v>
      </c>
      <c r="AY26" s="225">
        <f>'Energy NPV'!$D79</f>
        <v>11.617000000000001</v>
      </c>
      <c r="AZ26" s="197">
        <f>'Energy margins'!$S$12</f>
        <v>55</v>
      </c>
      <c r="BA26" s="197">
        <f t="shared" si="37"/>
        <v>638.93500000000006</v>
      </c>
      <c r="BB26" s="197">
        <f>'Margins summary'!$U$14</f>
        <v>220</v>
      </c>
      <c r="BC26" s="197">
        <f t="shared" si="38"/>
        <v>858.93500000000006</v>
      </c>
      <c r="BD26" s="197"/>
      <c r="BE26" s="897">
        <f>'Energy NPV'!U79</f>
        <v>278.04200000000003</v>
      </c>
      <c r="BF26" s="197"/>
      <c r="BG26" s="197">
        <f t="shared" si="6"/>
        <v>139.02100000000002</v>
      </c>
      <c r="BH26" s="197">
        <f t="shared" si="7"/>
        <v>499.91400000000004</v>
      </c>
      <c r="BI26" s="197">
        <f t="shared" si="8"/>
        <v>719.91399999999999</v>
      </c>
      <c r="BJ26" s="196">
        <f t="shared" si="39"/>
        <v>368.96904204275052</v>
      </c>
      <c r="BK26" s="197">
        <f t="shared" si="40"/>
        <v>127.04451822079727</v>
      </c>
      <c r="BL26" s="197">
        <f t="shared" si="41"/>
        <v>80.281163488970265</v>
      </c>
      <c r="BM26" s="197">
        <f t="shared" si="42"/>
        <v>288.68787855378025</v>
      </c>
      <c r="BN26" s="199">
        <f t="shared" si="43"/>
        <v>415.73239677457747</v>
      </c>
      <c r="BO26" s="196">
        <f t="shared" si="66"/>
        <v>6649.6069494243275</v>
      </c>
      <c r="BP26" s="197">
        <f t="shared" si="44"/>
        <v>2543.8870444800655</v>
      </c>
      <c r="BQ26" s="197">
        <f t="shared" si="44"/>
        <v>4173.3725340775163</v>
      </c>
      <c r="BR26" s="197">
        <f t="shared" si="44"/>
        <v>2476.2344153468107</v>
      </c>
      <c r="BS26" s="199">
        <f t="shared" si="44"/>
        <v>5020.1214598268762</v>
      </c>
      <c r="BV26" s="204">
        <f t="shared" si="67"/>
        <v>15</v>
      </c>
      <c r="BW26" s="225">
        <f>'Energy NPV'!$D79</f>
        <v>11.617000000000001</v>
      </c>
      <c r="BX26" s="197">
        <f>'Energy margins'!$S$12</f>
        <v>55</v>
      </c>
      <c r="BY26" s="197">
        <f t="shared" si="45"/>
        <v>638.93500000000006</v>
      </c>
      <c r="BZ26" s="197">
        <f>'Margins summary'!$U$14</f>
        <v>220</v>
      </c>
      <c r="CA26" s="197">
        <f t="shared" si="46"/>
        <v>858.93500000000006</v>
      </c>
      <c r="CB26" s="197"/>
      <c r="CC26" s="897">
        <f>'Energy NPV'!U79</f>
        <v>278.04200000000003</v>
      </c>
      <c r="CD26" s="197"/>
      <c r="CE26" s="197">
        <f t="shared" si="9"/>
        <v>556.08400000000006</v>
      </c>
      <c r="CF26" s="197">
        <f t="shared" si="10"/>
        <v>82.850999999999999</v>
      </c>
      <c r="CG26" s="197">
        <f t="shared" si="11"/>
        <v>302.851</v>
      </c>
      <c r="CH26" s="196">
        <f t="shared" si="47"/>
        <v>368.96904204275052</v>
      </c>
      <c r="CI26" s="197">
        <f t="shared" si="48"/>
        <v>127.04451822079727</v>
      </c>
      <c r="CJ26" s="197">
        <f t="shared" si="49"/>
        <v>321.12465395588106</v>
      </c>
      <c r="CK26" s="197">
        <f t="shared" si="50"/>
        <v>47.844388086869429</v>
      </c>
      <c r="CL26" s="199">
        <f t="shared" si="51"/>
        <v>174.8889063076667</v>
      </c>
      <c r="CM26" s="196">
        <f t="shared" si="68"/>
        <v>6649.6069494243275</v>
      </c>
      <c r="CN26" s="197">
        <f t="shared" si="52"/>
        <v>2543.8870444800655</v>
      </c>
      <c r="CO26" s="197">
        <f t="shared" si="53"/>
        <v>16693.490136310065</v>
      </c>
      <c r="CP26" s="197">
        <f t="shared" si="54"/>
        <v>-10043.883186885741</v>
      </c>
      <c r="CQ26" s="199">
        <f t="shared" si="55"/>
        <v>-7499.996142405671</v>
      </c>
      <c r="CT26" s="204">
        <f t="shared" si="69"/>
        <v>15</v>
      </c>
      <c r="CU26" s="225">
        <f>'Energy NPV'!$D79</f>
        <v>11.617000000000001</v>
      </c>
      <c r="CV26" s="197">
        <f>'Energy margins'!$S$12</f>
        <v>55</v>
      </c>
      <c r="CW26" s="197">
        <f t="shared" si="12"/>
        <v>638.93500000000006</v>
      </c>
      <c r="CX26" s="197">
        <f>'Margins summary'!$U$14</f>
        <v>220</v>
      </c>
      <c r="CY26" s="197">
        <f t="shared" si="56"/>
        <v>858.93500000000006</v>
      </c>
      <c r="CZ26" s="197"/>
      <c r="DA26" s="897">
        <f>'Energy NPV'!U79</f>
        <v>278.04200000000003</v>
      </c>
      <c r="DB26" s="197"/>
      <c r="DC26" s="197">
        <f t="shared" si="13"/>
        <v>0</v>
      </c>
      <c r="DD26" s="197">
        <f t="shared" si="14"/>
        <v>638.93500000000006</v>
      </c>
      <c r="DE26" s="197">
        <f t="shared" si="15"/>
        <v>858.93500000000006</v>
      </c>
      <c r="DF26" s="196">
        <f t="shared" si="16"/>
        <v>368.96904204275052</v>
      </c>
      <c r="DG26" s="197">
        <f t="shared" si="17"/>
        <v>127.04451822079727</v>
      </c>
      <c r="DH26" s="197">
        <f t="shared" si="18"/>
        <v>0</v>
      </c>
      <c r="DI26" s="197">
        <f t="shared" si="19"/>
        <v>368.96904204275052</v>
      </c>
      <c r="DJ26" s="199">
        <f t="shared" si="20"/>
        <v>496.01356026354779</v>
      </c>
      <c r="DK26" s="196">
        <f t="shared" si="70"/>
        <v>6649.6069494243275</v>
      </c>
      <c r="DL26" s="197">
        <f t="shared" si="57"/>
        <v>2543.8870444800655</v>
      </c>
      <c r="DM26" s="197">
        <f t="shared" si="58"/>
        <v>0</v>
      </c>
      <c r="DN26" s="197">
        <f t="shared" si="59"/>
        <v>6649.6069494243275</v>
      </c>
      <c r="DO26" s="199">
        <f t="shared" si="60"/>
        <v>9193.4939939043925</v>
      </c>
    </row>
    <row r="27" spans="2:119" x14ac:dyDescent="0.3">
      <c r="B27" s="206">
        <f t="shared" si="61"/>
        <v>16</v>
      </c>
      <c r="C27" s="226">
        <f>'Energy NPV'!$D80</f>
        <v>11.617000000000001</v>
      </c>
      <c r="D27" s="207">
        <f>'Energy margins'!$S$12</f>
        <v>55</v>
      </c>
      <c r="E27" s="207">
        <f t="shared" si="21"/>
        <v>638.93500000000006</v>
      </c>
      <c r="F27" s="207">
        <f>'Margins summary'!$U$14</f>
        <v>220</v>
      </c>
      <c r="G27" s="207">
        <f t="shared" si="22"/>
        <v>858.93500000000006</v>
      </c>
      <c r="H27" s="207"/>
      <c r="I27" s="898">
        <f>'Energy NPV'!U80</f>
        <v>278.04200000000003</v>
      </c>
      <c r="J27" s="207">
        <f>'Energy margins'!$X$67</f>
        <v>170</v>
      </c>
      <c r="K27" s="207">
        <f t="shared" si="0"/>
        <v>448.04200000000003</v>
      </c>
      <c r="L27" s="207">
        <f t="shared" si="1"/>
        <v>190.89300000000003</v>
      </c>
      <c r="M27" s="207">
        <f t="shared" si="2"/>
        <v>410.89300000000003</v>
      </c>
      <c r="N27" s="208">
        <f t="shared" si="23"/>
        <v>354.77792504110624</v>
      </c>
      <c r="O27" s="207">
        <f t="shared" si="24"/>
        <v>122.15819059692046</v>
      </c>
      <c r="P27" s="207">
        <f t="shared" si="25"/>
        <v>248.78181832466109</v>
      </c>
      <c r="Q27" s="207">
        <f t="shared" si="26"/>
        <v>105.99610671644518</v>
      </c>
      <c r="R27" s="209">
        <f t="shared" si="27"/>
        <v>228.15429731336565</v>
      </c>
      <c r="S27" s="208">
        <f t="shared" si="62"/>
        <v>7004.3848744654333</v>
      </c>
      <c r="T27" s="207">
        <f t="shared" si="28"/>
        <v>2666.045235076986</v>
      </c>
      <c r="U27" s="207">
        <f t="shared" si="28"/>
        <v>8595.5268864796944</v>
      </c>
      <c r="V27" s="207">
        <f t="shared" si="28"/>
        <v>-1591.1420120142602</v>
      </c>
      <c r="W27" s="209">
        <f t="shared" si="28"/>
        <v>1074.9032230627249</v>
      </c>
      <c r="Z27" s="206">
        <f t="shared" si="63"/>
        <v>16</v>
      </c>
      <c r="AA27" s="226">
        <f>'Energy NPV'!$D80</f>
        <v>11.617000000000001</v>
      </c>
      <c r="AB27" s="207">
        <f>'Energy margins'!$S$12</f>
        <v>55</v>
      </c>
      <c r="AC27" s="207">
        <f>AA27*AB27</f>
        <v>638.93500000000006</v>
      </c>
      <c r="AD27" s="207">
        <f>'Margins summary'!$U$14</f>
        <v>220</v>
      </c>
      <c r="AE27" s="207">
        <f t="shared" si="30"/>
        <v>858.93500000000006</v>
      </c>
      <c r="AF27" s="207"/>
      <c r="AG27" s="898">
        <f>'Energy NPV'!U80</f>
        <v>278.04200000000003</v>
      </c>
      <c r="AH27" s="207">
        <f>'Energy margins'!$X$67</f>
        <v>170</v>
      </c>
      <c r="AI27" s="207">
        <f t="shared" si="3"/>
        <v>672.0630000000001</v>
      </c>
      <c r="AJ27" s="207">
        <f t="shared" si="4"/>
        <v>-33.128000000000043</v>
      </c>
      <c r="AK27" s="207">
        <f t="shared" si="5"/>
        <v>186.87199999999996</v>
      </c>
      <c r="AL27" s="208">
        <f t="shared" si="31"/>
        <v>354.77792504110624</v>
      </c>
      <c r="AM27" s="207">
        <f t="shared" si="32"/>
        <v>122.15819059692046</v>
      </c>
      <c r="AN27" s="207">
        <f t="shared" si="33"/>
        <v>373.17272748699168</v>
      </c>
      <c r="AO27" s="207">
        <f t="shared" si="34"/>
        <v>-18.394802445885393</v>
      </c>
      <c r="AP27" s="209">
        <f t="shared" si="35"/>
        <v>103.76338815103506</v>
      </c>
      <c r="AQ27" s="208">
        <f t="shared" si="64"/>
        <v>7004.3848744654333</v>
      </c>
      <c r="AR27" s="207">
        <f t="shared" si="36"/>
        <v>2666.045235076986</v>
      </c>
      <c r="AS27" s="207">
        <f t="shared" si="36"/>
        <v>12893.290329719543</v>
      </c>
      <c r="AT27" s="207">
        <f t="shared" si="36"/>
        <v>-5888.9054552541083</v>
      </c>
      <c r="AU27" s="209">
        <f t="shared" si="36"/>
        <v>-3222.8602201771218</v>
      </c>
      <c r="AX27" s="206">
        <f t="shared" si="65"/>
        <v>16</v>
      </c>
      <c r="AY27" s="226">
        <f>'Energy NPV'!$D80</f>
        <v>11.617000000000001</v>
      </c>
      <c r="AZ27" s="207">
        <f>'Energy margins'!$S$12</f>
        <v>55</v>
      </c>
      <c r="BA27" s="207">
        <f t="shared" si="37"/>
        <v>638.93500000000006</v>
      </c>
      <c r="BB27" s="207">
        <f>'Margins summary'!$U$14</f>
        <v>220</v>
      </c>
      <c r="BC27" s="207">
        <f t="shared" si="38"/>
        <v>858.93500000000006</v>
      </c>
      <c r="BD27" s="207"/>
      <c r="BE27" s="898">
        <f>'Energy NPV'!U80</f>
        <v>278.04200000000003</v>
      </c>
      <c r="BF27" s="207">
        <f>'Energy margins'!$X$67</f>
        <v>170</v>
      </c>
      <c r="BG27" s="207">
        <f t="shared" si="6"/>
        <v>224.02100000000002</v>
      </c>
      <c r="BH27" s="207">
        <f t="shared" si="7"/>
        <v>414.91400000000004</v>
      </c>
      <c r="BI27" s="207">
        <f t="shared" si="8"/>
        <v>634.91399999999999</v>
      </c>
      <c r="BJ27" s="208">
        <f t="shared" si="39"/>
        <v>354.77792504110624</v>
      </c>
      <c r="BK27" s="207">
        <f t="shared" si="40"/>
        <v>122.15819059692046</v>
      </c>
      <c r="BL27" s="207">
        <f t="shared" si="41"/>
        <v>124.39090916233054</v>
      </c>
      <c r="BM27" s="207">
        <f t="shared" si="42"/>
        <v>230.38701587877571</v>
      </c>
      <c r="BN27" s="209">
        <f t="shared" si="43"/>
        <v>352.54520647569615</v>
      </c>
      <c r="BO27" s="208">
        <f t="shared" si="66"/>
        <v>7004.3848744654333</v>
      </c>
      <c r="BP27" s="207">
        <f t="shared" si="44"/>
        <v>2666.045235076986</v>
      </c>
      <c r="BQ27" s="207">
        <f t="shared" si="44"/>
        <v>4297.7634432398472</v>
      </c>
      <c r="BR27" s="207">
        <f t="shared" si="44"/>
        <v>2706.6214312255865</v>
      </c>
      <c r="BS27" s="209">
        <f t="shared" si="44"/>
        <v>5372.6666663025726</v>
      </c>
      <c r="BV27" s="206">
        <f t="shared" si="67"/>
        <v>16</v>
      </c>
      <c r="BW27" s="226">
        <f>'Energy NPV'!$D80</f>
        <v>11.617000000000001</v>
      </c>
      <c r="BX27" s="207">
        <f>'Energy margins'!$S$12</f>
        <v>55</v>
      </c>
      <c r="BY27" s="207">
        <f t="shared" si="45"/>
        <v>638.93500000000006</v>
      </c>
      <c r="BZ27" s="207">
        <f>'Margins summary'!$U$14</f>
        <v>220</v>
      </c>
      <c r="CA27" s="207">
        <f t="shared" si="46"/>
        <v>858.93500000000006</v>
      </c>
      <c r="CB27" s="207"/>
      <c r="CC27" s="898">
        <f>'Energy NPV'!U80</f>
        <v>278.04200000000003</v>
      </c>
      <c r="CD27" s="207">
        <f>'Energy margins'!$X$67</f>
        <v>170</v>
      </c>
      <c r="CE27" s="207">
        <f t="shared" si="9"/>
        <v>896.08400000000006</v>
      </c>
      <c r="CF27" s="207">
        <f t="shared" si="10"/>
        <v>-257.149</v>
      </c>
      <c r="CG27" s="207">
        <f t="shared" si="11"/>
        <v>-37.149000000000001</v>
      </c>
      <c r="CH27" s="208">
        <f t="shared" si="47"/>
        <v>354.77792504110624</v>
      </c>
      <c r="CI27" s="207">
        <f t="shared" si="48"/>
        <v>122.15819059692046</v>
      </c>
      <c r="CJ27" s="207">
        <f t="shared" si="49"/>
        <v>497.56363664932218</v>
      </c>
      <c r="CK27" s="207">
        <f t="shared" si="50"/>
        <v>-142.78571160821591</v>
      </c>
      <c r="CL27" s="209">
        <f>CG27/((1+$B$4)^(BV27-1))</f>
        <v>-20.627521011295446</v>
      </c>
      <c r="CM27" s="208">
        <f t="shared" si="68"/>
        <v>7004.3848744654333</v>
      </c>
      <c r="CN27" s="207">
        <f t="shared" si="52"/>
        <v>2666.045235076986</v>
      </c>
      <c r="CO27" s="207">
        <f t="shared" si="53"/>
        <v>17191.053772959389</v>
      </c>
      <c r="CP27" s="207">
        <f t="shared" si="54"/>
        <v>-10186.668898493957</v>
      </c>
      <c r="CQ27" s="209">
        <f t="shared" si="55"/>
        <v>-7520.6236634169663</v>
      </c>
      <c r="CT27" s="206">
        <f t="shared" si="69"/>
        <v>16</v>
      </c>
      <c r="CU27" s="226">
        <f>'Energy NPV'!$D80</f>
        <v>11.617000000000001</v>
      </c>
      <c r="CV27" s="207">
        <f>'Energy margins'!$S$12</f>
        <v>55</v>
      </c>
      <c r="CW27" s="207">
        <f t="shared" si="12"/>
        <v>638.93500000000006</v>
      </c>
      <c r="CX27" s="207">
        <f>'Margins summary'!$U$14</f>
        <v>220</v>
      </c>
      <c r="CY27" s="207">
        <f t="shared" si="56"/>
        <v>858.93500000000006</v>
      </c>
      <c r="CZ27" s="207"/>
      <c r="DA27" s="898">
        <f>'Energy NPV'!U80</f>
        <v>278.04200000000003</v>
      </c>
      <c r="DB27" s="207">
        <f>'Energy margins'!$X$67</f>
        <v>170</v>
      </c>
      <c r="DC27" s="207">
        <f t="shared" si="13"/>
        <v>0</v>
      </c>
      <c r="DD27" s="207">
        <f t="shared" si="14"/>
        <v>638.93500000000006</v>
      </c>
      <c r="DE27" s="207">
        <f t="shared" si="15"/>
        <v>858.93500000000006</v>
      </c>
      <c r="DF27" s="208">
        <f t="shared" si="16"/>
        <v>354.77792504110624</v>
      </c>
      <c r="DG27" s="207">
        <f t="shared" si="17"/>
        <v>122.15819059692046</v>
      </c>
      <c r="DH27" s="207">
        <f t="shared" si="18"/>
        <v>0</v>
      </c>
      <c r="DI27" s="207">
        <f t="shared" si="19"/>
        <v>354.77792504110624</v>
      </c>
      <c r="DJ27" s="209">
        <f t="shared" si="20"/>
        <v>476.93611563802671</v>
      </c>
      <c r="DK27" s="208">
        <f t="shared" si="70"/>
        <v>7004.3848744654333</v>
      </c>
      <c r="DL27" s="207">
        <f t="shared" si="57"/>
        <v>2666.045235076986</v>
      </c>
      <c r="DM27" s="207">
        <f t="shared" si="58"/>
        <v>0</v>
      </c>
      <c r="DN27" s="207">
        <f t="shared" si="59"/>
        <v>7004.3848744654333</v>
      </c>
      <c r="DO27" s="209">
        <f t="shared" si="60"/>
        <v>9670.4301095424198</v>
      </c>
    </row>
    <row r="34" spans="2:175" x14ac:dyDescent="0.3">
      <c r="B34" s="228" t="s">
        <v>498</v>
      </c>
      <c r="C34" s="750" t="s">
        <v>427</v>
      </c>
      <c r="D34" s="269" t="s">
        <v>418</v>
      </c>
      <c r="E34" s="887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Y34" s="102"/>
      <c r="Z34" s="228" t="s">
        <v>498</v>
      </c>
      <c r="AA34" s="211" t="s">
        <v>340</v>
      </c>
      <c r="AB34" s="887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498</v>
      </c>
      <c r="AY34" s="211" t="s">
        <v>341</v>
      </c>
      <c r="AZ34" s="887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498</v>
      </c>
      <c r="BW34" s="211" t="s">
        <v>342</v>
      </c>
      <c r="BX34" s="887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498</v>
      </c>
      <c r="CU34" s="211" t="s">
        <v>343</v>
      </c>
      <c r="CV34" s="887">
        <v>0</v>
      </c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EP34" s="194"/>
      <c r="EQ34" s="193"/>
      <c r="ER34" s="102"/>
      <c r="ES34" s="102"/>
      <c r="ET34" s="102"/>
      <c r="EU34" s="102"/>
      <c r="EV34" s="102"/>
      <c r="EW34" s="102"/>
      <c r="EX34" s="102"/>
      <c r="EY34" s="102"/>
      <c r="EZ34" s="102"/>
      <c r="FA34" s="102"/>
      <c r="FB34" s="102"/>
      <c r="FC34" s="102"/>
      <c r="FD34" s="102"/>
      <c r="FE34" s="102"/>
      <c r="FF34" s="102"/>
      <c r="FG34" s="102"/>
      <c r="FH34" s="102"/>
      <c r="FI34" s="102"/>
      <c r="FJ34" s="102"/>
      <c r="FK34" s="102"/>
      <c r="FL34" s="102"/>
      <c r="FM34" s="102"/>
      <c r="FN34" s="102"/>
      <c r="FO34" s="102"/>
      <c r="FP34" s="102"/>
      <c r="FQ34" s="102"/>
      <c r="FR34" s="102"/>
      <c r="FS34" s="102"/>
    </row>
    <row r="35" spans="2:175" x14ac:dyDescent="0.3">
      <c r="B35" s="203"/>
      <c r="C35" s="148"/>
      <c r="D35" s="148"/>
      <c r="E35" s="970"/>
      <c r="F35" s="970"/>
      <c r="G35" s="970"/>
      <c r="H35" s="148"/>
      <c r="I35" s="910"/>
      <c r="J35" s="970"/>
      <c r="K35" s="970"/>
      <c r="L35" s="148"/>
      <c r="M35" s="148"/>
      <c r="N35" s="971" t="s">
        <v>279</v>
      </c>
      <c r="O35" s="972"/>
      <c r="P35" s="972"/>
      <c r="Q35" s="972"/>
      <c r="R35" s="973"/>
      <c r="S35" s="971" t="s">
        <v>280</v>
      </c>
      <c r="T35" s="972"/>
      <c r="U35" s="972"/>
      <c r="V35" s="972"/>
      <c r="W35" s="973"/>
      <c r="Z35" s="203"/>
      <c r="AA35" s="148"/>
      <c r="AB35" s="148"/>
      <c r="AC35" s="970"/>
      <c r="AD35" s="970"/>
      <c r="AE35" s="970"/>
      <c r="AF35" s="148"/>
      <c r="AG35" s="910"/>
      <c r="AH35" s="970"/>
      <c r="AI35" s="970"/>
      <c r="AJ35" s="148"/>
      <c r="AK35" s="148"/>
      <c r="AL35" s="971" t="s">
        <v>279</v>
      </c>
      <c r="AM35" s="972"/>
      <c r="AN35" s="972"/>
      <c r="AO35" s="972"/>
      <c r="AP35" s="973"/>
      <c r="AQ35" s="971" t="s">
        <v>280</v>
      </c>
      <c r="AR35" s="972"/>
      <c r="AS35" s="972"/>
      <c r="AT35" s="972"/>
      <c r="AU35" s="973"/>
      <c r="AX35" s="203"/>
      <c r="AY35" s="148"/>
      <c r="AZ35" s="148"/>
      <c r="BA35" s="970"/>
      <c r="BB35" s="970"/>
      <c r="BC35" s="970"/>
      <c r="BD35" s="148"/>
      <c r="BE35" s="910"/>
      <c r="BF35" s="970"/>
      <c r="BG35" s="970"/>
      <c r="BH35" s="148"/>
      <c r="BI35" s="148"/>
      <c r="BJ35" s="971" t="s">
        <v>279</v>
      </c>
      <c r="BK35" s="972"/>
      <c r="BL35" s="972"/>
      <c r="BM35" s="972"/>
      <c r="BN35" s="973"/>
      <c r="BO35" s="971" t="s">
        <v>280</v>
      </c>
      <c r="BP35" s="972"/>
      <c r="BQ35" s="972"/>
      <c r="BR35" s="972"/>
      <c r="BS35" s="973"/>
      <c r="BV35" s="203"/>
      <c r="BW35" s="148"/>
      <c r="BX35" s="148"/>
      <c r="BY35" s="970"/>
      <c r="BZ35" s="970"/>
      <c r="CA35" s="970"/>
      <c r="CB35" s="148"/>
      <c r="CC35" s="910"/>
      <c r="CD35" s="970"/>
      <c r="CE35" s="970"/>
      <c r="CF35" s="148"/>
      <c r="CG35" s="148"/>
      <c r="CH35" s="971" t="s">
        <v>279</v>
      </c>
      <c r="CI35" s="972"/>
      <c r="CJ35" s="972"/>
      <c r="CK35" s="972"/>
      <c r="CL35" s="973"/>
      <c r="CM35" s="971" t="s">
        <v>280</v>
      </c>
      <c r="CN35" s="972"/>
      <c r="CO35" s="972"/>
      <c r="CP35" s="972"/>
      <c r="CQ35" s="973"/>
      <c r="CT35" s="203"/>
      <c r="CU35" s="148"/>
      <c r="CV35" s="148"/>
      <c r="CW35" s="970"/>
      <c r="CX35" s="970"/>
      <c r="CY35" s="970"/>
      <c r="CZ35" s="148"/>
      <c r="DA35" s="910"/>
      <c r="DB35" s="970"/>
      <c r="DC35" s="970"/>
      <c r="DD35" s="148"/>
      <c r="DE35" s="148"/>
      <c r="DF35" s="971" t="s">
        <v>279</v>
      </c>
      <c r="DG35" s="972"/>
      <c r="DH35" s="972"/>
      <c r="DI35" s="972"/>
      <c r="DJ35" s="973"/>
      <c r="DK35" s="971" t="s">
        <v>280</v>
      </c>
      <c r="DL35" s="972"/>
      <c r="DM35" s="972"/>
      <c r="DN35" s="972"/>
      <c r="DO35" s="973"/>
    </row>
    <row r="36" spans="2:175" ht="51" x14ac:dyDescent="0.3">
      <c r="B36" s="204" t="s">
        <v>281</v>
      </c>
      <c r="C36" s="205" t="s">
        <v>307</v>
      </c>
      <c r="D36" s="205" t="s">
        <v>308</v>
      </c>
      <c r="E36" s="171" t="s">
        <v>283</v>
      </c>
      <c r="F36" s="171" t="s">
        <v>10</v>
      </c>
      <c r="G36" s="171" t="s">
        <v>284</v>
      </c>
      <c r="H36" s="205" t="s">
        <v>305</v>
      </c>
      <c r="I36" s="914" t="str">
        <f>'Energy NPV'!U89</f>
        <v>Total Recurring Costs</v>
      </c>
      <c r="J36" s="205" t="s">
        <v>309</v>
      </c>
      <c r="K36" s="171" t="s">
        <v>287</v>
      </c>
      <c r="L36" s="171" t="s">
        <v>288</v>
      </c>
      <c r="M36" s="171" t="s">
        <v>289</v>
      </c>
      <c r="N36" s="195" t="s">
        <v>290</v>
      </c>
      <c r="O36" s="171" t="s">
        <v>291</v>
      </c>
      <c r="P36" s="171" t="s">
        <v>292</v>
      </c>
      <c r="Q36" s="171" t="s">
        <v>293</v>
      </c>
      <c r="R36" s="198" t="s">
        <v>294</v>
      </c>
      <c r="S36" s="195" t="s">
        <v>295</v>
      </c>
      <c r="T36" s="171" t="s">
        <v>296</v>
      </c>
      <c r="U36" s="171" t="s">
        <v>297</v>
      </c>
      <c r="V36" s="171" t="s">
        <v>298</v>
      </c>
      <c r="W36" s="198" t="s">
        <v>299</v>
      </c>
      <c r="Z36" s="204" t="s">
        <v>281</v>
      </c>
      <c r="AA36" s="205" t="s">
        <v>307</v>
      </c>
      <c r="AB36" s="205" t="s">
        <v>308</v>
      </c>
      <c r="AC36" s="171" t="s">
        <v>283</v>
      </c>
      <c r="AD36" s="171" t="s">
        <v>10</v>
      </c>
      <c r="AE36" s="171" t="s">
        <v>284</v>
      </c>
      <c r="AF36" s="205" t="s">
        <v>305</v>
      </c>
      <c r="AG36" s="914" t="str">
        <f>'Energy NPV'!U89</f>
        <v>Total Recurring Costs</v>
      </c>
      <c r="AH36" s="205" t="s">
        <v>309</v>
      </c>
      <c r="AI36" s="171" t="s">
        <v>287</v>
      </c>
      <c r="AJ36" s="171" t="s">
        <v>288</v>
      </c>
      <c r="AK36" s="171" t="s">
        <v>289</v>
      </c>
      <c r="AL36" s="195" t="s">
        <v>290</v>
      </c>
      <c r="AM36" s="171" t="s">
        <v>291</v>
      </c>
      <c r="AN36" s="171" t="s">
        <v>292</v>
      </c>
      <c r="AO36" s="171" t="s">
        <v>293</v>
      </c>
      <c r="AP36" s="198" t="s">
        <v>294</v>
      </c>
      <c r="AQ36" s="195" t="s">
        <v>295</v>
      </c>
      <c r="AR36" s="171" t="s">
        <v>296</v>
      </c>
      <c r="AS36" s="171" t="s">
        <v>297</v>
      </c>
      <c r="AT36" s="171" t="s">
        <v>298</v>
      </c>
      <c r="AU36" s="198" t="s">
        <v>299</v>
      </c>
      <c r="AX36" s="204" t="s">
        <v>281</v>
      </c>
      <c r="AY36" s="205" t="s">
        <v>307</v>
      </c>
      <c r="AZ36" s="205" t="s">
        <v>308</v>
      </c>
      <c r="BA36" s="171" t="s">
        <v>283</v>
      </c>
      <c r="BB36" s="171" t="s">
        <v>10</v>
      </c>
      <c r="BC36" s="171" t="s">
        <v>284</v>
      </c>
      <c r="BD36" s="205" t="s">
        <v>305</v>
      </c>
      <c r="BE36" s="914" t="str">
        <f>'Energy NPV'!U89</f>
        <v>Total Recurring Costs</v>
      </c>
      <c r="BF36" s="205" t="s">
        <v>309</v>
      </c>
      <c r="BG36" s="171" t="s">
        <v>287</v>
      </c>
      <c r="BH36" s="171" t="s">
        <v>288</v>
      </c>
      <c r="BI36" s="171" t="s">
        <v>289</v>
      </c>
      <c r="BJ36" s="195" t="s">
        <v>290</v>
      </c>
      <c r="BK36" s="171" t="s">
        <v>291</v>
      </c>
      <c r="BL36" s="171" t="s">
        <v>292</v>
      </c>
      <c r="BM36" s="171" t="s">
        <v>293</v>
      </c>
      <c r="BN36" s="198" t="s">
        <v>294</v>
      </c>
      <c r="BO36" s="195" t="s">
        <v>295</v>
      </c>
      <c r="BP36" s="171" t="s">
        <v>296</v>
      </c>
      <c r="BQ36" s="171" t="s">
        <v>297</v>
      </c>
      <c r="BR36" s="171" t="s">
        <v>298</v>
      </c>
      <c r="BS36" s="198" t="s">
        <v>299</v>
      </c>
      <c r="BV36" s="204" t="s">
        <v>281</v>
      </c>
      <c r="BW36" s="205" t="s">
        <v>307</v>
      </c>
      <c r="BX36" s="205" t="s">
        <v>308</v>
      </c>
      <c r="BY36" s="171" t="s">
        <v>283</v>
      </c>
      <c r="BZ36" s="171" t="s">
        <v>10</v>
      </c>
      <c r="CA36" s="171" t="s">
        <v>284</v>
      </c>
      <c r="CB36" s="205" t="s">
        <v>305</v>
      </c>
      <c r="CC36" s="914" t="str">
        <f>'Energy NPV'!U89</f>
        <v>Total Recurring Costs</v>
      </c>
      <c r="CD36" s="205" t="s">
        <v>309</v>
      </c>
      <c r="CE36" s="171" t="s">
        <v>287</v>
      </c>
      <c r="CF36" s="171" t="s">
        <v>288</v>
      </c>
      <c r="CG36" s="171" t="s">
        <v>289</v>
      </c>
      <c r="CH36" s="195" t="s">
        <v>290</v>
      </c>
      <c r="CI36" s="171" t="s">
        <v>291</v>
      </c>
      <c r="CJ36" s="171" t="s">
        <v>292</v>
      </c>
      <c r="CK36" s="171" t="s">
        <v>293</v>
      </c>
      <c r="CL36" s="198" t="s">
        <v>294</v>
      </c>
      <c r="CM36" s="195" t="s">
        <v>295</v>
      </c>
      <c r="CN36" s="171" t="s">
        <v>296</v>
      </c>
      <c r="CO36" s="171" t="s">
        <v>297</v>
      </c>
      <c r="CP36" s="171" t="s">
        <v>298</v>
      </c>
      <c r="CQ36" s="198" t="s">
        <v>299</v>
      </c>
      <c r="CT36" s="204" t="s">
        <v>281</v>
      </c>
      <c r="CU36" s="205" t="s">
        <v>307</v>
      </c>
      <c r="CV36" s="205" t="s">
        <v>308</v>
      </c>
      <c r="CW36" s="171" t="s">
        <v>283</v>
      </c>
      <c r="CX36" s="171" t="s">
        <v>10</v>
      </c>
      <c r="CY36" s="171" t="s">
        <v>284</v>
      </c>
      <c r="CZ36" s="205" t="s">
        <v>305</v>
      </c>
      <c r="DA36" s="914" t="str">
        <f>'Energy NPV'!U89</f>
        <v>Total Recurring Costs</v>
      </c>
      <c r="DB36" s="205" t="s">
        <v>309</v>
      </c>
      <c r="DC36" s="171" t="s">
        <v>287</v>
      </c>
      <c r="DD36" s="171" t="s">
        <v>288</v>
      </c>
      <c r="DE36" s="171" t="s">
        <v>289</v>
      </c>
      <c r="DF36" s="195" t="s">
        <v>290</v>
      </c>
      <c r="DG36" s="171" t="s">
        <v>291</v>
      </c>
      <c r="DH36" s="171" t="s">
        <v>292</v>
      </c>
      <c r="DI36" s="171" t="s">
        <v>293</v>
      </c>
      <c r="DJ36" s="198" t="s">
        <v>294</v>
      </c>
      <c r="DK36" s="195" t="s">
        <v>295</v>
      </c>
      <c r="DL36" s="171" t="s">
        <v>296</v>
      </c>
      <c r="DM36" s="171" t="s">
        <v>297</v>
      </c>
      <c r="DN36" s="171" t="s">
        <v>298</v>
      </c>
      <c r="DO36" s="198" t="s">
        <v>299</v>
      </c>
    </row>
    <row r="37" spans="2:175" x14ac:dyDescent="0.3">
      <c r="B37" s="173"/>
      <c r="C37" s="226" t="s">
        <v>356</v>
      </c>
      <c r="D37" s="226" t="s">
        <v>476</v>
      </c>
      <c r="E37" s="201" t="s">
        <v>474</v>
      </c>
      <c r="F37" s="201" t="s">
        <v>474</v>
      </c>
      <c r="G37" s="201" t="s">
        <v>474</v>
      </c>
      <c r="H37" s="201" t="s">
        <v>474</v>
      </c>
      <c r="I37" s="948" t="str">
        <f>'Energy NPV'!U90</f>
        <v>(£ ha-1)</v>
      </c>
      <c r="J37" s="201" t="s">
        <v>474</v>
      </c>
      <c r="K37" s="201" t="s">
        <v>474</v>
      </c>
      <c r="L37" s="201" t="s">
        <v>474</v>
      </c>
      <c r="M37" s="202" t="s">
        <v>474</v>
      </c>
      <c r="N37" s="201" t="s">
        <v>474</v>
      </c>
      <c r="O37" s="201" t="s">
        <v>474</v>
      </c>
      <c r="P37" s="201" t="s">
        <v>474</v>
      </c>
      <c r="Q37" s="201" t="s">
        <v>474</v>
      </c>
      <c r="R37" s="202" t="s">
        <v>474</v>
      </c>
      <c r="S37" s="201" t="s">
        <v>474</v>
      </c>
      <c r="T37" s="201" t="s">
        <v>474</v>
      </c>
      <c r="U37" s="201" t="s">
        <v>474</v>
      </c>
      <c r="V37" s="201" t="s">
        <v>474</v>
      </c>
      <c r="W37" s="202" t="s">
        <v>474</v>
      </c>
      <c r="Z37" s="173"/>
      <c r="AA37" s="226" t="s">
        <v>356</v>
      </c>
      <c r="AB37" s="226" t="s">
        <v>476</v>
      </c>
      <c r="AC37" s="201" t="s">
        <v>474</v>
      </c>
      <c r="AD37" s="201" t="s">
        <v>474</v>
      </c>
      <c r="AE37" s="201" t="s">
        <v>474</v>
      </c>
      <c r="AF37" s="201" t="s">
        <v>474</v>
      </c>
      <c r="AG37" s="948" t="str">
        <f>'Energy NPV'!U90</f>
        <v>(£ ha-1)</v>
      </c>
      <c r="AH37" s="201" t="s">
        <v>474</v>
      </c>
      <c r="AI37" s="201" t="s">
        <v>474</v>
      </c>
      <c r="AJ37" s="201" t="s">
        <v>474</v>
      </c>
      <c r="AK37" s="202" t="s">
        <v>474</v>
      </c>
      <c r="AL37" s="201" t="s">
        <v>474</v>
      </c>
      <c r="AM37" s="201" t="s">
        <v>474</v>
      </c>
      <c r="AN37" s="201" t="s">
        <v>474</v>
      </c>
      <c r="AO37" s="201" t="s">
        <v>474</v>
      </c>
      <c r="AP37" s="202" t="s">
        <v>474</v>
      </c>
      <c r="AQ37" s="201" t="s">
        <v>474</v>
      </c>
      <c r="AR37" s="201" t="s">
        <v>474</v>
      </c>
      <c r="AS37" s="201" t="s">
        <v>474</v>
      </c>
      <c r="AT37" s="201" t="s">
        <v>474</v>
      </c>
      <c r="AU37" s="202" t="s">
        <v>474</v>
      </c>
      <c r="AX37" s="173"/>
      <c r="AY37" s="226" t="s">
        <v>356</v>
      </c>
      <c r="AZ37" s="226" t="s">
        <v>476</v>
      </c>
      <c r="BA37" s="201" t="s">
        <v>474</v>
      </c>
      <c r="BB37" s="201" t="s">
        <v>474</v>
      </c>
      <c r="BC37" s="201" t="s">
        <v>474</v>
      </c>
      <c r="BD37" s="201" t="s">
        <v>474</v>
      </c>
      <c r="BE37" s="948" t="str">
        <f>'Energy NPV'!U90</f>
        <v>(£ ha-1)</v>
      </c>
      <c r="BF37" s="201" t="s">
        <v>474</v>
      </c>
      <c r="BG37" s="201" t="s">
        <v>474</v>
      </c>
      <c r="BH37" s="201" t="s">
        <v>474</v>
      </c>
      <c r="BI37" s="202" t="s">
        <v>474</v>
      </c>
      <c r="BJ37" s="201" t="s">
        <v>474</v>
      </c>
      <c r="BK37" s="201" t="s">
        <v>474</v>
      </c>
      <c r="BL37" s="201" t="s">
        <v>474</v>
      </c>
      <c r="BM37" s="201" t="s">
        <v>474</v>
      </c>
      <c r="BN37" s="202" t="s">
        <v>474</v>
      </c>
      <c r="BO37" s="201" t="s">
        <v>474</v>
      </c>
      <c r="BP37" s="201" t="s">
        <v>474</v>
      </c>
      <c r="BQ37" s="201" t="s">
        <v>474</v>
      </c>
      <c r="BR37" s="201" t="s">
        <v>474</v>
      </c>
      <c r="BS37" s="202" t="s">
        <v>474</v>
      </c>
      <c r="BV37" s="173"/>
      <c r="BW37" s="226" t="s">
        <v>356</v>
      </c>
      <c r="BX37" s="226" t="s">
        <v>476</v>
      </c>
      <c r="BY37" s="201" t="s">
        <v>474</v>
      </c>
      <c r="BZ37" s="201" t="s">
        <v>474</v>
      </c>
      <c r="CA37" s="201" t="s">
        <v>474</v>
      </c>
      <c r="CB37" s="201" t="s">
        <v>474</v>
      </c>
      <c r="CC37" s="948" t="str">
        <f>'Energy NPV'!U90</f>
        <v>(£ ha-1)</v>
      </c>
      <c r="CD37" s="201" t="s">
        <v>474</v>
      </c>
      <c r="CE37" s="201" t="s">
        <v>474</v>
      </c>
      <c r="CF37" s="201" t="s">
        <v>474</v>
      </c>
      <c r="CG37" s="202" t="s">
        <v>474</v>
      </c>
      <c r="CH37" s="201" t="s">
        <v>474</v>
      </c>
      <c r="CI37" s="201" t="s">
        <v>474</v>
      </c>
      <c r="CJ37" s="201" t="s">
        <v>474</v>
      </c>
      <c r="CK37" s="201" t="s">
        <v>474</v>
      </c>
      <c r="CL37" s="202" t="s">
        <v>474</v>
      </c>
      <c r="CM37" s="201" t="s">
        <v>474</v>
      </c>
      <c r="CN37" s="201" t="s">
        <v>474</v>
      </c>
      <c r="CO37" s="201" t="s">
        <v>474</v>
      </c>
      <c r="CP37" s="201" t="s">
        <v>474</v>
      </c>
      <c r="CQ37" s="202" t="s">
        <v>474</v>
      </c>
      <c r="CT37" s="173"/>
      <c r="CU37" s="226" t="s">
        <v>356</v>
      </c>
      <c r="CV37" s="226" t="s">
        <v>476</v>
      </c>
      <c r="CW37" s="201" t="s">
        <v>474</v>
      </c>
      <c r="CX37" s="201" t="s">
        <v>474</v>
      </c>
      <c r="CY37" s="201" t="s">
        <v>474</v>
      </c>
      <c r="CZ37" s="201" t="s">
        <v>474</v>
      </c>
      <c r="DA37" s="948" t="str">
        <f>'Energy NPV'!U90</f>
        <v>(£ ha-1)</v>
      </c>
      <c r="DB37" s="201" t="s">
        <v>474</v>
      </c>
      <c r="DC37" s="201" t="s">
        <v>474</v>
      </c>
      <c r="DD37" s="201" t="s">
        <v>474</v>
      </c>
      <c r="DE37" s="202" t="s">
        <v>474</v>
      </c>
      <c r="DF37" s="201" t="s">
        <v>474</v>
      </c>
      <c r="DG37" s="201" t="s">
        <v>474</v>
      </c>
      <c r="DH37" s="201" t="s">
        <v>474</v>
      </c>
      <c r="DI37" s="201" t="s">
        <v>474</v>
      </c>
      <c r="DJ37" s="202" t="s">
        <v>474</v>
      </c>
      <c r="DK37" s="201" t="s">
        <v>474</v>
      </c>
      <c r="DL37" s="201" t="s">
        <v>474</v>
      </c>
      <c r="DM37" s="201" t="s">
        <v>474</v>
      </c>
      <c r="DN37" s="201" t="s">
        <v>474</v>
      </c>
      <c r="DO37" s="202" t="s">
        <v>474</v>
      </c>
    </row>
    <row r="38" spans="2:175" x14ac:dyDescent="0.3">
      <c r="B38" s="204">
        <v>1</v>
      </c>
      <c r="C38" s="197">
        <f>'Energy NPV'!$D91</f>
        <v>0</v>
      </c>
      <c r="D38" s="197">
        <f>'Energy margins'!$Z$12</f>
        <v>55</v>
      </c>
      <c r="E38" s="197">
        <f>C38*D38</f>
        <v>0</v>
      </c>
      <c r="F38" s="197">
        <f>'Margins summary'!$W$14</f>
        <v>220</v>
      </c>
      <c r="G38" s="197">
        <f>E38+F38</f>
        <v>220</v>
      </c>
      <c r="H38" s="197">
        <f>'Margins summary'!$V$20</f>
        <v>1992.2819999999999</v>
      </c>
      <c r="I38" s="897">
        <f>'Energy NPV'!U91</f>
        <v>0</v>
      </c>
      <c r="J38" s="197"/>
      <c r="K38" s="197">
        <f t="shared" ref="K38:K53" si="71">(H38+I38+J38)*$E$34</f>
        <v>1992.2819999999999</v>
      </c>
      <c r="L38" s="197">
        <f t="shared" ref="L38:L53" si="72">E38-K38</f>
        <v>-1992.2819999999999</v>
      </c>
      <c r="M38" s="197">
        <f t="shared" ref="M38:M53" si="73">G38-K38</f>
        <v>-1772.2819999999999</v>
      </c>
      <c r="N38" s="1016">
        <f>E38/((1+$B$4)^($B38-1))</f>
        <v>0</v>
      </c>
      <c r="O38" s="213">
        <f>F38/((1+$B$4)^($B38-1))</f>
        <v>220</v>
      </c>
      <c r="P38" s="213">
        <f>K38/((1+$B$4)^($B38-1))</f>
        <v>1992.2819999999999</v>
      </c>
      <c r="Q38" s="213">
        <f>L38/((1+$B$4)^($B38-1))</f>
        <v>-1992.2819999999999</v>
      </c>
      <c r="R38" s="908">
        <f>M38/((1+$B$4)^($B38-1))</f>
        <v>-1772.2819999999999</v>
      </c>
      <c r="S38" s="196">
        <f>N38</f>
        <v>0</v>
      </c>
      <c r="T38" s="197">
        <f>O38</f>
        <v>220</v>
      </c>
      <c r="U38" s="197">
        <f>P38</f>
        <v>1992.2819999999999</v>
      </c>
      <c r="V38" s="197">
        <f>Q38</f>
        <v>-1992.2819999999999</v>
      </c>
      <c r="W38" s="199">
        <f>R38</f>
        <v>-1772.2819999999999</v>
      </c>
      <c r="Z38" s="204">
        <v>1</v>
      </c>
      <c r="AA38" s="197">
        <f>'Energy NPV'!$D91</f>
        <v>0</v>
      </c>
      <c r="AB38" s="197">
        <f>'Energy margins'!$Z$12</f>
        <v>55</v>
      </c>
      <c r="AC38" s="197">
        <f>AA38*AB38</f>
        <v>0</v>
      </c>
      <c r="AD38" s="197">
        <f>'Margins summary'!$W$14</f>
        <v>220</v>
      </c>
      <c r="AE38" s="197">
        <f>AC38+AD38</f>
        <v>220</v>
      </c>
      <c r="AF38" s="197">
        <f>'Margins summary'!$V$20</f>
        <v>1992.2819999999999</v>
      </c>
      <c r="AG38" s="897">
        <f>'Energy NPV'!U91</f>
        <v>0</v>
      </c>
      <c r="AH38" s="197"/>
      <c r="AI38" s="197">
        <f t="shared" ref="AI38:AI53" si="74">(AF38+AG38+AH38)*$AB$34</f>
        <v>2988.4229999999998</v>
      </c>
      <c r="AJ38" s="197">
        <f t="shared" ref="AJ38:AJ53" si="75">AC38-AI38</f>
        <v>-2988.4229999999998</v>
      </c>
      <c r="AK38" s="197">
        <f t="shared" ref="AK38:AK53" si="76">AE38-AI38</f>
        <v>-2768.4229999999998</v>
      </c>
      <c r="AL38" s="1016">
        <f>AC38/((1+$B$4)^($B38-1))</f>
        <v>0</v>
      </c>
      <c r="AM38" s="213">
        <f>AD38/((1+$B$4)^($B38-1))</f>
        <v>220</v>
      </c>
      <c r="AN38" s="213">
        <f>AI38/((1+$B$4)^($B38-1))</f>
        <v>2988.4229999999998</v>
      </c>
      <c r="AO38" s="213">
        <f>AJ38/((1+$B$4)^($B38-1))</f>
        <v>-2988.4229999999998</v>
      </c>
      <c r="AP38" s="908">
        <f>AK38/((1+$B$4)^($B38-1))</f>
        <v>-2768.4229999999998</v>
      </c>
      <c r="AQ38" s="196">
        <f>AL38</f>
        <v>0</v>
      </c>
      <c r="AR38" s="197">
        <f>AM38</f>
        <v>220</v>
      </c>
      <c r="AS38" s="197">
        <f>AN38</f>
        <v>2988.4229999999998</v>
      </c>
      <c r="AT38" s="197">
        <f>AO38</f>
        <v>-2988.4229999999998</v>
      </c>
      <c r="AU38" s="199">
        <f>AP38</f>
        <v>-2768.4229999999998</v>
      </c>
      <c r="AX38" s="204">
        <v>1</v>
      </c>
      <c r="AY38" s="197">
        <f>'Energy NPV'!$D91</f>
        <v>0</v>
      </c>
      <c r="AZ38" s="197">
        <f>'Energy margins'!$Z$12</f>
        <v>55</v>
      </c>
      <c r="BA38" s="197">
        <f>AY38*AZ38</f>
        <v>0</v>
      </c>
      <c r="BB38" s="197">
        <f>'Margins summary'!$W$14</f>
        <v>220</v>
      </c>
      <c r="BC38" s="197">
        <f>BA38+BB38</f>
        <v>220</v>
      </c>
      <c r="BD38" s="197">
        <f>'Margins summary'!$V$20</f>
        <v>1992.2819999999999</v>
      </c>
      <c r="BE38" s="897">
        <f>'Energy NPV'!U91</f>
        <v>0</v>
      </c>
      <c r="BF38" s="197"/>
      <c r="BG38" s="197">
        <f t="shared" ref="BG38:BG53" si="77">(BD38+BE38+BF38)*$AZ$34</f>
        <v>996.14099999999996</v>
      </c>
      <c r="BH38" s="197">
        <f t="shared" ref="BH38:BH53" si="78">BA38-BG38</f>
        <v>-996.14099999999996</v>
      </c>
      <c r="BI38" s="197">
        <f t="shared" ref="BI38:BI53" si="79">BC38-BG38</f>
        <v>-776.14099999999996</v>
      </c>
      <c r="BJ38" s="1016">
        <f>BA38/((1+$B$4)^($B38-1))</f>
        <v>0</v>
      </c>
      <c r="BK38" s="213">
        <f>BB38/((1+$B$4)^($B38-1))</f>
        <v>220</v>
      </c>
      <c r="BL38" s="213">
        <f>BG38/((1+$B$4)^($B38-1))</f>
        <v>996.14099999999996</v>
      </c>
      <c r="BM38" s="213">
        <f>BH38/((1+$B$4)^($B38-1))</f>
        <v>-996.14099999999996</v>
      </c>
      <c r="BN38" s="908">
        <f>BI38/((1+$B$4)^($B38-1))</f>
        <v>-776.14099999999996</v>
      </c>
      <c r="BO38" s="196">
        <f>BJ38</f>
        <v>0</v>
      </c>
      <c r="BP38" s="197">
        <f>BK38</f>
        <v>220</v>
      </c>
      <c r="BQ38" s="197">
        <f>BL38</f>
        <v>996.14099999999996</v>
      </c>
      <c r="BR38" s="197">
        <f>BM38</f>
        <v>-996.14099999999996</v>
      </c>
      <c r="BS38" s="199">
        <f>BN38</f>
        <v>-776.14099999999996</v>
      </c>
      <c r="BV38" s="204">
        <v>1</v>
      </c>
      <c r="BW38" s="197">
        <f>'Energy NPV'!$D91</f>
        <v>0</v>
      </c>
      <c r="BX38" s="197">
        <f>'Energy margins'!$Z$12</f>
        <v>55</v>
      </c>
      <c r="BY38" s="197">
        <f>BW38*BX38</f>
        <v>0</v>
      </c>
      <c r="BZ38" s="197">
        <f>'Margins summary'!$W$14</f>
        <v>220</v>
      </c>
      <c r="CA38" s="197">
        <f>BY38+BZ38</f>
        <v>220</v>
      </c>
      <c r="CB38" s="197">
        <f>'Margins summary'!$V$20</f>
        <v>1992.2819999999999</v>
      </c>
      <c r="CC38" s="897">
        <f>'Energy NPV'!U91</f>
        <v>0</v>
      </c>
      <c r="CD38" s="197"/>
      <c r="CE38" s="197">
        <f t="shared" ref="CE38:CE53" si="80">(CB38+CC38+CD38)*$BX$34</f>
        <v>3984.5639999999999</v>
      </c>
      <c r="CF38" s="197">
        <f t="shared" ref="CF38:CF53" si="81">BY38-CE38</f>
        <v>-3984.5639999999999</v>
      </c>
      <c r="CG38" s="197">
        <f t="shared" ref="CG38:CG53" si="82">CA38-CE38</f>
        <v>-3764.5639999999999</v>
      </c>
      <c r="CH38" s="1016">
        <f>BY38/((1+$B$4)^($B38-1))</f>
        <v>0</v>
      </c>
      <c r="CI38" s="213">
        <f>BZ38/((1+$B$4)^($B38-1))</f>
        <v>220</v>
      </c>
      <c r="CJ38" s="213">
        <f>CE38/((1+$B$4)^($B38-1))</f>
        <v>3984.5639999999999</v>
      </c>
      <c r="CK38" s="213">
        <f>CF38/((1+$B$4)^($B38-1))</f>
        <v>-3984.5639999999999</v>
      </c>
      <c r="CL38" s="908">
        <f>CG38/((1+$B$4)^($B38-1))</f>
        <v>-3764.5639999999999</v>
      </c>
      <c r="CM38" s="196">
        <f>CH38</f>
        <v>0</v>
      </c>
      <c r="CN38" s="197">
        <f>CI38</f>
        <v>220</v>
      </c>
      <c r="CO38" s="197">
        <f>CJ38</f>
        <v>3984.5639999999999</v>
      </c>
      <c r="CP38" s="197">
        <f>CK38</f>
        <v>-3984.5639999999999</v>
      </c>
      <c r="CQ38" s="199">
        <f>CL38</f>
        <v>-3764.5639999999999</v>
      </c>
      <c r="CT38" s="204">
        <v>1</v>
      </c>
      <c r="CU38" s="197">
        <f>'Energy NPV'!$D91</f>
        <v>0</v>
      </c>
      <c r="CV38" s="197">
        <f>'Energy margins'!$Z$12</f>
        <v>55</v>
      </c>
      <c r="CW38" s="197">
        <f t="shared" ref="CW38:CW52" si="83">CU38*CV38</f>
        <v>0</v>
      </c>
      <c r="CX38" s="197">
        <f>'Margins summary'!$W$14</f>
        <v>220</v>
      </c>
      <c r="CY38" s="197">
        <f t="shared" ref="CY38:CY52" si="84">CW38+CX38</f>
        <v>220</v>
      </c>
      <c r="CZ38" s="197">
        <f>'Margins summary'!$V$20</f>
        <v>1992.2819999999999</v>
      </c>
      <c r="DA38" s="897">
        <f>'Energy NPV'!U91</f>
        <v>0</v>
      </c>
      <c r="DB38" s="197"/>
      <c r="DC38" s="197">
        <f t="shared" ref="DC38:DC52" si="85">(CZ38+DA38+DB38)*$CV$34</f>
        <v>0</v>
      </c>
      <c r="DD38" s="197">
        <f t="shared" ref="DD38:DD52" si="86">CW38-DC38</f>
        <v>0</v>
      </c>
      <c r="DE38" s="197">
        <f t="shared" ref="DE38:DE52" si="87">CY38-DC38</f>
        <v>220</v>
      </c>
      <c r="DF38" s="1016">
        <f>CW38/((1+$B$4)^($B38-1))</f>
        <v>0</v>
      </c>
      <c r="DG38" s="213">
        <f>CX38/((1+$B$4)^($B38-1))</f>
        <v>220</v>
      </c>
      <c r="DH38" s="213">
        <f>DC38/((1+$B$4)^($B38-1))</f>
        <v>0</v>
      </c>
      <c r="DI38" s="213">
        <f>DD38/((1+$B$4)^($B38-1))</f>
        <v>0</v>
      </c>
      <c r="DJ38" s="908">
        <f>DE38/((1+$B$4)^($B38-1))</f>
        <v>220</v>
      </c>
      <c r="DK38" s="196">
        <f>DF38</f>
        <v>0</v>
      </c>
      <c r="DL38" s="197">
        <f>DG38</f>
        <v>220</v>
      </c>
      <c r="DM38" s="197">
        <f>DH38</f>
        <v>0</v>
      </c>
      <c r="DN38" s="197">
        <f>DI38</f>
        <v>0</v>
      </c>
      <c r="DO38" s="199">
        <f>DJ38</f>
        <v>220</v>
      </c>
    </row>
    <row r="39" spans="2:175" x14ac:dyDescent="0.3">
      <c r="B39" s="204">
        <v>2</v>
      </c>
      <c r="C39" s="197">
        <f>'Energy NPV'!$D92</f>
        <v>9.9333333333333336</v>
      </c>
      <c r="D39" s="197">
        <f>'Energy margins'!$Z$12</f>
        <v>55</v>
      </c>
      <c r="E39" s="197">
        <f>C39*D39</f>
        <v>546.33333333333337</v>
      </c>
      <c r="F39" s="197">
        <f>'Margins summary'!$W$14</f>
        <v>220</v>
      </c>
      <c r="G39" s="197">
        <f t="shared" ref="G39:G53" si="88">E39+F39</f>
        <v>766.33333333333337</v>
      </c>
      <c r="H39" s="197"/>
      <c r="I39" s="897">
        <f>'Energy NPV'!U92</f>
        <v>529.78199999999993</v>
      </c>
      <c r="J39" s="197"/>
      <c r="K39" s="197">
        <f t="shared" si="71"/>
        <v>529.78199999999993</v>
      </c>
      <c r="L39" s="197">
        <f t="shared" si="72"/>
        <v>16.551333333333446</v>
      </c>
      <c r="M39" s="197">
        <f t="shared" si="73"/>
        <v>236.55133333333345</v>
      </c>
      <c r="N39" s="196">
        <f t="shared" ref="N39:O53" si="89">E39/((1+$B$4)^($B39-1))</f>
        <v>525.32051282051282</v>
      </c>
      <c r="O39" s="197">
        <f t="shared" si="89"/>
        <v>211.53846153846152</v>
      </c>
      <c r="P39" s="197">
        <f t="shared" ref="P39:R53" si="90">K39/((1+$B$4)^($B39-1))</f>
        <v>509.40576923076912</v>
      </c>
      <c r="Q39" s="197">
        <f t="shared" si="90"/>
        <v>15.914743589743697</v>
      </c>
      <c r="R39" s="199">
        <f t="shared" si="90"/>
        <v>227.45320512820524</v>
      </c>
      <c r="S39" s="196">
        <f>S38+N39</f>
        <v>525.32051282051282</v>
      </c>
      <c r="T39" s="197">
        <f t="shared" ref="T39:W53" si="91">T38+O39</f>
        <v>431.53846153846155</v>
      </c>
      <c r="U39" s="197">
        <f t="shared" si="91"/>
        <v>2501.6877692307689</v>
      </c>
      <c r="V39" s="197">
        <f t="shared" si="91"/>
        <v>-1976.3672564102562</v>
      </c>
      <c r="W39" s="199">
        <f t="shared" si="91"/>
        <v>-1544.8287948717948</v>
      </c>
      <c r="Z39" s="204">
        <v>2</v>
      </c>
      <c r="AA39" s="197">
        <f>'Energy NPV'!$D92</f>
        <v>9.9333333333333336</v>
      </c>
      <c r="AB39" s="197">
        <f>'Energy margins'!$Z$12</f>
        <v>55</v>
      </c>
      <c r="AC39" s="197">
        <f>AA39*AB39</f>
        <v>546.33333333333337</v>
      </c>
      <c r="AD39" s="197">
        <f>'Margins summary'!$W$14</f>
        <v>220</v>
      </c>
      <c r="AE39" s="197">
        <f t="shared" ref="AE39:AE53" si="92">AC39+AD39</f>
        <v>766.33333333333337</v>
      </c>
      <c r="AF39" s="197"/>
      <c r="AG39" s="897">
        <f>'Energy NPV'!U92</f>
        <v>529.78199999999993</v>
      </c>
      <c r="AH39" s="197"/>
      <c r="AI39" s="197">
        <f t="shared" si="74"/>
        <v>794.67299999999989</v>
      </c>
      <c r="AJ39" s="197">
        <f t="shared" si="75"/>
        <v>-248.33966666666652</v>
      </c>
      <c r="AK39" s="197">
        <f t="shared" si="76"/>
        <v>-28.339666666666517</v>
      </c>
      <c r="AL39" s="196">
        <f t="shared" ref="AL39:AM53" si="93">AC39/((1+$B$4)^($B39-1))</f>
        <v>525.32051282051282</v>
      </c>
      <c r="AM39" s="197">
        <f t="shared" si="93"/>
        <v>211.53846153846152</v>
      </c>
      <c r="AN39" s="197">
        <f t="shared" ref="AN39:AP53" si="94">AI39/((1+$B$4)^($B39-1))</f>
        <v>764.10865384615374</v>
      </c>
      <c r="AO39" s="197">
        <f t="shared" si="94"/>
        <v>-238.78814102564087</v>
      </c>
      <c r="AP39" s="199">
        <f t="shared" si="94"/>
        <v>-27.249679487179343</v>
      </c>
      <c r="AQ39" s="196">
        <f>AQ38+AL39</f>
        <v>525.32051282051282</v>
      </c>
      <c r="AR39" s="197">
        <f t="shared" ref="AR39:AU53" si="95">AR38+AM39</f>
        <v>431.53846153846155</v>
      </c>
      <c r="AS39" s="197">
        <f t="shared" si="95"/>
        <v>3752.5316538461534</v>
      </c>
      <c r="AT39" s="197">
        <f t="shared" si="95"/>
        <v>-3227.2111410256407</v>
      </c>
      <c r="AU39" s="199">
        <f t="shared" si="95"/>
        <v>-2795.6726794871793</v>
      </c>
      <c r="AX39" s="204">
        <v>2</v>
      </c>
      <c r="AY39" s="197">
        <f>'Energy NPV'!$D92</f>
        <v>9.9333333333333336</v>
      </c>
      <c r="AZ39" s="197">
        <f>'Energy margins'!$Z$12</f>
        <v>55</v>
      </c>
      <c r="BA39" s="197">
        <f>AY39*AZ39</f>
        <v>546.33333333333337</v>
      </c>
      <c r="BB39" s="197">
        <f>'Margins summary'!$W$14</f>
        <v>220</v>
      </c>
      <c r="BC39" s="197">
        <f t="shared" ref="BC39:BC53" si="96">BA39+BB39</f>
        <v>766.33333333333337</v>
      </c>
      <c r="BD39" s="197"/>
      <c r="BE39" s="897">
        <f>'Energy NPV'!U92</f>
        <v>529.78199999999993</v>
      </c>
      <c r="BF39" s="197"/>
      <c r="BG39" s="197">
        <f t="shared" si="77"/>
        <v>264.89099999999996</v>
      </c>
      <c r="BH39" s="197">
        <f t="shared" si="78"/>
        <v>281.44233333333341</v>
      </c>
      <c r="BI39" s="197">
        <f t="shared" si="79"/>
        <v>501.44233333333341</v>
      </c>
      <c r="BJ39" s="196">
        <f t="shared" ref="BJ39:BK53" si="97">BA39/((1+$B$4)^($B39-1))</f>
        <v>525.32051282051282</v>
      </c>
      <c r="BK39" s="197">
        <f t="shared" si="97"/>
        <v>211.53846153846152</v>
      </c>
      <c r="BL39" s="197">
        <f t="shared" ref="BL39:BN53" si="98">BG39/((1+$B$4)^($B39-1))</f>
        <v>254.70288461538456</v>
      </c>
      <c r="BM39" s="197">
        <f t="shared" si="98"/>
        <v>270.61762820512826</v>
      </c>
      <c r="BN39" s="199">
        <f t="shared" si="98"/>
        <v>482.1560897435898</v>
      </c>
      <c r="BO39" s="196">
        <f>BO38+BJ39</f>
        <v>525.32051282051282</v>
      </c>
      <c r="BP39" s="197">
        <f t="shared" ref="BP39:BP53" si="99">BP38+BK39</f>
        <v>431.53846153846155</v>
      </c>
      <c r="BQ39" s="197">
        <f t="shared" ref="BQ39:BQ53" si="100">BQ38+BL39</f>
        <v>1250.8438846153845</v>
      </c>
      <c r="BR39" s="197">
        <f t="shared" ref="BR39:BR53" si="101">BR38+BM39</f>
        <v>-725.52337179487176</v>
      </c>
      <c r="BS39" s="199">
        <f t="shared" ref="BS39:BS53" si="102">BS38+BN39</f>
        <v>-293.98491025641016</v>
      </c>
      <c r="BV39" s="204">
        <v>2</v>
      </c>
      <c r="BW39" s="197">
        <f>'Energy NPV'!$D92</f>
        <v>9.9333333333333336</v>
      </c>
      <c r="BX39" s="197">
        <f>'Energy margins'!$Z$12</f>
        <v>55</v>
      </c>
      <c r="BY39" s="197">
        <f>BW39*BX39</f>
        <v>546.33333333333337</v>
      </c>
      <c r="BZ39" s="197">
        <f>'Margins summary'!$W$14</f>
        <v>220</v>
      </c>
      <c r="CA39" s="197">
        <f t="shared" ref="CA39:CA53" si="103">BY39+BZ39</f>
        <v>766.33333333333337</v>
      </c>
      <c r="CB39" s="197"/>
      <c r="CC39" s="897">
        <f>'Energy NPV'!U92</f>
        <v>529.78199999999993</v>
      </c>
      <c r="CD39" s="197"/>
      <c r="CE39" s="197">
        <f t="shared" si="80"/>
        <v>1059.5639999999999</v>
      </c>
      <c r="CF39" s="197">
        <f t="shared" si="81"/>
        <v>-513.23066666666648</v>
      </c>
      <c r="CG39" s="197">
        <f t="shared" si="82"/>
        <v>-293.23066666666648</v>
      </c>
      <c r="CH39" s="196">
        <f t="shared" ref="CH39:CI53" si="104">BY39/((1+$B$4)^($B39-1))</f>
        <v>525.32051282051282</v>
      </c>
      <c r="CI39" s="197">
        <f t="shared" si="104"/>
        <v>211.53846153846152</v>
      </c>
      <c r="CJ39" s="197">
        <f t="shared" ref="CJ39:CL53" si="105">CE39/((1+$B$4)^($B39-1))</f>
        <v>1018.8115384615382</v>
      </c>
      <c r="CK39" s="197">
        <f t="shared" si="105"/>
        <v>-493.49102564102543</v>
      </c>
      <c r="CL39" s="199">
        <f t="shared" si="105"/>
        <v>-281.95256410256394</v>
      </c>
      <c r="CM39" s="196">
        <f>CM38+CH39</f>
        <v>525.32051282051282</v>
      </c>
      <c r="CN39" s="197">
        <f t="shared" ref="CN39:CN53" si="106">CN38+CI39</f>
        <v>431.53846153846155</v>
      </c>
      <c r="CO39" s="197">
        <f t="shared" ref="CO39:CO53" si="107">CO38+CJ39</f>
        <v>5003.3755384615379</v>
      </c>
      <c r="CP39" s="197">
        <f t="shared" ref="CP39:CP53" si="108">CP38+CK39</f>
        <v>-4478.0550256410252</v>
      </c>
      <c r="CQ39" s="199">
        <f t="shared" ref="CQ39:CQ53" si="109">CQ38+CL39</f>
        <v>-4046.5165641025637</v>
      </c>
      <c r="CT39" s="204">
        <v>2</v>
      </c>
      <c r="CU39" s="197">
        <f>'Energy NPV'!$D92</f>
        <v>9.9333333333333336</v>
      </c>
      <c r="CV39" s="197">
        <f>'Energy margins'!$Z$12</f>
        <v>55</v>
      </c>
      <c r="CW39" s="197">
        <f t="shared" si="83"/>
        <v>546.33333333333337</v>
      </c>
      <c r="CX39" s="197">
        <f>'Margins summary'!$W$14</f>
        <v>220</v>
      </c>
      <c r="CY39" s="197">
        <f t="shared" si="84"/>
        <v>766.33333333333337</v>
      </c>
      <c r="CZ39" s="197"/>
      <c r="DA39" s="897">
        <f>'Energy NPV'!U92</f>
        <v>529.78199999999993</v>
      </c>
      <c r="DB39" s="197"/>
      <c r="DC39" s="197">
        <f t="shared" si="85"/>
        <v>0</v>
      </c>
      <c r="DD39" s="197">
        <f t="shared" si="86"/>
        <v>546.33333333333337</v>
      </c>
      <c r="DE39" s="197">
        <f t="shared" si="87"/>
        <v>766.33333333333337</v>
      </c>
      <c r="DF39" s="196">
        <f t="shared" ref="DF39:DG53" si="110">CW39/((1+$B$4)^($B39-1))</f>
        <v>525.32051282051282</v>
      </c>
      <c r="DG39" s="197">
        <f t="shared" si="110"/>
        <v>211.53846153846152</v>
      </c>
      <c r="DH39" s="197">
        <f t="shared" ref="DH39:DJ53" si="111">DC39/((1+$B$4)^($B39-1))</f>
        <v>0</v>
      </c>
      <c r="DI39" s="197">
        <f t="shared" si="111"/>
        <v>525.32051282051282</v>
      </c>
      <c r="DJ39" s="199">
        <f t="shared" si="111"/>
        <v>736.85897435897436</v>
      </c>
      <c r="DK39" s="196">
        <f t="shared" ref="DK39:DK52" si="112">DK38+DF39</f>
        <v>525.32051282051282</v>
      </c>
      <c r="DL39" s="197">
        <f t="shared" ref="DL39:DL52" si="113">DL38+DG39</f>
        <v>431.53846153846155</v>
      </c>
      <c r="DM39" s="197">
        <f t="shared" ref="DM39:DM52" si="114">DM38+DH39</f>
        <v>0</v>
      </c>
      <c r="DN39" s="197">
        <f t="shared" ref="DN39:DN52" si="115">DN38+DI39</f>
        <v>525.32051282051282</v>
      </c>
      <c r="DO39" s="199">
        <f t="shared" ref="DO39:DO52" si="116">DO38+DJ39</f>
        <v>956.85897435897436</v>
      </c>
    </row>
    <row r="40" spans="2:175" x14ac:dyDescent="0.3">
      <c r="B40" s="204">
        <f t="shared" ref="B40:B53" si="117">B39+1</f>
        <v>3</v>
      </c>
      <c r="C40" s="197">
        <f>'Energy NPV'!$D93</f>
        <v>14.700000000000001</v>
      </c>
      <c r="D40" s="197">
        <f>'Energy margins'!$Z$12</f>
        <v>55</v>
      </c>
      <c r="E40" s="197">
        <f t="shared" ref="E40:E53" si="118">C40*D40</f>
        <v>808.50000000000011</v>
      </c>
      <c r="F40" s="197">
        <f>'Margins summary'!$W$14</f>
        <v>220</v>
      </c>
      <c r="G40" s="197">
        <f t="shared" si="88"/>
        <v>1028.5</v>
      </c>
      <c r="H40" s="197"/>
      <c r="I40" s="897">
        <f>'Energy NPV'!U93</f>
        <v>529.78199999999993</v>
      </c>
      <c r="J40" s="197"/>
      <c r="K40" s="197">
        <f t="shared" si="71"/>
        <v>529.78199999999993</v>
      </c>
      <c r="L40" s="197">
        <f t="shared" si="72"/>
        <v>278.71800000000019</v>
      </c>
      <c r="M40" s="197">
        <f t="shared" si="73"/>
        <v>498.71800000000007</v>
      </c>
      <c r="N40" s="196">
        <f t="shared" si="89"/>
        <v>747.50369822485209</v>
      </c>
      <c r="O40" s="197">
        <f t="shared" si="89"/>
        <v>203.40236686390531</v>
      </c>
      <c r="P40" s="197">
        <f t="shared" si="90"/>
        <v>489.81323964497028</v>
      </c>
      <c r="Q40" s="197">
        <f t="shared" si="90"/>
        <v>257.69045857988181</v>
      </c>
      <c r="R40" s="199">
        <f t="shared" si="90"/>
        <v>461.09282544378698</v>
      </c>
      <c r="S40" s="196">
        <f t="shared" ref="S40:S53" si="119">S39+N40</f>
        <v>1272.8242110453648</v>
      </c>
      <c r="T40" s="197">
        <f t="shared" si="91"/>
        <v>634.94082840236683</v>
      </c>
      <c r="U40" s="197">
        <f t="shared" si="91"/>
        <v>2991.501008875739</v>
      </c>
      <c r="V40" s="197">
        <f t="shared" si="91"/>
        <v>-1718.6767978303744</v>
      </c>
      <c r="W40" s="199">
        <f t="shared" si="91"/>
        <v>-1083.7359694280078</v>
      </c>
      <c r="Z40" s="204">
        <f t="shared" ref="Z40:Z53" si="120">Z39+1</f>
        <v>3</v>
      </c>
      <c r="AA40" s="197">
        <f>'Energy NPV'!$D93</f>
        <v>14.700000000000001</v>
      </c>
      <c r="AB40" s="197">
        <f>'Energy margins'!$Z$12</f>
        <v>55</v>
      </c>
      <c r="AC40" s="197">
        <f t="shared" ref="AC40:AC53" si="121">AA40*AB40</f>
        <v>808.50000000000011</v>
      </c>
      <c r="AD40" s="197">
        <f>'Margins summary'!$W$14</f>
        <v>220</v>
      </c>
      <c r="AE40" s="197">
        <f t="shared" si="92"/>
        <v>1028.5</v>
      </c>
      <c r="AF40" s="197"/>
      <c r="AG40" s="897">
        <f>'Energy NPV'!U93</f>
        <v>529.78199999999993</v>
      </c>
      <c r="AH40" s="197"/>
      <c r="AI40" s="197">
        <f t="shared" si="74"/>
        <v>794.67299999999989</v>
      </c>
      <c r="AJ40" s="197">
        <f t="shared" si="75"/>
        <v>13.827000000000226</v>
      </c>
      <c r="AK40" s="197">
        <f t="shared" si="76"/>
        <v>233.82700000000011</v>
      </c>
      <c r="AL40" s="196">
        <f t="shared" si="93"/>
        <v>747.50369822485209</v>
      </c>
      <c r="AM40" s="197">
        <f t="shared" si="93"/>
        <v>203.40236686390531</v>
      </c>
      <c r="AN40" s="197">
        <f t="shared" si="94"/>
        <v>734.71985946745542</v>
      </c>
      <c r="AO40" s="197">
        <f t="shared" si="94"/>
        <v>12.783838757396657</v>
      </c>
      <c r="AP40" s="199">
        <f t="shared" si="94"/>
        <v>216.18620562130187</v>
      </c>
      <c r="AQ40" s="196">
        <f t="shared" ref="AQ40:AQ53" si="122">AQ39+AL40</f>
        <v>1272.8242110453648</v>
      </c>
      <c r="AR40" s="197">
        <f t="shared" si="95"/>
        <v>634.94082840236683</v>
      </c>
      <c r="AS40" s="197">
        <f t="shared" si="95"/>
        <v>4487.2515133136085</v>
      </c>
      <c r="AT40" s="197">
        <f t="shared" si="95"/>
        <v>-3214.4273022682441</v>
      </c>
      <c r="AU40" s="199">
        <f t="shared" si="95"/>
        <v>-2579.4864738658775</v>
      </c>
      <c r="AX40" s="204">
        <f t="shared" ref="AX40:AX53" si="123">AX39+1</f>
        <v>3</v>
      </c>
      <c r="AY40" s="197">
        <f>'Energy NPV'!$D93</f>
        <v>14.700000000000001</v>
      </c>
      <c r="AZ40" s="197">
        <f>'Energy margins'!$Z$12</f>
        <v>55</v>
      </c>
      <c r="BA40" s="197">
        <f t="shared" ref="BA40:BA53" si="124">AY40*AZ40</f>
        <v>808.50000000000011</v>
      </c>
      <c r="BB40" s="197">
        <f>'Margins summary'!$W$14</f>
        <v>220</v>
      </c>
      <c r="BC40" s="197">
        <f t="shared" si="96"/>
        <v>1028.5</v>
      </c>
      <c r="BD40" s="197"/>
      <c r="BE40" s="897">
        <f>'Energy NPV'!U93</f>
        <v>529.78199999999993</v>
      </c>
      <c r="BF40" s="197"/>
      <c r="BG40" s="197">
        <f t="shared" si="77"/>
        <v>264.89099999999996</v>
      </c>
      <c r="BH40" s="197">
        <f t="shared" si="78"/>
        <v>543.60900000000015</v>
      </c>
      <c r="BI40" s="197">
        <f t="shared" si="79"/>
        <v>763.60900000000004</v>
      </c>
      <c r="BJ40" s="196">
        <f t="shared" si="97"/>
        <v>747.50369822485209</v>
      </c>
      <c r="BK40" s="197">
        <f t="shared" si="97"/>
        <v>203.40236686390531</v>
      </c>
      <c r="BL40" s="197">
        <f t="shared" si="98"/>
        <v>244.90661982248514</v>
      </c>
      <c r="BM40" s="197">
        <f t="shared" si="98"/>
        <v>502.59707840236695</v>
      </c>
      <c r="BN40" s="199">
        <f t="shared" si="98"/>
        <v>705.99944526627212</v>
      </c>
      <c r="BO40" s="196">
        <f t="shared" ref="BO40:BO53" si="125">BO39+BJ40</f>
        <v>1272.8242110453648</v>
      </c>
      <c r="BP40" s="197">
        <f t="shared" si="99"/>
        <v>634.94082840236683</v>
      </c>
      <c r="BQ40" s="197">
        <f t="shared" si="100"/>
        <v>1495.7505044378695</v>
      </c>
      <c r="BR40" s="197">
        <f t="shared" si="101"/>
        <v>-222.92629339250482</v>
      </c>
      <c r="BS40" s="199">
        <f t="shared" si="102"/>
        <v>412.01453500986196</v>
      </c>
      <c r="BV40" s="204">
        <f t="shared" ref="BV40:BV53" si="126">BV39+1</f>
        <v>3</v>
      </c>
      <c r="BW40" s="197">
        <f>'Energy NPV'!$D93</f>
        <v>14.700000000000001</v>
      </c>
      <c r="BX40" s="197">
        <f>'Energy margins'!$Z$12</f>
        <v>55</v>
      </c>
      <c r="BY40" s="197">
        <f t="shared" ref="BY40:BY53" si="127">BW40*BX40</f>
        <v>808.50000000000011</v>
      </c>
      <c r="BZ40" s="197">
        <f>'Margins summary'!$W$14</f>
        <v>220</v>
      </c>
      <c r="CA40" s="197">
        <f t="shared" si="103"/>
        <v>1028.5</v>
      </c>
      <c r="CB40" s="197"/>
      <c r="CC40" s="897">
        <f>'Energy NPV'!U93</f>
        <v>529.78199999999993</v>
      </c>
      <c r="CD40" s="197"/>
      <c r="CE40" s="197">
        <f t="shared" si="80"/>
        <v>1059.5639999999999</v>
      </c>
      <c r="CF40" s="197">
        <f t="shared" si="81"/>
        <v>-251.06399999999974</v>
      </c>
      <c r="CG40" s="197">
        <f t="shared" si="82"/>
        <v>-31.063999999999851</v>
      </c>
      <c r="CH40" s="196">
        <f t="shared" si="104"/>
        <v>747.50369822485209</v>
      </c>
      <c r="CI40" s="197">
        <f t="shared" si="104"/>
        <v>203.40236686390531</v>
      </c>
      <c r="CJ40" s="197">
        <f t="shared" si="105"/>
        <v>979.62647928994056</v>
      </c>
      <c r="CK40" s="197">
        <f t="shared" si="105"/>
        <v>-232.1227810650885</v>
      </c>
      <c r="CL40" s="199">
        <f t="shared" si="105"/>
        <v>-28.720414201183292</v>
      </c>
      <c r="CM40" s="196">
        <f t="shared" ref="CM40:CM53" si="128">CM39+CH40</f>
        <v>1272.8242110453648</v>
      </c>
      <c r="CN40" s="197">
        <f t="shared" si="106"/>
        <v>634.94082840236683</v>
      </c>
      <c r="CO40" s="197">
        <f t="shared" si="107"/>
        <v>5983.002017751478</v>
      </c>
      <c r="CP40" s="197">
        <f t="shared" si="108"/>
        <v>-4710.1778067061141</v>
      </c>
      <c r="CQ40" s="199">
        <f t="shared" si="109"/>
        <v>-4075.236978303747</v>
      </c>
      <c r="CT40" s="204">
        <f t="shared" ref="CT40:CT53" si="129">CT39+1</f>
        <v>3</v>
      </c>
      <c r="CU40" s="197">
        <f>'Energy NPV'!$D93</f>
        <v>14.700000000000001</v>
      </c>
      <c r="CV40" s="197">
        <f>'Energy margins'!$Z$12</f>
        <v>55</v>
      </c>
      <c r="CW40" s="197">
        <f t="shared" si="83"/>
        <v>808.50000000000011</v>
      </c>
      <c r="CX40" s="197">
        <f>'Margins summary'!$W$14</f>
        <v>220</v>
      </c>
      <c r="CY40" s="197">
        <f t="shared" si="84"/>
        <v>1028.5</v>
      </c>
      <c r="CZ40" s="197"/>
      <c r="DA40" s="897">
        <f>'Energy NPV'!U93</f>
        <v>529.78199999999993</v>
      </c>
      <c r="DB40" s="197"/>
      <c r="DC40" s="197">
        <f t="shared" si="85"/>
        <v>0</v>
      </c>
      <c r="DD40" s="197">
        <f t="shared" si="86"/>
        <v>808.50000000000011</v>
      </c>
      <c r="DE40" s="197">
        <f t="shared" si="87"/>
        <v>1028.5</v>
      </c>
      <c r="DF40" s="196">
        <f t="shared" si="110"/>
        <v>747.50369822485209</v>
      </c>
      <c r="DG40" s="197">
        <f t="shared" si="110"/>
        <v>203.40236686390531</v>
      </c>
      <c r="DH40" s="197">
        <f t="shared" si="111"/>
        <v>0</v>
      </c>
      <c r="DI40" s="197">
        <f t="shared" si="111"/>
        <v>747.50369822485209</v>
      </c>
      <c r="DJ40" s="199">
        <f t="shared" si="111"/>
        <v>950.90606508875726</v>
      </c>
      <c r="DK40" s="196">
        <f t="shared" si="112"/>
        <v>1272.8242110453648</v>
      </c>
      <c r="DL40" s="197">
        <f t="shared" si="113"/>
        <v>634.94082840236683</v>
      </c>
      <c r="DM40" s="197">
        <f t="shared" si="114"/>
        <v>0</v>
      </c>
      <c r="DN40" s="197">
        <f t="shared" si="115"/>
        <v>1272.8242110453648</v>
      </c>
      <c r="DO40" s="199">
        <f t="shared" si="116"/>
        <v>1907.7650394477316</v>
      </c>
    </row>
    <row r="41" spans="2:175" x14ac:dyDescent="0.3">
      <c r="B41" s="204">
        <f t="shared" si="117"/>
        <v>4</v>
      </c>
      <c r="C41" s="197">
        <f>'Energy NPV'!$D94</f>
        <v>15.733333333333334</v>
      </c>
      <c r="D41" s="197">
        <f>'Energy margins'!$Z$12</f>
        <v>55</v>
      </c>
      <c r="E41" s="197">
        <f t="shared" si="118"/>
        <v>865.33333333333337</v>
      </c>
      <c r="F41" s="197">
        <f>'Margins summary'!$W$14</f>
        <v>220</v>
      </c>
      <c r="G41" s="197">
        <f t="shared" si="88"/>
        <v>1085.3333333333335</v>
      </c>
      <c r="H41" s="197"/>
      <c r="I41" s="897">
        <f>'Energy NPV'!U94</f>
        <v>368.78200000000004</v>
      </c>
      <c r="J41" s="197"/>
      <c r="K41" s="197">
        <f t="shared" si="71"/>
        <v>368.78200000000004</v>
      </c>
      <c r="L41" s="197">
        <f t="shared" si="72"/>
        <v>496.55133333333333</v>
      </c>
      <c r="M41" s="197">
        <f t="shared" si="73"/>
        <v>716.55133333333345</v>
      </c>
      <c r="N41" s="196">
        <f t="shared" si="89"/>
        <v>769.27818236989833</v>
      </c>
      <c r="O41" s="197">
        <f t="shared" si="89"/>
        <v>195.57919890760127</v>
      </c>
      <c r="P41" s="197">
        <f t="shared" si="90"/>
        <v>327.84585514337732</v>
      </c>
      <c r="Q41" s="197">
        <f t="shared" si="90"/>
        <v>441.43232722652095</v>
      </c>
      <c r="R41" s="199">
        <f t="shared" si="90"/>
        <v>637.01152613412239</v>
      </c>
      <c r="S41" s="196">
        <f t="shared" si="119"/>
        <v>2042.1023934152631</v>
      </c>
      <c r="T41" s="197">
        <f t="shared" si="91"/>
        <v>830.5200273099681</v>
      </c>
      <c r="U41" s="197">
        <f t="shared" si="91"/>
        <v>3319.3468640191163</v>
      </c>
      <c r="V41" s="197">
        <f t="shared" si="91"/>
        <v>-1277.2444706038534</v>
      </c>
      <c r="W41" s="199">
        <f t="shared" si="91"/>
        <v>-446.72444329388543</v>
      </c>
      <c r="Z41" s="204">
        <f t="shared" si="120"/>
        <v>4</v>
      </c>
      <c r="AA41" s="197">
        <f>'Energy NPV'!$D94</f>
        <v>15.733333333333334</v>
      </c>
      <c r="AB41" s="197">
        <f>'Energy margins'!$Z$12</f>
        <v>55</v>
      </c>
      <c r="AC41" s="197">
        <f t="shared" si="121"/>
        <v>865.33333333333337</v>
      </c>
      <c r="AD41" s="197">
        <f>'Margins summary'!$W$14</f>
        <v>220</v>
      </c>
      <c r="AE41" s="197">
        <f t="shared" si="92"/>
        <v>1085.3333333333335</v>
      </c>
      <c r="AF41" s="197"/>
      <c r="AG41" s="897">
        <f>'Energy NPV'!U94</f>
        <v>368.78200000000004</v>
      </c>
      <c r="AH41" s="197"/>
      <c r="AI41" s="197">
        <f t="shared" si="74"/>
        <v>553.173</v>
      </c>
      <c r="AJ41" s="197">
        <f t="shared" si="75"/>
        <v>312.16033333333337</v>
      </c>
      <c r="AK41" s="197">
        <f t="shared" si="76"/>
        <v>532.16033333333348</v>
      </c>
      <c r="AL41" s="196">
        <f t="shared" si="93"/>
        <v>769.27818236989833</v>
      </c>
      <c r="AM41" s="197">
        <f t="shared" si="93"/>
        <v>195.57919890760127</v>
      </c>
      <c r="AN41" s="197">
        <f t="shared" si="94"/>
        <v>491.76878271506598</v>
      </c>
      <c r="AO41" s="197">
        <f t="shared" si="94"/>
        <v>277.50939965483235</v>
      </c>
      <c r="AP41" s="199">
        <f t="shared" si="94"/>
        <v>473.08859856243373</v>
      </c>
      <c r="AQ41" s="196">
        <f t="shared" si="122"/>
        <v>2042.1023934152631</v>
      </c>
      <c r="AR41" s="197">
        <f t="shared" si="95"/>
        <v>830.5200273099681</v>
      </c>
      <c r="AS41" s="197">
        <f t="shared" si="95"/>
        <v>4979.0202960286742</v>
      </c>
      <c r="AT41" s="197">
        <f t="shared" si="95"/>
        <v>-2936.9179026134116</v>
      </c>
      <c r="AU41" s="199">
        <f t="shared" si="95"/>
        <v>-2106.3978753034439</v>
      </c>
      <c r="AX41" s="204">
        <f t="shared" si="123"/>
        <v>4</v>
      </c>
      <c r="AY41" s="197">
        <f>'Energy NPV'!$D94</f>
        <v>15.733333333333334</v>
      </c>
      <c r="AZ41" s="197">
        <f>'Energy margins'!$Z$12</f>
        <v>55</v>
      </c>
      <c r="BA41" s="197">
        <f t="shared" si="124"/>
        <v>865.33333333333337</v>
      </c>
      <c r="BB41" s="197">
        <f>'Margins summary'!$W$14</f>
        <v>220</v>
      </c>
      <c r="BC41" s="197">
        <f t="shared" si="96"/>
        <v>1085.3333333333335</v>
      </c>
      <c r="BD41" s="197"/>
      <c r="BE41" s="897">
        <f>'Energy NPV'!U94</f>
        <v>368.78200000000004</v>
      </c>
      <c r="BF41" s="197"/>
      <c r="BG41" s="197">
        <f t="shared" si="77"/>
        <v>184.39100000000002</v>
      </c>
      <c r="BH41" s="197">
        <f t="shared" si="78"/>
        <v>680.94233333333341</v>
      </c>
      <c r="BI41" s="197">
        <f t="shared" si="79"/>
        <v>900.94233333333341</v>
      </c>
      <c r="BJ41" s="196">
        <f t="shared" si="97"/>
        <v>769.27818236989833</v>
      </c>
      <c r="BK41" s="197">
        <f t="shared" si="97"/>
        <v>195.57919890760127</v>
      </c>
      <c r="BL41" s="197">
        <f t="shared" si="98"/>
        <v>163.92292757168866</v>
      </c>
      <c r="BM41" s="197">
        <f t="shared" si="98"/>
        <v>605.35525479820967</v>
      </c>
      <c r="BN41" s="199">
        <f t="shared" si="98"/>
        <v>800.93445370581094</v>
      </c>
      <c r="BO41" s="196">
        <f t="shared" si="125"/>
        <v>2042.1023934152631</v>
      </c>
      <c r="BP41" s="197">
        <f t="shared" si="99"/>
        <v>830.5200273099681</v>
      </c>
      <c r="BQ41" s="197">
        <f t="shared" si="100"/>
        <v>1659.6734320095582</v>
      </c>
      <c r="BR41" s="197">
        <f t="shared" si="101"/>
        <v>382.42896140570485</v>
      </c>
      <c r="BS41" s="199">
        <f t="shared" si="102"/>
        <v>1212.9489887156728</v>
      </c>
      <c r="BV41" s="204">
        <f t="shared" si="126"/>
        <v>4</v>
      </c>
      <c r="BW41" s="197">
        <f>'Energy NPV'!$D94</f>
        <v>15.733333333333334</v>
      </c>
      <c r="BX41" s="197">
        <f>'Energy margins'!$Z$12</f>
        <v>55</v>
      </c>
      <c r="BY41" s="197">
        <f t="shared" si="127"/>
        <v>865.33333333333337</v>
      </c>
      <c r="BZ41" s="197">
        <f>'Margins summary'!$W$14</f>
        <v>220</v>
      </c>
      <c r="CA41" s="197">
        <f t="shared" si="103"/>
        <v>1085.3333333333335</v>
      </c>
      <c r="CB41" s="197"/>
      <c r="CC41" s="897">
        <f>'Energy NPV'!U94</f>
        <v>368.78200000000004</v>
      </c>
      <c r="CD41" s="197"/>
      <c r="CE41" s="197">
        <f t="shared" si="80"/>
        <v>737.56400000000008</v>
      </c>
      <c r="CF41" s="197">
        <f t="shared" si="81"/>
        <v>127.76933333333329</v>
      </c>
      <c r="CG41" s="197">
        <f t="shared" si="82"/>
        <v>347.76933333333341</v>
      </c>
      <c r="CH41" s="196">
        <f t="shared" si="104"/>
        <v>769.27818236989833</v>
      </c>
      <c r="CI41" s="197">
        <f t="shared" si="104"/>
        <v>195.57919890760127</v>
      </c>
      <c r="CJ41" s="197">
        <f t="shared" si="105"/>
        <v>655.69171028675464</v>
      </c>
      <c r="CK41" s="197">
        <f t="shared" si="105"/>
        <v>113.58647208314363</v>
      </c>
      <c r="CL41" s="199">
        <f t="shared" si="105"/>
        <v>309.16567099074501</v>
      </c>
      <c r="CM41" s="196">
        <f t="shared" si="128"/>
        <v>2042.1023934152631</v>
      </c>
      <c r="CN41" s="197">
        <f t="shared" si="106"/>
        <v>830.5200273099681</v>
      </c>
      <c r="CO41" s="197">
        <f t="shared" si="107"/>
        <v>6638.6937280382326</v>
      </c>
      <c r="CP41" s="197">
        <f t="shared" si="108"/>
        <v>-4596.5913346229709</v>
      </c>
      <c r="CQ41" s="199">
        <f t="shared" si="109"/>
        <v>-3766.0713073130019</v>
      </c>
      <c r="CT41" s="204">
        <f t="shared" si="129"/>
        <v>4</v>
      </c>
      <c r="CU41" s="197">
        <f>'Energy NPV'!$D94</f>
        <v>15.733333333333334</v>
      </c>
      <c r="CV41" s="197">
        <f>'Energy margins'!$Z$12</f>
        <v>55</v>
      </c>
      <c r="CW41" s="197">
        <f t="shared" si="83"/>
        <v>865.33333333333337</v>
      </c>
      <c r="CX41" s="197">
        <f>'Margins summary'!$W$14</f>
        <v>220</v>
      </c>
      <c r="CY41" s="197">
        <f t="shared" si="84"/>
        <v>1085.3333333333335</v>
      </c>
      <c r="CZ41" s="197"/>
      <c r="DA41" s="897">
        <f>'Energy NPV'!U94</f>
        <v>368.78200000000004</v>
      </c>
      <c r="DB41" s="197"/>
      <c r="DC41" s="197">
        <f t="shared" si="85"/>
        <v>0</v>
      </c>
      <c r="DD41" s="197">
        <f t="shared" si="86"/>
        <v>865.33333333333337</v>
      </c>
      <c r="DE41" s="197">
        <f t="shared" si="87"/>
        <v>1085.3333333333335</v>
      </c>
      <c r="DF41" s="196">
        <f t="shared" si="110"/>
        <v>769.27818236989833</v>
      </c>
      <c r="DG41" s="197">
        <f t="shared" si="110"/>
        <v>195.57919890760127</v>
      </c>
      <c r="DH41" s="197">
        <f t="shared" si="111"/>
        <v>0</v>
      </c>
      <c r="DI41" s="197">
        <f t="shared" si="111"/>
        <v>769.27818236989833</v>
      </c>
      <c r="DJ41" s="199">
        <f t="shared" si="111"/>
        <v>964.85738127749971</v>
      </c>
      <c r="DK41" s="196">
        <f t="shared" si="112"/>
        <v>2042.1023934152631</v>
      </c>
      <c r="DL41" s="197">
        <f t="shared" si="113"/>
        <v>830.5200273099681</v>
      </c>
      <c r="DM41" s="197">
        <f t="shared" si="114"/>
        <v>0</v>
      </c>
      <c r="DN41" s="197">
        <f t="shared" si="115"/>
        <v>2042.1023934152631</v>
      </c>
      <c r="DO41" s="199">
        <f t="shared" si="116"/>
        <v>2872.6224207252312</v>
      </c>
    </row>
    <row r="42" spans="2:175" x14ac:dyDescent="0.3">
      <c r="B42" s="204">
        <f t="shared" si="117"/>
        <v>5</v>
      </c>
      <c r="C42" s="197">
        <f>'Energy NPV'!$D95</f>
        <v>16.3</v>
      </c>
      <c r="D42" s="197">
        <f>'Energy margins'!$Z$12</f>
        <v>55</v>
      </c>
      <c r="E42" s="197">
        <f t="shared" si="118"/>
        <v>896.5</v>
      </c>
      <c r="F42" s="197">
        <f>'Margins summary'!$W$14</f>
        <v>220</v>
      </c>
      <c r="G42" s="197">
        <f t="shared" si="88"/>
        <v>1116.5</v>
      </c>
      <c r="H42" s="197"/>
      <c r="I42" s="897">
        <f>'Energy NPV'!U95</f>
        <v>368.78200000000004</v>
      </c>
      <c r="J42" s="197"/>
      <c r="K42" s="197">
        <f t="shared" si="71"/>
        <v>368.78200000000004</v>
      </c>
      <c r="L42" s="197">
        <f t="shared" si="72"/>
        <v>527.71799999999996</v>
      </c>
      <c r="M42" s="197">
        <f t="shared" si="73"/>
        <v>747.71799999999996</v>
      </c>
      <c r="N42" s="196">
        <f t="shared" si="89"/>
        <v>766.33195725814903</v>
      </c>
      <c r="O42" s="197">
        <f t="shared" si="89"/>
        <v>188.05692202653967</v>
      </c>
      <c r="P42" s="197">
        <f t="shared" si="90"/>
        <v>315.23639917632431</v>
      </c>
      <c r="Q42" s="197">
        <f t="shared" si="90"/>
        <v>451.09555808182478</v>
      </c>
      <c r="R42" s="199">
        <f t="shared" si="90"/>
        <v>639.15248010836444</v>
      </c>
      <c r="S42" s="196">
        <f t="shared" si="119"/>
        <v>2808.4343506734122</v>
      </c>
      <c r="T42" s="197">
        <f t="shared" si="91"/>
        <v>1018.5769493365078</v>
      </c>
      <c r="U42" s="197">
        <f t="shared" si="91"/>
        <v>3634.5832631954408</v>
      </c>
      <c r="V42" s="197">
        <f t="shared" si="91"/>
        <v>-826.1489125220287</v>
      </c>
      <c r="W42" s="199">
        <f t="shared" si="91"/>
        <v>192.42803681447901</v>
      </c>
      <c r="Z42" s="204">
        <f t="shared" si="120"/>
        <v>5</v>
      </c>
      <c r="AA42" s="197">
        <f>'Energy NPV'!$D95</f>
        <v>16.3</v>
      </c>
      <c r="AB42" s="197">
        <f>'Energy margins'!$Z$12</f>
        <v>55</v>
      </c>
      <c r="AC42" s="197">
        <f t="shared" si="121"/>
        <v>896.5</v>
      </c>
      <c r="AD42" s="197">
        <f>'Margins summary'!$W$14</f>
        <v>220</v>
      </c>
      <c r="AE42" s="197">
        <f t="shared" si="92"/>
        <v>1116.5</v>
      </c>
      <c r="AF42" s="197"/>
      <c r="AG42" s="897">
        <f>'Energy NPV'!U95</f>
        <v>368.78200000000004</v>
      </c>
      <c r="AH42" s="197"/>
      <c r="AI42" s="197">
        <f t="shared" si="74"/>
        <v>553.173</v>
      </c>
      <c r="AJ42" s="197">
        <f t="shared" si="75"/>
        <v>343.327</v>
      </c>
      <c r="AK42" s="197">
        <f t="shared" si="76"/>
        <v>563.327</v>
      </c>
      <c r="AL42" s="196">
        <f t="shared" si="93"/>
        <v>766.33195725814903</v>
      </c>
      <c r="AM42" s="197">
        <f t="shared" si="93"/>
        <v>188.05692202653967</v>
      </c>
      <c r="AN42" s="197">
        <f t="shared" si="94"/>
        <v>472.85459876448647</v>
      </c>
      <c r="AO42" s="197">
        <f t="shared" si="94"/>
        <v>293.47735849366262</v>
      </c>
      <c r="AP42" s="199">
        <f t="shared" si="94"/>
        <v>481.53428052020229</v>
      </c>
      <c r="AQ42" s="196">
        <f t="shared" si="122"/>
        <v>2808.4343506734122</v>
      </c>
      <c r="AR42" s="197">
        <f t="shared" si="95"/>
        <v>1018.5769493365078</v>
      </c>
      <c r="AS42" s="197">
        <f t="shared" si="95"/>
        <v>5451.8748947931608</v>
      </c>
      <c r="AT42" s="197">
        <f t="shared" si="95"/>
        <v>-2643.4405441197491</v>
      </c>
      <c r="AU42" s="199">
        <f t="shared" si="95"/>
        <v>-1624.8635947832418</v>
      </c>
      <c r="AX42" s="204">
        <f t="shared" si="123"/>
        <v>5</v>
      </c>
      <c r="AY42" s="197">
        <f>'Energy NPV'!$D95</f>
        <v>16.3</v>
      </c>
      <c r="AZ42" s="197">
        <f>'Energy margins'!$Z$12</f>
        <v>55</v>
      </c>
      <c r="BA42" s="197">
        <f t="shared" si="124"/>
        <v>896.5</v>
      </c>
      <c r="BB42" s="197">
        <f>'Margins summary'!$W$14</f>
        <v>220</v>
      </c>
      <c r="BC42" s="197">
        <f t="shared" si="96"/>
        <v>1116.5</v>
      </c>
      <c r="BD42" s="197"/>
      <c r="BE42" s="897">
        <f>'Energy NPV'!U95</f>
        <v>368.78200000000004</v>
      </c>
      <c r="BF42" s="197"/>
      <c r="BG42" s="197">
        <f t="shared" si="77"/>
        <v>184.39100000000002</v>
      </c>
      <c r="BH42" s="197">
        <f t="shared" si="78"/>
        <v>712.10899999999992</v>
      </c>
      <c r="BI42" s="197">
        <f t="shared" si="79"/>
        <v>932.10899999999992</v>
      </c>
      <c r="BJ42" s="196">
        <f t="shared" si="97"/>
        <v>766.33195725814903</v>
      </c>
      <c r="BK42" s="197">
        <f t="shared" si="97"/>
        <v>188.05692202653967</v>
      </c>
      <c r="BL42" s="197">
        <f t="shared" si="98"/>
        <v>157.61819958816216</v>
      </c>
      <c r="BM42" s="197">
        <f t="shared" si="98"/>
        <v>608.71375766998688</v>
      </c>
      <c r="BN42" s="199">
        <f t="shared" si="98"/>
        <v>796.77067969652649</v>
      </c>
      <c r="BO42" s="196">
        <f t="shared" si="125"/>
        <v>2808.4343506734122</v>
      </c>
      <c r="BP42" s="197">
        <f t="shared" si="99"/>
        <v>1018.5769493365078</v>
      </c>
      <c r="BQ42" s="197">
        <f t="shared" si="100"/>
        <v>1817.2916315977204</v>
      </c>
      <c r="BR42" s="197">
        <f t="shared" si="101"/>
        <v>991.14271907569173</v>
      </c>
      <c r="BS42" s="199">
        <f t="shared" si="102"/>
        <v>2009.7196684121993</v>
      </c>
      <c r="BV42" s="204">
        <f t="shared" si="126"/>
        <v>5</v>
      </c>
      <c r="BW42" s="197">
        <f>'Energy NPV'!$D95</f>
        <v>16.3</v>
      </c>
      <c r="BX42" s="197">
        <f>'Energy margins'!$Z$12</f>
        <v>55</v>
      </c>
      <c r="BY42" s="197">
        <f t="shared" si="127"/>
        <v>896.5</v>
      </c>
      <c r="BZ42" s="197">
        <f>'Margins summary'!$W$14</f>
        <v>220</v>
      </c>
      <c r="CA42" s="197">
        <f t="shared" si="103"/>
        <v>1116.5</v>
      </c>
      <c r="CB42" s="197"/>
      <c r="CC42" s="897">
        <f>'Energy NPV'!U95</f>
        <v>368.78200000000004</v>
      </c>
      <c r="CD42" s="197"/>
      <c r="CE42" s="197">
        <f t="shared" si="80"/>
        <v>737.56400000000008</v>
      </c>
      <c r="CF42" s="197">
        <f t="shared" si="81"/>
        <v>158.93599999999992</v>
      </c>
      <c r="CG42" s="197">
        <f t="shared" si="82"/>
        <v>378.93599999999992</v>
      </c>
      <c r="CH42" s="196">
        <f t="shared" si="104"/>
        <v>766.33195725814903</v>
      </c>
      <c r="CI42" s="197">
        <f t="shared" si="104"/>
        <v>188.05692202653967</v>
      </c>
      <c r="CJ42" s="197">
        <f t="shared" si="105"/>
        <v>630.47279835264862</v>
      </c>
      <c r="CK42" s="197">
        <f t="shared" si="105"/>
        <v>135.85915890550041</v>
      </c>
      <c r="CL42" s="199">
        <f t="shared" si="105"/>
        <v>323.91608093204007</v>
      </c>
      <c r="CM42" s="196">
        <f t="shared" si="128"/>
        <v>2808.4343506734122</v>
      </c>
      <c r="CN42" s="197">
        <f t="shared" si="106"/>
        <v>1018.5769493365078</v>
      </c>
      <c r="CO42" s="197">
        <f t="shared" si="107"/>
        <v>7269.1665263908817</v>
      </c>
      <c r="CP42" s="197">
        <f t="shared" si="108"/>
        <v>-4460.7321757174705</v>
      </c>
      <c r="CQ42" s="199">
        <f t="shared" si="109"/>
        <v>-3442.1552263809617</v>
      </c>
      <c r="CT42" s="204">
        <f t="shared" si="129"/>
        <v>5</v>
      </c>
      <c r="CU42" s="197">
        <f>'Energy NPV'!$D95</f>
        <v>16.3</v>
      </c>
      <c r="CV42" s="197">
        <f>'Energy margins'!$Z$12</f>
        <v>55</v>
      </c>
      <c r="CW42" s="197">
        <f t="shared" si="83"/>
        <v>896.5</v>
      </c>
      <c r="CX42" s="197">
        <f>'Margins summary'!$W$14</f>
        <v>220</v>
      </c>
      <c r="CY42" s="197">
        <f t="shared" si="84"/>
        <v>1116.5</v>
      </c>
      <c r="CZ42" s="197"/>
      <c r="DA42" s="897">
        <f>'Energy NPV'!U95</f>
        <v>368.78200000000004</v>
      </c>
      <c r="DB42" s="197"/>
      <c r="DC42" s="197">
        <f t="shared" si="85"/>
        <v>0</v>
      </c>
      <c r="DD42" s="197">
        <f t="shared" si="86"/>
        <v>896.5</v>
      </c>
      <c r="DE42" s="197">
        <f t="shared" si="87"/>
        <v>1116.5</v>
      </c>
      <c r="DF42" s="196">
        <f t="shared" si="110"/>
        <v>766.33195725814903</v>
      </c>
      <c r="DG42" s="197">
        <f t="shared" si="110"/>
        <v>188.05692202653967</v>
      </c>
      <c r="DH42" s="197">
        <f t="shared" si="111"/>
        <v>0</v>
      </c>
      <c r="DI42" s="197">
        <f t="shared" si="111"/>
        <v>766.33195725814903</v>
      </c>
      <c r="DJ42" s="199">
        <f t="shared" si="111"/>
        <v>954.38887928468876</v>
      </c>
      <c r="DK42" s="196">
        <f t="shared" si="112"/>
        <v>2808.4343506734122</v>
      </c>
      <c r="DL42" s="197">
        <f t="shared" si="113"/>
        <v>1018.5769493365078</v>
      </c>
      <c r="DM42" s="197">
        <f t="shared" si="114"/>
        <v>0</v>
      </c>
      <c r="DN42" s="197">
        <f t="shared" si="115"/>
        <v>2808.4343506734122</v>
      </c>
      <c r="DO42" s="199">
        <f t="shared" si="116"/>
        <v>3827.01130000992</v>
      </c>
    </row>
    <row r="43" spans="2:175" x14ac:dyDescent="0.3">
      <c r="B43" s="204">
        <f t="shared" si="117"/>
        <v>6</v>
      </c>
      <c r="C43" s="197">
        <f>'Energy NPV'!$D96</f>
        <v>16.3</v>
      </c>
      <c r="D43" s="197">
        <f>'Energy margins'!$Z$12</f>
        <v>55</v>
      </c>
      <c r="E43" s="197">
        <f t="shared" si="118"/>
        <v>896.5</v>
      </c>
      <c r="F43" s="197">
        <f>'Margins summary'!$W$14</f>
        <v>220</v>
      </c>
      <c r="G43" s="197">
        <f t="shared" si="88"/>
        <v>1116.5</v>
      </c>
      <c r="H43" s="197"/>
      <c r="I43" s="897">
        <f>'Energy NPV'!U96</f>
        <v>368.78200000000004</v>
      </c>
      <c r="J43" s="197"/>
      <c r="K43" s="197">
        <f t="shared" si="71"/>
        <v>368.78200000000004</v>
      </c>
      <c r="L43" s="197">
        <f t="shared" si="72"/>
        <v>527.71799999999996</v>
      </c>
      <c r="M43" s="197">
        <f t="shared" si="73"/>
        <v>747.71799999999996</v>
      </c>
      <c r="N43" s="196">
        <f t="shared" si="89"/>
        <v>736.85765120975861</v>
      </c>
      <c r="O43" s="197">
        <f t="shared" si="89"/>
        <v>180.82396348705734</v>
      </c>
      <c r="P43" s="197">
        <f t="shared" si="90"/>
        <v>303.11192228492723</v>
      </c>
      <c r="Q43" s="197">
        <f t="shared" si="90"/>
        <v>433.74572892483144</v>
      </c>
      <c r="R43" s="199">
        <f t="shared" si="90"/>
        <v>614.56969241188881</v>
      </c>
      <c r="S43" s="196">
        <f t="shared" si="119"/>
        <v>3545.292001883171</v>
      </c>
      <c r="T43" s="197">
        <f t="shared" si="91"/>
        <v>1199.4009128235652</v>
      </c>
      <c r="U43" s="197">
        <f t="shared" si="91"/>
        <v>3937.6951854803683</v>
      </c>
      <c r="V43" s="197">
        <f t="shared" si="91"/>
        <v>-392.40318359719726</v>
      </c>
      <c r="W43" s="199">
        <f t="shared" si="91"/>
        <v>806.99772922636782</v>
      </c>
      <c r="Z43" s="204">
        <f t="shared" si="120"/>
        <v>6</v>
      </c>
      <c r="AA43" s="197">
        <f>'Energy NPV'!$D96</f>
        <v>16.3</v>
      </c>
      <c r="AB43" s="197">
        <f>'Energy margins'!$Z$12</f>
        <v>55</v>
      </c>
      <c r="AC43" s="197">
        <f t="shared" si="121"/>
        <v>896.5</v>
      </c>
      <c r="AD43" s="197">
        <f>'Margins summary'!$W$14</f>
        <v>220</v>
      </c>
      <c r="AE43" s="197">
        <f t="shared" si="92"/>
        <v>1116.5</v>
      </c>
      <c r="AF43" s="197"/>
      <c r="AG43" s="897">
        <f>'Energy NPV'!U96</f>
        <v>368.78200000000004</v>
      </c>
      <c r="AH43" s="197"/>
      <c r="AI43" s="197">
        <f t="shared" si="74"/>
        <v>553.173</v>
      </c>
      <c r="AJ43" s="197">
        <f t="shared" si="75"/>
        <v>343.327</v>
      </c>
      <c r="AK43" s="197">
        <f t="shared" si="76"/>
        <v>563.327</v>
      </c>
      <c r="AL43" s="196">
        <f t="shared" si="93"/>
        <v>736.85765120975861</v>
      </c>
      <c r="AM43" s="197">
        <f t="shared" si="93"/>
        <v>180.82396348705734</v>
      </c>
      <c r="AN43" s="197">
        <f t="shared" si="94"/>
        <v>454.66788342739079</v>
      </c>
      <c r="AO43" s="197">
        <f t="shared" si="94"/>
        <v>282.18976778236788</v>
      </c>
      <c r="AP43" s="199">
        <f t="shared" si="94"/>
        <v>463.01373126942525</v>
      </c>
      <c r="AQ43" s="196">
        <f t="shared" si="122"/>
        <v>3545.292001883171</v>
      </c>
      <c r="AR43" s="197">
        <f t="shared" si="95"/>
        <v>1199.4009128235652</v>
      </c>
      <c r="AS43" s="197">
        <f t="shared" si="95"/>
        <v>5906.5427782205516</v>
      </c>
      <c r="AT43" s="197">
        <f t="shared" si="95"/>
        <v>-2361.2507763373815</v>
      </c>
      <c r="AU43" s="199">
        <f t="shared" si="95"/>
        <v>-1161.8498635138164</v>
      </c>
      <c r="AX43" s="204">
        <f t="shared" si="123"/>
        <v>6</v>
      </c>
      <c r="AY43" s="197">
        <f>'Energy NPV'!$D96</f>
        <v>16.3</v>
      </c>
      <c r="AZ43" s="197">
        <f>'Energy margins'!$Z$12</f>
        <v>55</v>
      </c>
      <c r="BA43" s="197">
        <f t="shared" si="124"/>
        <v>896.5</v>
      </c>
      <c r="BB43" s="197">
        <f>'Margins summary'!$W$14</f>
        <v>220</v>
      </c>
      <c r="BC43" s="197">
        <f t="shared" si="96"/>
        <v>1116.5</v>
      </c>
      <c r="BD43" s="197"/>
      <c r="BE43" s="897">
        <f>'Energy NPV'!U96</f>
        <v>368.78200000000004</v>
      </c>
      <c r="BF43" s="197"/>
      <c r="BG43" s="197">
        <f t="shared" si="77"/>
        <v>184.39100000000002</v>
      </c>
      <c r="BH43" s="197">
        <f t="shared" si="78"/>
        <v>712.10899999999992</v>
      </c>
      <c r="BI43" s="197">
        <f t="shared" si="79"/>
        <v>932.10899999999992</v>
      </c>
      <c r="BJ43" s="196">
        <f t="shared" si="97"/>
        <v>736.85765120975861</v>
      </c>
      <c r="BK43" s="197">
        <f t="shared" si="97"/>
        <v>180.82396348705734</v>
      </c>
      <c r="BL43" s="197">
        <f t="shared" si="98"/>
        <v>151.55596114246362</v>
      </c>
      <c r="BM43" s="197">
        <f t="shared" si="98"/>
        <v>585.301690067295</v>
      </c>
      <c r="BN43" s="199">
        <f t="shared" si="98"/>
        <v>766.12565355435231</v>
      </c>
      <c r="BO43" s="196">
        <f t="shared" si="125"/>
        <v>3545.292001883171</v>
      </c>
      <c r="BP43" s="197">
        <f t="shared" si="99"/>
        <v>1199.4009128235652</v>
      </c>
      <c r="BQ43" s="197">
        <f t="shared" si="100"/>
        <v>1968.8475927401842</v>
      </c>
      <c r="BR43" s="197">
        <f t="shared" si="101"/>
        <v>1576.4444091429868</v>
      </c>
      <c r="BS43" s="199">
        <f t="shared" si="102"/>
        <v>2775.8453219665516</v>
      </c>
      <c r="BV43" s="204">
        <f t="shared" si="126"/>
        <v>6</v>
      </c>
      <c r="BW43" s="197">
        <f>'Energy NPV'!$D96</f>
        <v>16.3</v>
      </c>
      <c r="BX43" s="197">
        <f>'Energy margins'!$Z$12</f>
        <v>55</v>
      </c>
      <c r="BY43" s="197">
        <f t="shared" si="127"/>
        <v>896.5</v>
      </c>
      <c r="BZ43" s="197">
        <f>'Margins summary'!$W$14</f>
        <v>220</v>
      </c>
      <c r="CA43" s="197">
        <f t="shared" si="103"/>
        <v>1116.5</v>
      </c>
      <c r="CB43" s="197"/>
      <c r="CC43" s="897">
        <f>'Energy NPV'!U96</f>
        <v>368.78200000000004</v>
      </c>
      <c r="CD43" s="197"/>
      <c r="CE43" s="197">
        <f t="shared" si="80"/>
        <v>737.56400000000008</v>
      </c>
      <c r="CF43" s="197">
        <f t="shared" si="81"/>
        <v>158.93599999999992</v>
      </c>
      <c r="CG43" s="197">
        <f t="shared" si="82"/>
        <v>378.93599999999992</v>
      </c>
      <c r="CH43" s="196">
        <f t="shared" si="104"/>
        <v>736.85765120975861</v>
      </c>
      <c r="CI43" s="197">
        <f t="shared" si="104"/>
        <v>180.82396348705734</v>
      </c>
      <c r="CJ43" s="197">
        <f t="shared" si="105"/>
        <v>606.22384456985446</v>
      </c>
      <c r="CK43" s="197">
        <f t="shared" si="105"/>
        <v>130.63380663990424</v>
      </c>
      <c r="CL43" s="199">
        <f t="shared" si="105"/>
        <v>311.45777012696158</v>
      </c>
      <c r="CM43" s="196">
        <f t="shared" si="128"/>
        <v>3545.292001883171</v>
      </c>
      <c r="CN43" s="197">
        <f t="shared" si="106"/>
        <v>1199.4009128235652</v>
      </c>
      <c r="CO43" s="197">
        <f t="shared" si="107"/>
        <v>7875.3903709607366</v>
      </c>
      <c r="CP43" s="197">
        <f t="shared" si="108"/>
        <v>-4330.0983690775665</v>
      </c>
      <c r="CQ43" s="199">
        <f t="shared" si="109"/>
        <v>-3130.6974562539999</v>
      </c>
      <c r="CT43" s="204">
        <f t="shared" si="129"/>
        <v>6</v>
      </c>
      <c r="CU43" s="197">
        <f>'Energy NPV'!$D96</f>
        <v>16.3</v>
      </c>
      <c r="CV43" s="197">
        <f>'Energy margins'!$Z$12</f>
        <v>55</v>
      </c>
      <c r="CW43" s="197">
        <f t="shared" si="83"/>
        <v>896.5</v>
      </c>
      <c r="CX43" s="197">
        <f>'Margins summary'!$W$14</f>
        <v>220</v>
      </c>
      <c r="CY43" s="197">
        <f t="shared" si="84"/>
        <v>1116.5</v>
      </c>
      <c r="CZ43" s="197"/>
      <c r="DA43" s="897">
        <f>'Energy NPV'!U96</f>
        <v>368.78200000000004</v>
      </c>
      <c r="DB43" s="197"/>
      <c r="DC43" s="197">
        <f t="shared" si="85"/>
        <v>0</v>
      </c>
      <c r="DD43" s="197">
        <f t="shared" si="86"/>
        <v>896.5</v>
      </c>
      <c r="DE43" s="197">
        <f t="shared" si="87"/>
        <v>1116.5</v>
      </c>
      <c r="DF43" s="196">
        <f t="shared" si="110"/>
        <v>736.85765120975861</v>
      </c>
      <c r="DG43" s="197">
        <f t="shared" si="110"/>
        <v>180.82396348705734</v>
      </c>
      <c r="DH43" s="197">
        <f t="shared" si="111"/>
        <v>0</v>
      </c>
      <c r="DI43" s="197">
        <f t="shared" si="111"/>
        <v>736.85765120975861</v>
      </c>
      <c r="DJ43" s="199">
        <f t="shared" si="111"/>
        <v>917.68161469681604</v>
      </c>
      <c r="DK43" s="196">
        <f t="shared" si="112"/>
        <v>3545.292001883171</v>
      </c>
      <c r="DL43" s="197">
        <f t="shared" si="113"/>
        <v>1199.4009128235652</v>
      </c>
      <c r="DM43" s="197">
        <f t="shared" si="114"/>
        <v>0</v>
      </c>
      <c r="DN43" s="197">
        <f t="shared" si="115"/>
        <v>3545.292001883171</v>
      </c>
      <c r="DO43" s="199">
        <f t="shared" si="116"/>
        <v>4744.6929147067358</v>
      </c>
    </row>
    <row r="44" spans="2:175" x14ac:dyDescent="0.3">
      <c r="B44" s="204">
        <f t="shared" si="117"/>
        <v>7</v>
      </c>
      <c r="C44" s="197">
        <f>'Energy NPV'!$D97</f>
        <v>16.3</v>
      </c>
      <c r="D44" s="197">
        <f>'Energy margins'!$Z$12</f>
        <v>55</v>
      </c>
      <c r="E44" s="197">
        <f t="shared" si="118"/>
        <v>896.5</v>
      </c>
      <c r="F44" s="197">
        <f>'Margins summary'!$W$14</f>
        <v>220</v>
      </c>
      <c r="G44" s="197">
        <f t="shared" si="88"/>
        <v>1116.5</v>
      </c>
      <c r="H44" s="197"/>
      <c r="I44" s="897">
        <f>'Energy NPV'!U97</f>
        <v>368.78200000000004</v>
      </c>
      <c r="J44" s="197"/>
      <c r="K44" s="197">
        <f t="shared" si="71"/>
        <v>368.78200000000004</v>
      </c>
      <c r="L44" s="197">
        <f t="shared" si="72"/>
        <v>527.71799999999996</v>
      </c>
      <c r="M44" s="197">
        <f t="shared" si="73"/>
        <v>747.71799999999996</v>
      </c>
      <c r="N44" s="196">
        <f t="shared" si="89"/>
        <v>708.51697231707567</v>
      </c>
      <c r="O44" s="197">
        <f t="shared" si="89"/>
        <v>173.86919566063204</v>
      </c>
      <c r="P44" s="197">
        <f t="shared" si="90"/>
        <v>291.45377142781462</v>
      </c>
      <c r="Q44" s="197">
        <f t="shared" si="90"/>
        <v>417.063200889261</v>
      </c>
      <c r="R44" s="199">
        <f t="shared" si="90"/>
        <v>590.93239654989304</v>
      </c>
      <c r="S44" s="196">
        <f t="shared" si="119"/>
        <v>4253.8089742002467</v>
      </c>
      <c r="T44" s="197">
        <f t="shared" si="91"/>
        <v>1373.2701084841974</v>
      </c>
      <c r="U44" s="197">
        <f t="shared" si="91"/>
        <v>4229.1489569081832</v>
      </c>
      <c r="V44" s="197">
        <f t="shared" si="91"/>
        <v>24.660017292063742</v>
      </c>
      <c r="W44" s="199">
        <f t="shared" si="91"/>
        <v>1397.9301257762609</v>
      </c>
      <c r="Z44" s="204">
        <f t="shared" si="120"/>
        <v>7</v>
      </c>
      <c r="AA44" s="197">
        <f>'Energy NPV'!$D97</f>
        <v>16.3</v>
      </c>
      <c r="AB44" s="197">
        <f>'Energy margins'!$Z$12</f>
        <v>55</v>
      </c>
      <c r="AC44" s="197">
        <f t="shared" si="121"/>
        <v>896.5</v>
      </c>
      <c r="AD44" s="197">
        <f>'Margins summary'!$W$14</f>
        <v>220</v>
      </c>
      <c r="AE44" s="197">
        <f t="shared" si="92"/>
        <v>1116.5</v>
      </c>
      <c r="AF44" s="197"/>
      <c r="AG44" s="897">
        <f>'Energy NPV'!U97</f>
        <v>368.78200000000004</v>
      </c>
      <c r="AH44" s="197"/>
      <c r="AI44" s="197">
        <f t="shared" si="74"/>
        <v>553.173</v>
      </c>
      <c r="AJ44" s="197">
        <f t="shared" si="75"/>
        <v>343.327</v>
      </c>
      <c r="AK44" s="197">
        <f t="shared" si="76"/>
        <v>563.327</v>
      </c>
      <c r="AL44" s="196">
        <f t="shared" si="93"/>
        <v>708.51697231707567</v>
      </c>
      <c r="AM44" s="197">
        <f t="shared" si="93"/>
        <v>173.86919566063204</v>
      </c>
      <c r="AN44" s="197">
        <f t="shared" si="94"/>
        <v>437.18065714172189</v>
      </c>
      <c r="AO44" s="197">
        <f t="shared" si="94"/>
        <v>271.33631517535372</v>
      </c>
      <c r="AP44" s="199">
        <f t="shared" si="94"/>
        <v>445.20551083598582</v>
      </c>
      <c r="AQ44" s="196">
        <f t="shared" si="122"/>
        <v>4253.8089742002467</v>
      </c>
      <c r="AR44" s="197">
        <f t="shared" si="95"/>
        <v>1373.2701084841974</v>
      </c>
      <c r="AS44" s="197">
        <f t="shared" si="95"/>
        <v>6343.7234353622734</v>
      </c>
      <c r="AT44" s="197">
        <f t="shared" si="95"/>
        <v>-2089.9144611620277</v>
      </c>
      <c r="AU44" s="199">
        <f t="shared" si="95"/>
        <v>-716.64435267783062</v>
      </c>
      <c r="AX44" s="204">
        <f t="shared" si="123"/>
        <v>7</v>
      </c>
      <c r="AY44" s="197">
        <f>'Energy NPV'!$D97</f>
        <v>16.3</v>
      </c>
      <c r="AZ44" s="197">
        <f>'Energy margins'!$Z$12</f>
        <v>55</v>
      </c>
      <c r="BA44" s="197">
        <f t="shared" si="124"/>
        <v>896.5</v>
      </c>
      <c r="BB44" s="197">
        <f>'Margins summary'!$W$14</f>
        <v>220</v>
      </c>
      <c r="BC44" s="197">
        <f t="shared" si="96"/>
        <v>1116.5</v>
      </c>
      <c r="BD44" s="197"/>
      <c r="BE44" s="897">
        <f>'Energy NPV'!U97</f>
        <v>368.78200000000004</v>
      </c>
      <c r="BF44" s="197"/>
      <c r="BG44" s="197">
        <f t="shared" si="77"/>
        <v>184.39100000000002</v>
      </c>
      <c r="BH44" s="197">
        <f t="shared" si="78"/>
        <v>712.10899999999992</v>
      </c>
      <c r="BI44" s="197">
        <f t="shared" si="79"/>
        <v>932.10899999999992</v>
      </c>
      <c r="BJ44" s="196">
        <f t="shared" si="97"/>
        <v>708.51697231707567</v>
      </c>
      <c r="BK44" s="197">
        <f t="shared" si="97"/>
        <v>173.86919566063204</v>
      </c>
      <c r="BL44" s="197">
        <f t="shared" si="98"/>
        <v>145.72688571390731</v>
      </c>
      <c r="BM44" s="197">
        <f t="shared" si="98"/>
        <v>562.79008660316822</v>
      </c>
      <c r="BN44" s="199">
        <f t="shared" si="98"/>
        <v>736.65928226380038</v>
      </c>
      <c r="BO44" s="196">
        <f t="shared" si="125"/>
        <v>4253.8089742002467</v>
      </c>
      <c r="BP44" s="197">
        <f t="shared" si="99"/>
        <v>1373.2701084841974</v>
      </c>
      <c r="BQ44" s="197">
        <f t="shared" si="100"/>
        <v>2114.5744784540916</v>
      </c>
      <c r="BR44" s="197">
        <f t="shared" si="101"/>
        <v>2139.2344957461551</v>
      </c>
      <c r="BS44" s="199">
        <f t="shared" si="102"/>
        <v>3512.504604230352</v>
      </c>
      <c r="BV44" s="204">
        <f t="shared" si="126"/>
        <v>7</v>
      </c>
      <c r="BW44" s="197">
        <f>'Energy NPV'!$D97</f>
        <v>16.3</v>
      </c>
      <c r="BX44" s="197">
        <f>'Energy margins'!$Z$12</f>
        <v>55</v>
      </c>
      <c r="BY44" s="197">
        <f t="shared" si="127"/>
        <v>896.5</v>
      </c>
      <c r="BZ44" s="197">
        <f>'Margins summary'!$W$14</f>
        <v>220</v>
      </c>
      <c r="CA44" s="197">
        <f t="shared" si="103"/>
        <v>1116.5</v>
      </c>
      <c r="CB44" s="197"/>
      <c r="CC44" s="897">
        <f>'Energy NPV'!U97</f>
        <v>368.78200000000004</v>
      </c>
      <c r="CD44" s="197"/>
      <c r="CE44" s="197">
        <f t="shared" si="80"/>
        <v>737.56400000000008</v>
      </c>
      <c r="CF44" s="197">
        <f t="shared" si="81"/>
        <v>158.93599999999992</v>
      </c>
      <c r="CG44" s="197">
        <f t="shared" si="82"/>
        <v>378.93599999999992</v>
      </c>
      <c r="CH44" s="196">
        <f t="shared" si="104"/>
        <v>708.51697231707567</v>
      </c>
      <c r="CI44" s="197">
        <f t="shared" si="104"/>
        <v>173.86919566063204</v>
      </c>
      <c r="CJ44" s="197">
        <f t="shared" si="105"/>
        <v>582.90754285562923</v>
      </c>
      <c r="CK44" s="197">
        <f t="shared" si="105"/>
        <v>125.60942946144638</v>
      </c>
      <c r="CL44" s="199">
        <f t="shared" si="105"/>
        <v>299.47862512207843</v>
      </c>
      <c r="CM44" s="196">
        <f t="shared" si="128"/>
        <v>4253.8089742002467</v>
      </c>
      <c r="CN44" s="197">
        <f t="shared" si="106"/>
        <v>1373.2701084841974</v>
      </c>
      <c r="CO44" s="197">
        <f t="shared" si="107"/>
        <v>8458.2979138163664</v>
      </c>
      <c r="CP44" s="197">
        <f t="shared" si="108"/>
        <v>-4204.4889396161198</v>
      </c>
      <c r="CQ44" s="199">
        <f t="shared" si="109"/>
        <v>-2831.2188311319214</v>
      </c>
      <c r="CT44" s="204">
        <f t="shared" si="129"/>
        <v>7</v>
      </c>
      <c r="CU44" s="197">
        <f>'Energy NPV'!$D97</f>
        <v>16.3</v>
      </c>
      <c r="CV44" s="197">
        <f>'Energy margins'!$Z$12</f>
        <v>55</v>
      </c>
      <c r="CW44" s="197">
        <f t="shared" si="83"/>
        <v>896.5</v>
      </c>
      <c r="CX44" s="197">
        <f>'Margins summary'!$W$14</f>
        <v>220</v>
      </c>
      <c r="CY44" s="197">
        <f t="shared" si="84"/>
        <v>1116.5</v>
      </c>
      <c r="CZ44" s="197"/>
      <c r="DA44" s="897">
        <f>'Energy NPV'!U97</f>
        <v>368.78200000000004</v>
      </c>
      <c r="DB44" s="197"/>
      <c r="DC44" s="197">
        <f t="shared" si="85"/>
        <v>0</v>
      </c>
      <c r="DD44" s="197">
        <f t="shared" si="86"/>
        <v>896.5</v>
      </c>
      <c r="DE44" s="197">
        <f t="shared" si="87"/>
        <v>1116.5</v>
      </c>
      <c r="DF44" s="196">
        <f t="shared" si="110"/>
        <v>708.51697231707567</v>
      </c>
      <c r="DG44" s="197">
        <f t="shared" si="110"/>
        <v>173.86919566063204</v>
      </c>
      <c r="DH44" s="197">
        <f t="shared" si="111"/>
        <v>0</v>
      </c>
      <c r="DI44" s="197">
        <f t="shared" si="111"/>
        <v>708.51697231707567</v>
      </c>
      <c r="DJ44" s="199">
        <f t="shared" si="111"/>
        <v>882.38616797770771</v>
      </c>
      <c r="DK44" s="196">
        <f t="shared" si="112"/>
        <v>4253.8089742002467</v>
      </c>
      <c r="DL44" s="197">
        <f t="shared" si="113"/>
        <v>1373.2701084841974</v>
      </c>
      <c r="DM44" s="197">
        <f t="shared" si="114"/>
        <v>0</v>
      </c>
      <c r="DN44" s="197">
        <f t="shared" si="115"/>
        <v>4253.8089742002467</v>
      </c>
      <c r="DO44" s="199">
        <f t="shared" si="116"/>
        <v>5627.0790826844432</v>
      </c>
    </row>
    <row r="45" spans="2:175" x14ac:dyDescent="0.3">
      <c r="B45" s="204">
        <f t="shared" si="117"/>
        <v>8</v>
      </c>
      <c r="C45" s="197">
        <f>'Energy NPV'!$D98</f>
        <v>16.3</v>
      </c>
      <c r="D45" s="197">
        <f>'Energy margins'!$Z$12</f>
        <v>55</v>
      </c>
      <c r="E45" s="197">
        <f t="shared" si="118"/>
        <v>896.5</v>
      </c>
      <c r="F45" s="197">
        <f>'Margins summary'!$W$14</f>
        <v>220</v>
      </c>
      <c r="G45" s="197">
        <f t="shared" si="88"/>
        <v>1116.5</v>
      </c>
      <c r="H45" s="197"/>
      <c r="I45" s="897">
        <f>'Energy NPV'!U98</f>
        <v>368.78200000000004</v>
      </c>
      <c r="J45" s="197"/>
      <c r="K45" s="197">
        <f t="shared" si="71"/>
        <v>368.78200000000004</v>
      </c>
      <c r="L45" s="197">
        <f t="shared" si="72"/>
        <v>527.71799999999996</v>
      </c>
      <c r="M45" s="197">
        <f t="shared" si="73"/>
        <v>747.71799999999996</v>
      </c>
      <c r="N45" s="196">
        <f t="shared" si="89"/>
        <v>681.2663195356497</v>
      </c>
      <c r="O45" s="197">
        <f t="shared" si="89"/>
        <v>167.18191890445391</v>
      </c>
      <c r="P45" s="197">
        <f t="shared" si="90"/>
        <v>280.24401098828332</v>
      </c>
      <c r="Q45" s="197">
        <f t="shared" si="90"/>
        <v>401.02230854736638</v>
      </c>
      <c r="R45" s="199">
        <f t="shared" si="90"/>
        <v>568.20422745182032</v>
      </c>
      <c r="S45" s="196">
        <f t="shared" si="119"/>
        <v>4935.0752937358966</v>
      </c>
      <c r="T45" s="197">
        <f t="shared" si="91"/>
        <v>1540.4520273886512</v>
      </c>
      <c r="U45" s="197">
        <f t="shared" si="91"/>
        <v>4509.3929678964669</v>
      </c>
      <c r="V45" s="197">
        <f t="shared" si="91"/>
        <v>425.68232583943012</v>
      </c>
      <c r="W45" s="199">
        <f t="shared" si="91"/>
        <v>1966.1343532280812</v>
      </c>
      <c r="Z45" s="204">
        <f t="shared" si="120"/>
        <v>8</v>
      </c>
      <c r="AA45" s="197">
        <f>'Energy NPV'!$D98</f>
        <v>16.3</v>
      </c>
      <c r="AB45" s="197">
        <f>'Energy margins'!$Z$12</f>
        <v>55</v>
      </c>
      <c r="AC45" s="197">
        <f t="shared" si="121"/>
        <v>896.5</v>
      </c>
      <c r="AD45" s="197">
        <f>'Margins summary'!$W$14</f>
        <v>220</v>
      </c>
      <c r="AE45" s="197">
        <f t="shared" si="92"/>
        <v>1116.5</v>
      </c>
      <c r="AF45" s="197"/>
      <c r="AG45" s="897">
        <f>'Energy NPV'!U98</f>
        <v>368.78200000000004</v>
      </c>
      <c r="AH45" s="197"/>
      <c r="AI45" s="197">
        <f t="shared" si="74"/>
        <v>553.173</v>
      </c>
      <c r="AJ45" s="197">
        <f t="shared" si="75"/>
        <v>343.327</v>
      </c>
      <c r="AK45" s="197">
        <f t="shared" si="76"/>
        <v>563.327</v>
      </c>
      <c r="AL45" s="196">
        <f t="shared" si="93"/>
        <v>681.2663195356497</v>
      </c>
      <c r="AM45" s="197">
        <f t="shared" si="93"/>
        <v>167.18191890445391</v>
      </c>
      <c r="AN45" s="197">
        <f t="shared" si="94"/>
        <v>420.36601648242493</v>
      </c>
      <c r="AO45" s="197">
        <f t="shared" si="94"/>
        <v>260.90030305322477</v>
      </c>
      <c r="AP45" s="199">
        <f t="shared" si="94"/>
        <v>428.08222195767871</v>
      </c>
      <c r="AQ45" s="196">
        <f t="shared" si="122"/>
        <v>4935.0752937358966</v>
      </c>
      <c r="AR45" s="197">
        <f t="shared" si="95"/>
        <v>1540.4520273886512</v>
      </c>
      <c r="AS45" s="197">
        <f t="shared" si="95"/>
        <v>6764.0894518446985</v>
      </c>
      <c r="AT45" s="197">
        <f t="shared" si="95"/>
        <v>-1829.0141581088028</v>
      </c>
      <c r="AU45" s="199">
        <f t="shared" si="95"/>
        <v>-288.56213072015191</v>
      </c>
      <c r="AX45" s="204">
        <f t="shared" si="123"/>
        <v>8</v>
      </c>
      <c r="AY45" s="197">
        <f>'Energy NPV'!$D98</f>
        <v>16.3</v>
      </c>
      <c r="AZ45" s="197">
        <f>'Energy margins'!$Z$12</f>
        <v>55</v>
      </c>
      <c r="BA45" s="197">
        <f t="shared" si="124"/>
        <v>896.5</v>
      </c>
      <c r="BB45" s="197">
        <f>'Margins summary'!$W$14</f>
        <v>220</v>
      </c>
      <c r="BC45" s="197">
        <f t="shared" si="96"/>
        <v>1116.5</v>
      </c>
      <c r="BD45" s="197"/>
      <c r="BE45" s="897">
        <f>'Energy NPV'!U98</f>
        <v>368.78200000000004</v>
      </c>
      <c r="BF45" s="197"/>
      <c r="BG45" s="197">
        <f t="shared" si="77"/>
        <v>184.39100000000002</v>
      </c>
      <c r="BH45" s="197">
        <f t="shared" si="78"/>
        <v>712.10899999999992</v>
      </c>
      <c r="BI45" s="197">
        <f t="shared" si="79"/>
        <v>932.10899999999992</v>
      </c>
      <c r="BJ45" s="196">
        <f t="shared" si="97"/>
        <v>681.2663195356497</v>
      </c>
      <c r="BK45" s="197">
        <f t="shared" si="97"/>
        <v>167.18191890445391</v>
      </c>
      <c r="BL45" s="197">
        <f t="shared" si="98"/>
        <v>140.12200549414166</v>
      </c>
      <c r="BM45" s="197">
        <f t="shared" si="98"/>
        <v>541.14431404150798</v>
      </c>
      <c r="BN45" s="199">
        <f t="shared" si="98"/>
        <v>708.32623294596192</v>
      </c>
      <c r="BO45" s="196">
        <f t="shared" si="125"/>
        <v>4935.0752937358966</v>
      </c>
      <c r="BP45" s="197">
        <f t="shared" si="99"/>
        <v>1540.4520273886512</v>
      </c>
      <c r="BQ45" s="197">
        <f t="shared" si="100"/>
        <v>2254.6964839482334</v>
      </c>
      <c r="BR45" s="197">
        <f t="shared" si="101"/>
        <v>2680.3788097876632</v>
      </c>
      <c r="BS45" s="199">
        <f t="shared" si="102"/>
        <v>4220.8308371763142</v>
      </c>
      <c r="BV45" s="204">
        <f t="shared" si="126"/>
        <v>8</v>
      </c>
      <c r="BW45" s="197">
        <f>'Energy NPV'!$D98</f>
        <v>16.3</v>
      </c>
      <c r="BX45" s="197">
        <f>'Energy margins'!$Z$12</f>
        <v>55</v>
      </c>
      <c r="BY45" s="197">
        <f t="shared" si="127"/>
        <v>896.5</v>
      </c>
      <c r="BZ45" s="197">
        <f>'Margins summary'!$W$14</f>
        <v>220</v>
      </c>
      <c r="CA45" s="197">
        <f t="shared" si="103"/>
        <v>1116.5</v>
      </c>
      <c r="CB45" s="197"/>
      <c r="CC45" s="897">
        <f>'Energy NPV'!U98</f>
        <v>368.78200000000004</v>
      </c>
      <c r="CD45" s="197"/>
      <c r="CE45" s="197">
        <f t="shared" si="80"/>
        <v>737.56400000000008</v>
      </c>
      <c r="CF45" s="197">
        <f t="shared" si="81"/>
        <v>158.93599999999992</v>
      </c>
      <c r="CG45" s="197">
        <f t="shared" si="82"/>
        <v>378.93599999999992</v>
      </c>
      <c r="CH45" s="196">
        <f t="shared" si="104"/>
        <v>681.2663195356497</v>
      </c>
      <c r="CI45" s="197">
        <f t="shared" si="104"/>
        <v>167.18191890445391</v>
      </c>
      <c r="CJ45" s="197">
        <f t="shared" si="105"/>
        <v>560.48802197656664</v>
      </c>
      <c r="CK45" s="197">
        <f t="shared" si="105"/>
        <v>120.77829755908307</v>
      </c>
      <c r="CL45" s="199">
        <f t="shared" si="105"/>
        <v>287.96021646353699</v>
      </c>
      <c r="CM45" s="196">
        <f t="shared" si="128"/>
        <v>4935.0752937358966</v>
      </c>
      <c r="CN45" s="197">
        <f t="shared" si="106"/>
        <v>1540.4520273886512</v>
      </c>
      <c r="CO45" s="197">
        <f t="shared" si="107"/>
        <v>9018.7859357929337</v>
      </c>
      <c r="CP45" s="197">
        <f t="shared" si="108"/>
        <v>-4083.7106420570367</v>
      </c>
      <c r="CQ45" s="199">
        <f t="shared" si="109"/>
        <v>-2543.2586146683843</v>
      </c>
      <c r="CT45" s="204">
        <f t="shared" si="129"/>
        <v>8</v>
      </c>
      <c r="CU45" s="197">
        <f>'Energy NPV'!$D98</f>
        <v>16.3</v>
      </c>
      <c r="CV45" s="197">
        <f>'Energy margins'!$Z$12</f>
        <v>55</v>
      </c>
      <c r="CW45" s="197">
        <f t="shared" si="83"/>
        <v>896.5</v>
      </c>
      <c r="CX45" s="197">
        <f>'Margins summary'!$W$14</f>
        <v>220</v>
      </c>
      <c r="CY45" s="197">
        <f t="shared" si="84"/>
        <v>1116.5</v>
      </c>
      <c r="CZ45" s="197"/>
      <c r="DA45" s="897">
        <f>'Energy NPV'!U98</f>
        <v>368.78200000000004</v>
      </c>
      <c r="DB45" s="197"/>
      <c r="DC45" s="197">
        <f t="shared" si="85"/>
        <v>0</v>
      </c>
      <c r="DD45" s="197">
        <f t="shared" si="86"/>
        <v>896.5</v>
      </c>
      <c r="DE45" s="197">
        <f t="shared" si="87"/>
        <v>1116.5</v>
      </c>
      <c r="DF45" s="196">
        <f t="shared" si="110"/>
        <v>681.2663195356497</v>
      </c>
      <c r="DG45" s="197">
        <f t="shared" si="110"/>
        <v>167.18191890445391</v>
      </c>
      <c r="DH45" s="197">
        <f t="shared" si="111"/>
        <v>0</v>
      </c>
      <c r="DI45" s="197">
        <f t="shared" si="111"/>
        <v>681.2663195356497</v>
      </c>
      <c r="DJ45" s="199">
        <f t="shared" si="111"/>
        <v>848.44823844010364</v>
      </c>
      <c r="DK45" s="196">
        <f t="shared" si="112"/>
        <v>4935.0752937358966</v>
      </c>
      <c r="DL45" s="197">
        <f t="shared" si="113"/>
        <v>1540.4520273886512</v>
      </c>
      <c r="DM45" s="197">
        <f t="shared" si="114"/>
        <v>0</v>
      </c>
      <c r="DN45" s="197">
        <f t="shared" si="115"/>
        <v>4935.0752937358966</v>
      </c>
      <c r="DO45" s="199">
        <f t="shared" si="116"/>
        <v>6475.5273211245467</v>
      </c>
    </row>
    <row r="46" spans="2:175" x14ac:dyDescent="0.3">
      <c r="B46" s="204">
        <f t="shared" si="117"/>
        <v>9</v>
      </c>
      <c r="C46" s="197">
        <f>'Energy NPV'!$D99</f>
        <v>16.3</v>
      </c>
      <c r="D46" s="197">
        <f>'Energy margins'!$Z$12</f>
        <v>55</v>
      </c>
      <c r="E46" s="197">
        <f t="shared" si="118"/>
        <v>896.5</v>
      </c>
      <c r="F46" s="197">
        <f>'Margins summary'!$W$14</f>
        <v>220</v>
      </c>
      <c r="G46" s="197">
        <f t="shared" si="88"/>
        <v>1116.5</v>
      </c>
      <c r="H46" s="197"/>
      <c r="I46" s="897">
        <f>'Energy NPV'!U99</f>
        <v>368.78200000000004</v>
      </c>
      <c r="J46" s="197"/>
      <c r="K46" s="197">
        <f t="shared" si="71"/>
        <v>368.78200000000004</v>
      </c>
      <c r="L46" s="197">
        <f t="shared" si="72"/>
        <v>527.71799999999996</v>
      </c>
      <c r="M46" s="197">
        <f t="shared" si="73"/>
        <v>747.71799999999996</v>
      </c>
      <c r="N46" s="196">
        <f t="shared" si="89"/>
        <v>655.06376878427841</v>
      </c>
      <c r="O46" s="197">
        <f t="shared" si="89"/>
        <v>160.75184510043644</v>
      </c>
      <c r="P46" s="197">
        <f t="shared" si="90"/>
        <v>269.46539518104163</v>
      </c>
      <c r="Q46" s="197">
        <f t="shared" si="90"/>
        <v>385.59837360323684</v>
      </c>
      <c r="R46" s="199">
        <f t="shared" si="90"/>
        <v>546.35021870367325</v>
      </c>
      <c r="S46" s="196">
        <f t="shared" si="119"/>
        <v>5590.1390625201748</v>
      </c>
      <c r="T46" s="197">
        <f t="shared" si="91"/>
        <v>1701.2038724890876</v>
      </c>
      <c r="U46" s="197">
        <f t="shared" si="91"/>
        <v>4778.8583630775083</v>
      </c>
      <c r="V46" s="197">
        <f t="shared" si="91"/>
        <v>811.2806994426669</v>
      </c>
      <c r="W46" s="199">
        <f t="shared" si="91"/>
        <v>2512.4845719317545</v>
      </c>
      <c r="Z46" s="204">
        <f t="shared" si="120"/>
        <v>9</v>
      </c>
      <c r="AA46" s="197">
        <f>'Energy NPV'!$D99</f>
        <v>16.3</v>
      </c>
      <c r="AB46" s="197">
        <f>'Energy margins'!$Z$12</f>
        <v>55</v>
      </c>
      <c r="AC46" s="197">
        <f t="shared" si="121"/>
        <v>896.5</v>
      </c>
      <c r="AD46" s="197">
        <f>'Margins summary'!$W$14</f>
        <v>220</v>
      </c>
      <c r="AE46" s="197">
        <f t="shared" si="92"/>
        <v>1116.5</v>
      </c>
      <c r="AF46" s="197"/>
      <c r="AG46" s="897">
        <f>'Energy NPV'!U99</f>
        <v>368.78200000000004</v>
      </c>
      <c r="AH46" s="197"/>
      <c r="AI46" s="197">
        <f t="shared" si="74"/>
        <v>553.173</v>
      </c>
      <c r="AJ46" s="197">
        <f t="shared" si="75"/>
        <v>343.327</v>
      </c>
      <c r="AK46" s="197">
        <f t="shared" si="76"/>
        <v>563.327</v>
      </c>
      <c r="AL46" s="196">
        <f t="shared" si="93"/>
        <v>655.06376878427841</v>
      </c>
      <c r="AM46" s="197">
        <f t="shared" si="93"/>
        <v>160.75184510043644</v>
      </c>
      <c r="AN46" s="197">
        <f t="shared" si="94"/>
        <v>404.19809277156236</v>
      </c>
      <c r="AO46" s="197">
        <f t="shared" si="94"/>
        <v>250.86567601271608</v>
      </c>
      <c r="AP46" s="199">
        <f t="shared" si="94"/>
        <v>411.61752111315252</v>
      </c>
      <c r="AQ46" s="196">
        <f t="shared" si="122"/>
        <v>5590.1390625201748</v>
      </c>
      <c r="AR46" s="197">
        <f t="shared" si="95"/>
        <v>1701.2038724890876</v>
      </c>
      <c r="AS46" s="197">
        <f t="shared" si="95"/>
        <v>7168.2875446162607</v>
      </c>
      <c r="AT46" s="197">
        <f t="shared" si="95"/>
        <v>-1578.1484820960868</v>
      </c>
      <c r="AU46" s="199">
        <f t="shared" si="95"/>
        <v>123.05539039300061</v>
      </c>
      <c r="AX46" s="204">
        <f t="shared" si="123"/>
        <v>9</v>
      </c>
      <c r="AY46" s="197">
        <f>'Energy NPV'!$D99</f>
        <v>16.3</v>
      </c>
      <c r="AZ46" s="197">
        <f>'Energy margins'!$Z$12</f>
        <v>55</v>
      </c>
      <c r="BA46" s="197">
        <f t="shared" si="124"/>
        <v>896.5</v>
      </c>
      <c r="BB46" s="197">
        <f>'Margins summary'!$W$14</f>
        <v>220</v>
      </c>
      <c r="BC46" s="197">
        <f t="shared" si="96"/>
        <v>1116.5</v>
      </c>
      <c r="BD46" s="197"/>
      <c r="BE46" s="897">
        <f>'Energy NPV'!U99</f>
        <v>368.78200000000004</v>
      </c>
      <c r="BF46" s="197"/>
      <c r="BG46" s="197">
        <f t="shared" si="77"/>
        <v>184.39100000000002</v>
      </c>
      <c r="BH46" s="197">
        <f t="shared" si="78"/>
        <v>712.10899999999992</v>
      </c>
      <c r="BI46" s="197">
        <f t="shared" si="79"/>
        <v>932.10899999999992</v>
      </c>
      <c r="BJ46" s="196">
        <f t="shared" si="97"/>
        <v>655.06376878427841</v>
      </c>
      <c r="BK46" s="197">
        <f t="shared" si="97"/>
        <v>160.75184510043644</v>
      </c>
      <c r="BL46" s="197">
        <f t="shared" si="98"/>
        <v>134.73269759052081</v>
      </c>
      <c r="BM46" s="197">
        <f t="shared" si="98"/>
        <v>520.33107119375757</v>
      </c>
      <c r="BN46" s="199">
        <f t="shared" si="98"/>
        <v>681.08291629419409</v>
      </c>
      <c r="BO46" s="196">
        <f t="shared" si="125"/>
        <v>5590.1390625201748</v>
      </c>
      <c r="BP46" s="197">
        <f t="shared" si="99"/>
        <v>1701.2038724890876</v>
      </c>
      <c r="BQ46" s="197">
        <f t="shared" si="100"/>
        <v>2389.4291815387542</v>
      </c>
      <c r="BR46" s="197">
        <f t="shared" si="101"/>
        <v>3200.7098809814206</v>
      </c>
      <c r="BS46" s="199">
        <f t="shared" si="102"/>
        <v>4901.9137534705078</v>
      </c>
      <c r="BV46" s="204">
        <f t="shared" si="126"/>
        <v>9</v>
      </c>
      <c r="BW46" s="197">
        <f>'Energy NPV'!$D99</f>
        <v>16.3</v>
      </c>
      <c r="BX46" s="197">
        <f>'Energy margins'!$Z$12</f>
        <v>55</v>
      </c>
      <c r="BY46" s="197">
        <f t="shared" si="127"/>
        <v>896.5</v>
      </c>
      <c r="BZ46" s="197">
        <f>'Margins summary'!$W$14</f>
        <v>220</v>
      </c>
      <c r="CA46" s="197">
        <f t="shared" si="103"/>
        <v>1116.5</v>
      </c>
      <c r="CB46" s="197"/>
      <c r="CC46" s="897">
        <f>'Energy NPV'!U99</f>
        <v>368.78200000000004</v>
      </c>
      <c r="CD46" s="197"/>
      <c r="CE46" s="197">
        <f t="shared" si="80"/>
        <v>737.56400000000008</v>
      </c>
      <c r="CF46" s="197">
        <f t="shared" si="81"/>
        <v>158.93599999999992</v>
      </c>
      <c r="CG46" s="197">
        <f t="shared" si="82"/>
        <v>378.93599999999992</v>
      </c>
      <c r="CH46" s="196">
        <f t="shared" si="104"/>
        <v>655.06376878427841</v>
      </c>
      <c r="CI46" s="197">
        <f t="shared" si="104"/>
        <v>160.75184510043644</v>
      </c>
      <c r="CJ46" s="197">
        <f t="shared" si="105"/>
        <v>538.93079036208326</v>
      </c>
      <c r="CK46" s="197">
        <f t="shared" si="105"/>
        <v>116.13297842219524</v>
      </c>
      <c r="CL46" s="199">
        <f t="shared" si="105"/>
        <v>276.88482352263168</v>
      </c>
      <c r="CM46" s="196">
        <f t="shared" si="128"/>
        <v>5590.1390625201748</v>
      </c>
      <c r="CN46" s="197">
        <f t="shared" si="106"/>
        <v>1701.2038724890876</v>
      </c>
      <c r="CO46" s="197">
        <f t="shared" si="107"/>
        <v>9557.7167261550167</v>
      </c>
      <c r="CP46" s="197">
        <f t="shared" si="108"/>
        <v>-3967.5776636348414</v>
      </c>
      <c r="CQ46" s="199">
        <f t="shared" si="109"/>
        <v>-2266.3737911457529</v>
      </c>
      <c r="CT46" s="204">
        <f t="shared" si="129"/>
        <v>9</v>
      </c>
      <c r="CU46" s="197">
        <f>'Energy NPV'!$D99</f>
        <v>16.3</v>
      </c>
      <c r="CV46" s="197">
        <f>'Energy margins'!$Z$12</f>
        <v>55</v>
      </c>
      <c r="CW46" s="197">
        <f t="shared" si="83"/>
        <v>896.5</v>
      </c>
      <c r="CX46" s="197">
        <f>'Margins summary'!$W$14</f>
        <v>220</v>
      </c>
      <c r="CY46" s="197">
        <f t="shared" si="84"/>
        <v>1116.5</v>
      </c>
      <c r="CZ46" s="197"/>
      <c r="DA46" s="897">
        <f>'Energy NPV'!U99</f>
        <v>368.78200000000004</v>
      </c>
      <c r="DB46" s="197"/>
      <c r="DC46" s="197">
        <f t="shared" si="85"/>
        <v>0</v>
      </c>
      <c r="DD46" s="197">
        <f t="shared" si="86"/>
        <v>896.5</v>
      </c>
      <c r="DE46" s="197">
        <f t="shared" si="87"/>
        <v>1116.5</v>
      </c>
      <c r="DF46" s="196">
        <f t="shared" si="110"/>
        <v>655.06376878427841</v>
      </c>
      <c r="DG46" s="197">
        <f t="shared" si="110"/>
        <v>160.75184510043644</v>
      </c>
      <c r="DH46" s="197">
        <f t="shared" si="111"/>
        <v>0</v>
      </c>
      <c r="DI46" s="197">
        <f t="shared" si="111"/>
        <v>655.06376878427841</v>
      </c>
      <c r="DJ46" s="199">
        <f t="shared" si="111"/>
        <v>815.81561388471494</v>
      </c>
      <c r="DK46" s="196">
        <f t="shared" si="112"/>
        <v>5590.1390625201748</v>
      </c>
      <c r="DL46" s="197">
        <f t="shared" si="113"/>
        <v>1701.2038724890876</v>
      </c>
      <c r="DM46" s="197">
        <f t="shared" si="114"/>
        <v>0</v>
      </c>
      <c r="DN46" s="197">
        <f t="shared" si="115"/>
        <v>5590.1390625201748</v>
      </c>
      <c r="DO46" s="199">
        <f t="shared" si="116"/>
        <v>7291.342935009262</v>
      </c>
    </row>
    <row r="47" spans="2:175" x14ac:dyDescent="0.3">
      <c r="B47" s="204">
        <f t="shared" si="117"/>
        <v>10</v>
      </c>
      <c r="C47" s="197">
        <f>'Energy NPV'!$D100</f>
        <v>16.3</v>
      </c>
      <c r="D47" s="197">
        <f>'Energy margins'!$Z$12</f>
        <v>55</v>
      </c>
      <c r="E47" s="197">
        <f t="shared" si="118"/>
        <v>896.5</v>
      </c>
      <c r="F47" s="197">
        <f>'Margins summary'!$W$14</f>
        <v>220</v>
      </c>
      <c r="G47" s="197">
        <f t="shared" si="88"/>
        <v>1116.5</v>
      </c>
      <c r="H47" s="197"/>
      <c r="I47" s="897">
        <f>'Energy NPV'!U100</f>
        <v>368.78200000000004</v>
      </c>
      <c r="J47" s="197"/>
      <c r="K47" s="197">
        <f t="shared" si="71"/>
        <v>368.78200000000004</v>
      </c>
      <c r="L47" s="197">
        <f t="shared" si="72"/>
        <v>527.71799999999996</v>
      </c>
      <c r="M47" s="197">
        <f t="shared" si="73"/>
        <v>747.71799999999996</v>
      </c>
      <c r="N47" s="196">
        <f t="shared" si="89"/>
        <v>629.8690084464215</v>
      </c>
      <c r="O47" s="197">
        <f t="shared" si="89"/>
        <v>154.5690818273427</v>
      </c>
      <c r="P47" s="197">
        <f t="shared" si="90"/>
        <v>259.10134152023227</v>
      </c>
      <c r="Q47" s="197">
        <f t="shared" si="90"/>
        <v>370.76766692618924</v>
      </c>
      <c r="R47" s="199">
        <f t="shared" si="90"/>
        <v>525.33674875353199</v>
      </c>
      <c r="S47" s="196">
        <f t="shared" si="119"/>
        <v>6220.0080709665963</v>
      </c>
      <c r="T47" s="197">
        <f t="shared" si="91"/>
        <v>1855.7729543164303</v>
      </c>
      <c r="U47" s="197">
        <f t="shared" si="91"/>
        <v>5037.9597045977407</v>
      </c>
      <c r="V47" s="197">
        <f t="shared" si="91"/>
        <v>1182.048366368856</v>
      </c>
      <c r="W47" s="199">
        <f t="shared" si="91"/>
        <v>3037.8213206852865</v>
      </c>
      <c r="Z47" s="204">
        <f t="shared" si="120"/>
        <v>10</v>
      </c>
      <c r="AA47" s="197">
        <f>'Energy NPV'!$D100</f>
        <v>16.3</v>
      </c>
      <c r="AB47" s="197">
        <f>'Energy margins'!$Z$12</f>
        <v>55</v>
      </c>
      <c r="AC47" s="197">
        <f t="shared" si="121"/>
        <v>896.5</v>
      </c>
      <c r="AD47" s="197">
        <f>'Margins summary'!$W$14</f>
        <v>220</v>
      </c>
      <c r="AE47" s="197">
        <f t="shared" si="92"/>
        <v>1116.5</v>
      </c>
      <c r="AF47" s="197"/>
      <c r="AG47" s="897">
        <f>'Energy NPV'!U100</f>
        <v>368.78200000000004</v>
      </c>
      <c r="AH47" s="197"/>
      <c r="AI47" s="197">
        <f t="shared" si="74"/>
        <v>553.173</v>
      </c>
      <c r="AJ47" s="197">
        <f t="shared" si="75"/>
        <v>343.327</v>
      </c>
      <c r="AK47" s="197">
        <f t="shared" si="76"/>
        <v>563.327</v>
      </c>
      <c r="AL47" s="196">
        <f t="shared" si="93"/>
        <v>629.8690084464215</v>
      </c>
      <c r="AM47" s="197">
        <f t="shared" si="93"/>
        <v>154.5690818273427</v>
      </c>
      <c r="AN47" s="197">
        <f t="shared" si="94"/>
        <v>388.6520122803484</v>
      </c>
      <c r="AO47" s="197">
        <f t="shared" si="94"/>
        <v>241.21699616607313</v>
      </c>
      <c r="AP47" s="199">
        <f t="shared" si="94"/>
        <v>395.78607799341586</v>
      </c>
      <c r="AQ47" s="196">
        <f t="shared" si="122"/>
        <v>6220.0080709665963</v>
      </c>
      <c r="AR47" s="197">
        <f t="shared" si="95"/>
        <v>1855.7729543164303</v>
      </c>
      <c r="AS47" s="197">
        <f t="shared" si="95"/>
        <v>7556.9395568966092</v>
      </c>
      <c r="AT47" s="197">
        <f t="shared" si="95"/>
        <v>-1336.9314859300137</v>
      </c>
      <c r="AU47" s="199">
        <f t="shared" si="95"/>
        <v>518.84146838641641</v>
      </c>
      <c r="AX47" s="204">
        <f t="shared" si="123"/>
        <v>10</v>
      </c>
      <c r="AY47" s="197">
        <f>'Energy NPV'!$D100</f>
        <v>16.3</v>
      </c>
      <c r="AZ47" s="197">
        <f>'Energy margins'!$Z$12</f>
        <v>55</v>
      </c>
      <c r="BA47" s="197">
        <f t="shared" si="124"/>
        <v>896.5</v>
      </c>
      <c r="BB47" s="197">
        <f>'Margins summary'!$W$14</f>
        <v>220</v>
      </c>
      <c r="BC47" s="197">
        <f t="shared" si="96"/>
        <v>1116.5</v>
      </c>
      <c r="BD47" s="197"/>
      <c r="BE47" s="897">
        <f>'Energy NPV'!U100</f>
        <v>368.78200000000004</v>
      </c>
      <c r="BF47" s="197"/>
      <c r="BG47" s="197">
        <f t="shared" si="77"/>
        <v>184.39100000000002</v>
      </c>
      <c r="BH47" s="197">
        <f t="shared" si="78"/>
        <v>712.10899999999992</v>
      </c>
      <c r="BI47" s="197">
        <f t="shared" si="79"/>
        <v>932.10899999999992</v>
      </c>
      <c r="BJ47" s="196">
        <f t="shared" si="97"/>
        <v>629.8690084464215</v>
      </c>
      <c r="BK47" s="197">
        <f t="shared" si="97"/>
        <v>154.5690818273427</v>
      </c>
      <c r="BL47" s="197">
        <f t="shared" si="98"/>
        <v>129.55067076011613</v>
      </c>
      <c r="BM47" s="197">
        <f t="shared" si="98"/>
        <v>500.31833768630537</v>
      </c>
      <c r="BN47" s="199">
        <f t="shared" si="98"/>
        <v>654.88741951364807</v>
      </c>
      <c r="BO47" s="196">
        <f t="shared" si="125"/>
        <v>6220.0080709665963</v>
      </c>
      <c r="BP47" s="197">
        <f t="shared" si="99"/>
        <v>1855.7729543164303</v>
      </c>
      <c r="BQ47" s="197">
        <f t="shared" si="100"/>
        <v>2518.9798522988704</v>
      </c>
      <c r="BR47" s="197">
        <f t="shared" si="101"/>
        <v>3701.0282186677259</v>
      </c>
      <c r="BS47" s="199">
        <f t="shared" si="102"/>
        <v>5556.8011729841555</v>
      </c>
      <c r="BV47" s="204">
        <f t="shared" si="126"/>
        <v>10</v>
      </c>
      <c r="BW47" s="197">
        <f>'Energy NPV'!$D100</f>
        <v>16.3</v>
      </c>
      <c r="BX47" s="197">
        <f>'Energy margins'!$Z$12</f>
        <v>55</v>
      </c>
      <c r="BY47" s="197">
        <f t="shared" si="127"/>
        <v>896.5</v>
      </c>
      <c r="BZ47" s="197">
        <f>'Margins summary'!$W$14</f>
        <v>220</v>
      </c>
      <c r="CA47" s="197">
        <f t="shared" si="103"/>
        <v>1116.5</v>
      </c>
      <c r="CB47" s="197"/>
      <c r="CC47" s="897">
        <f>'Energy NPV'!U100</f>
        <v>368.78200000000004</v>
      </c>
      <c r="CD47" s="197"/>
      <c r="CE47" s="197">
        <f t="shared" si="80"/>
        <v>737.56400000000008</v>
      </c>
      <c r="CF47" s="197">
        <f t="shared" si="81"/>
        <v>158.93599999999992</v>
      </c>
      <c r="CG47" s="197">
        <f t="shared" si="82"/>
        <v>378.93599999999992</v>
      </c>
      <c r="CH47" s="196">
        <f t="shared" si="104"/>
        <v>629.8690084464215</v>
      </c>
      <c r="CI47" s="197">
        <f t="shared" si="104"/>
        <v>154.5690818273427</v>
      </c>
      <c r="CJ47" s="197">
        <f t="shared" si="105"/>
        <v>518.20268304046454</v>
      </c>
      <c r="CK47" s="197">
        <f t="shared" si="105"/>
        <v>111.66632540595695</v>
      </c>
      <c r="CL47" s="199">
        <f t="shared" si="105"/>
        <v>266.23540723329967</v>
      </c>
      <c r="CM47" s="196">
        <f t="shared" si="128"/>
        <v>6220.0080709665963</v>
      </c>
      <c r="CN47" s="197">
        <f t="shared" si="106"/>
        <v>1855.7729543164303</v>
      </c>
      <c r="CO47" s="197">
        <f t="shared" si="107"/>
        <v>10075.919409195481</v>
      </c>
      <c r="CP47" s="197">
        <f t="shared" si="108"/>
        <v>-3855.9113382288847</v>
      </c>
      <c r="CQ47" s="199">
        <f t="shared" si="109"/>
        <v>-2000.1383839124533</v>
      </c>
      <c r="CT47" s="204">
        <f t="shared" si="129"/>
        <v>10</v>
      </c>
      <c r="CU47" s="197">
        <f>'Energy NPV'!$D100</f>
        <v>16.3</v>
      </c>
      <c r="CV47" s="197">
        <f>'Energy margins'!$Z$12</f>
        <v>55</v>
      </c>
      <c r="CW47" s="197">
        <f t="shared" si="83"/>
        <v>896.5</v>
      </c>
      <c r="CX47" s="197">
        <f>'Margins summary'!$W$14</f>
        <v>220</v>
      </c>
      <c r="CY47" s="197">
        <f t="shared" si="84"/>
        <v>1116.5</v>
      </c>
      <c r="CZ47" s="197"/>
      <c r="DA47" s="897">
        <f>'Energy NPV'!U100</f>
        <v>368.78200000000004</v>
      </c>
      <c r="DB47" s="197"/>
      <c r="DC47" s="197">
        <f t="shared" si="85"/>
        <v>0</v>
      </c>
      <c r="DD47" s="197">
        <f t="shared" si="86"/>
        <v>896.5</v>
      </c>
      <c r="DE47" s="197">
        <f t="shared" si="87"/>
        <v>1116.5</v>
      </c>
      <c r="DF47" s="196">
        <f t="shared" si="110"/>
        <v>629.8690084464215</v>
      </c>
      <c r="DG47" s="197">
        <f t="shared" si="110"/>
        <v>154.5690818273427</v>
      </c>
      <c r="DH47" s="197">
        <f t="shared" si="111"/>
        <v>0</v>
      </c>
      <c r="DI47" s="197">
        <f t="shared" si="111"/>
        <v>629.8690084464215</v>
      </c>
      <c r="DJ47" s="199">
        <f t="shared" si="111"/>
        <v>784.43809027376426</v>
      </c>
      <c r="DK47" s="196">
        <f t="shared" si="112"/>
        <v>6220.0080709665963</v>
      </c>
      <c r="DL47" s="197">
        <f t="shared" si="113"/>
        <v>1855.7729543164303</v>
      </c>
      <c r="DM47" s="197">
        <f t="shared" si="114"/>
        <v>0</v>
      </c>
      <c r="DN47" s="197">
        <f t="shared" si="115"/>
        <v>6220.0080709665963</v>
      </c>
      <c r="DO47" s="199">
        <f t="shared" si="116"/>
        <v>8075.7810252830259</v>
      </c>
    </row>
    <row r="48" spans="2:175" x14ac:dyDescent="0.3">
      <c r="B48" s="204">
        <f t="shared" si="117"/>
        <v>11</v>
      </c>
      <c r="C48" s="197">
        <f>'Energy NPV'!$D101</f>
        <v>16.3</v>
      </c>
      <c r="D48" s="197">
        <f>'Energy margins'!$Z$12</f>
        <v>55</v>
      </c>
      <c r="E48" s="197">
        <f t="shared" si="118"/>
        <v>896.5</v>
      </c>
      <c r="F48" s="197">
        <f>'Margins summary'!$W$14</f>
        <v>220</v>
      </c>
      <c r="G48" s="197">
        <f t="shared" si="88"/>
        <v>1116.5</v>
      </c>
      <c r="H48" s="197"/>
      <c r="I48" s="897">
        <f>'Energy NPV'!U101</f>
        <v>368.78200000000004</v>
      </c>
      <c r="J48" s="197"/>
      <c r="K48" s="197">
        <f t="shared" si="71"/>
        <v>368.78200000000004</v>
      </c>
      <c r="L48" s="197">
        <f t="shared" si="72"/>
        <v>527.71799999999996</v>
      </c>
      <c r="M48" s="197">
        <f t="shared" si="73"/>
        <v>747.71799999999996</v>
      </c>
      <c r="N48" s="196">
        <f t="shared" si="89"/>
        <v>605.64327735232837</v>
      </c>
      <c r="O48" s="197">
        <f t="shared" si="89"/>
        <v>148.62411714167567</v>
      </c>
      <c r="P48" s="197">
        <f t="shared" si="90"/>
        <v>249.13590530791566</v>
      </c>
      <c r="Q48" s="197">
        <f t="shared" si="90"/>
        <v>356.50737204441276</v>
      </c>
      <c r="R48" s="199">
        <f t="shared" si="90"/>
        <v>505.1314891860884</v>
      </c>
      <c r="S48" s="196">
        <f t="shared" si="119"/>
        <v>6825.6513483189246</v>
      </c>
      <c r="T48" s="197">
        <f t="shared" si="91"/>
        <v>2004.397071458106</v>
      </c>
      <c r="U48" s="197">
        <f t="shared" si="91"/>
        <v>5287.0956099056566</v>
      </c>
      <c r="V48" s="197">
        <f t="shared" si="91"/>
        <v>1538.5557384132687</v>
      </c>
      <c r="W48" s="199">
        <f t="shared" si="91"/>
        <v>3542.9528098713749</v>
      </c>
      <c r="Z48" s="204">
        <f t="shared" si="120"/>
        <v>11</v>
      </c>
      <c r="AA48" s="197">
        <f>'Energy NPV'!$D101</f>
        <v>16.3</v>
      </c>
      <c r="AB48" s="197">
        <f>'Energy margins'!$Z$12</f>
        <v>55</v>
      </c>
      <c r="AC48" s="197">
        <f t="shared" si="121"/>
        <v>896.5</v>
      </c>
      <c r="AD48" s="197">
        <f>'Margins summary'!$W$14</f>
        <v>220</v>
      </c>
      <c r="AE48" s="197">
        <f t="shared" si="92"/>
        <v>1116.5</v>
      </c>
      <c r="AF48" s="197"/>
      <c r="AG48" s="897">
        <f>'Energy NPV'!U101</f>
        <v>368.78200000000004</v>
      </c>
      <c r="AH48" s="197"/>
      <c r="AI48" s="197">
        <f t="shared" si="74"/>
        <v>553.173</v>
      </c>
      <c r="AJ48" s="197">
        <f t="shared" si="75"/>
        <v>343.327</v>
      </c>
      <c r="AK48" s="197">
        <f t="shared" si="76"/>
        <v>563.327</v>
      </c>
      <c r="AL48" s="196">
        <f t="shared" si="93"/>
        <v>605.64327735232837</v>
      </c>
      <c r="AM48" s="197">
        <f t="shared" si="93"/>
        <v>148.62411714167567</v>
      </c>
      <c r="AN48" s="197">
        <f t="shared" si="94"/>
        <v>373.70385796187344</v>
      </c>
      <c r="AO48" s="197">
        <f t="shared" si="94"/>
        <v>231.93941939045493</v>
      </c>
      <c r="AP48" s="199">
        <f t="shared" si="94"/>
        <v>380.56353653213063</v>
      </c>
      <c r="AQ48" s="196">
        <f t="shared" si="122"/>
        <v>6825.6513483189246</v>
      </c>
      <c r="AR48" s="197">
        <f t="shared" si="95"/>
        <v>2004.397071458106</v>
      </c>
      <c r="AS48" s="197">
        <f t="shared" si="95"/>
        <v>7930.6434148584831</v>
      </c>
      <c r="AT48" s="197">
        <f t="shared" si="95"/>
        <v>-1104.9920665395587</v>
      </c>
      <c r="AU48" s="199">
        <f t="shared" si="95"/>
        <v>899.40500491854709</v>
      </c>
      <c r="AX48" s="204">
        <f t="shared" si="123"/>
        <v>11</v>
      </c>
      <c r="AY48" s="197">
        <f>'Energy NPV'!$D101</f>
        <v>16.3</v>
      </c>
      <c r="AZ48" s="197">
        <f>'Energy margins'!$Z$12</f>
        <v>55</v>
      </c>
      <c r="BA48" s="197">
        <f t="shared" si="124"/>
        <v>896.5</v>
      </c>
      <c r="BB48" s="197">
        <f>'Margins summary'!$W$14</f>
        <v>220</v>
      </c>
      <c r="BC48" s="197">
        <f t="shared" si="96"/>
        <v>1116.5</v>
      </c>
      <c r="BD48" s="197"/>
      <c r="BE48" s="897">
        <f>'Energy NPV'!U101</f>
        <v>368.78200000000004</v>
      </c>
      <c r="BF48" s="197"/>
      <c r="BG48" s="197">
        <f t="shared" si="77"/>
        <v>184.39100000000002</v>
      </c>
      <c r="BH48" s="197">
        <f t="shared" si="78"/>
        <v>712.10899999999992</v>
      </c>
      <c r="BI48" s="197">
        <f t="shared" si="79"/>
        <v>932.10899999999992</v>
      </c>
      <c r="BJ48" s="196">
        <f t="shared" si="97"/>
        <v>605.64327735232837</v>
      </c>
      <c r="BK48" s="197">
        <f t="shared" si="97"/>
        <v>148.62411714167567</v>
      </c>
      <c r="BL48" s="197">
        <f t="shared" si="98"/>
        <v>124.56795265395783</v>
      </c>
      <c r="BM48" s="197">
        <f t="shared" si="98"/>
        <v>481.07532469837054</v>
      </c>
      <c r="BN48" s="199">
        <f t="shared" si="98"/>
        <v>629.69944184004623</v>
      </c>
      <c r="BO48" s="196">
        <f t="shared" si="125"/>
        <v>6825.6513483189246</v>
      </c>
      <c r="BP48" s="197">
        <f t="shared" si="99"/>
        <v>2004.397071458106</v>
      </c>
      <c r="BQ48" s="197">
        <f t="shared" si="100"/>
        <v>2643.5478049528283</v>
      </c>
      <c r="BR48" s="197">
        <f t="shared" si="101"/>
        <v>4182.1035433660963</v>
      </c>
      <c r="BS48" s="199">
        <f t="shared" si="102"/>
        <v>6186.5006148242019</v>
      </c>
      <c r="BV48" s="204">
        <f t="shared" si="126"/>
        <v>11</v>
      </c>
      <c r="BW48" s="197">
        <f>'Energy NPV'!$D101</f>
        <v>16.3</v>
      </c>
      <c r="BX48" s="197">
        <f>'Energy margins'!$Z$12</f>
        <v>55</v>
      </c>
      <c r="BY48" s="197">
        <f t="shared" si="127"/>
        <v>896.5</v>
      </c>
      <c r="BZ48" s="197">
        <f>'Margins summary'!$W$14</f>
        <v>220</v>
      </c>
      <c r="CA48" s="197">
        <f t="shared" si="103"/>
        <v>1116.5</v>
      </c>
      <c r="CB48" s="197"/>
      <c r="CC48" s="897">
        <f>'Energy NPV'!U101</f>
        <v>368.78200000000004</v>
      </c>
      <c r="CD48" s="197"/>
      <c r="CE48" s="197">
        <f t="shared" si="80"/>
        <v>737.56400000000008</v>
      </c>
      <c r="CF48" s="197">
        <f t="shared" si="81"/>
        <v>158.93599999999992</v>
      </c>
      <c r="CG48" s="197">
        <f t="shared" si="82"/>
        <v>378.93599999999992</v>
      </c>
      <c r="CH48" s="196">
        <f t="shared" si="104"/>
        <v>605.64327735232837</v>
      </c>
      <c r="CI48" s="197">
        <f t="shared" si="104"/>
        <v>148.62411714167567</v>
      </c>
      <c r="CJ48" s="197">
        <f t="shared" si="105"/>
        <v>498.27181061583133</v>
      </c>
      <c r="CK48" s="197">
        <f t="shared" si="105"/>
        <v>107.37146673649707</v>
      </c>
      <c r="CL48" s="199">
        <f t="shared" si="105"/>
        <v>255.99558387817274</v>
      </c>
      <c r="CM48" s="196">
        <f t="shared" si="128"/>
        <v>6825.6513483189246</v>
      </c>
      <c r="CN48" s="197">
        <f t="shared" si="106"/>
        <v>2004.397071458106</v>
      </c>
      <c r="CO48" s="197">
        <f t="shared" si="107"/>
        <v>10574.191219811313</v>
      </c>
      <c r="CP48" s="197">
        <f t="shared" si="108"/>
        <v>-3748.5398714923876</v>
      </c>
      <c r="CQ48" s="199">
        <f t="shared" si="109"/>
        <v>-1744.1428000342805</v>
      </c>
      <c r="CT48" s="204">
        <f t="shared" si="129"/>
        <v>11</v>
      </c>
      <c r="CU48" s="197">
        <f>'Energy NPV'!$D101</f>
        <v>16.3</v>
      </c>
      <c r="CV48" s="197">
        <f>'Energy margins'!$Z$12</f>
        <v>55</v>
      </c>
      <c r="CW48" s="197">
        <f t="shared" si="83"/>
        <v>896.5</v>
      </c>
      <c r="CX48" s="197">
        <f>'Margins summary'!$W$14</f>
        <v>220</v>
      </c>
      <c r="CY48" s="197">
        <f t="shared" si="84"/>
        <v>1116.5</v>
      </c>
      <c r="CZ48" s="197"/>
      <c r="DA48" s="897">
        <f>'Energy NPV'!U101</f>
        <v>368.78200000000004</v>
      </c>
      <c r="DB48" s="197"/>
      <c r="DC48" s="197">
        <f t="shared" si="85"/>
        <v>0</v>
      </c>
      <c r="DD48" s="197">
        <f t="shared" si="86"/>
        <v>896.5</v>
      </c>
      <c r="DE48" s="197">
        <f t="shared" si="87"/>
        <v>1116.5</v>
      </c>
      <c r="DF48" s="196">
        <f t="shared" si="110"/>
        <v>605.64327735232837</v>
      </c>
      <c r="DG48" s="197">
        <f t="shared" si="110"/>
        <v>148.62411714167567</v>
      </c>
      <c r="DH48" s="197">
        <f t="shared" si="111"/>
        <v>0</v>
      </c>
      <c r="DI48" s="197">
        <f t="shared" si="111"/>
        <v>605.64327735232837</v>
      </c>
      <c r="DJ48" s="199">
        <f t="shared" si="111"/>
        <v>754.26739449400407</v>
      </c>
      <c r="DK48" s="196">
        <f t="shared" si="112"/>
        <v>6825.6513483189246</v>
      </c>
      <c r="DL48" s="197">
        <f t="shared" si="113"/>
        <v>2004.397071458106</v>
      </c>
      <c r="DM48" s="197">
        <f t="shared" si="114"/>
        <v>0</v>
      </c>
      <c r="DN48" s="197">
        <f t="shared" si="115"/>
        <v>6825.6513483189246</v>
      </c>
      <c r="DO48" s="199">
        <f t="shared" si="116"/>
        <v>8830.0484197770293</v>
      </c>
    </row>
    <row r="49" spans="2:176" x14ac:dyDescent="0.3">
      <c r="B49" s="204">
        <f t="shared" si="117"/>
        <v>12</v>
      </c>
      <c r="C49" s="197">
        <f>'Energy NPV'!$D102</f>
        <v>16.3</v>
      </c>
      <c r="D49" s="197">
        <f>'Energy margins'!$Z$12</f>
        <v>55</v>
      </c>
      <c r="E49" s="197">
        <f t="shared" si="118"/>
        <v>896.5</v>
      </c>
      <c r="F49" s="197">
        <f>'Margins summary'!$W$14</f>
        <v>220</v>
      </c>
      <c r="G49" s="197">
        <f t="shared" si="88"/>
        <v>1116.5</v>
      </c>
      <c r="H49" s="197"/>
      <c r="I49" s="897">
        <f>'Energy NPV'!U102</f>
        <v>368.78200000000004</v>
      </c>
      <c r="J49" s="197"/>
      <c r="K49" s="197">
        <f t="shared" si="71"/>
        <v>368.78200000000004</v>
      </c>
      <c r="L49" s="197">
        <f t="shared" si="72"/>
        <v>527.71799999999996</v>
      </c>
      <c r="M49" s="197">
        <f t="shared" si="73"/>
        <v>747.71799999999996</v>
      </c>
      <c r="N49" s="196">
        <f t="shared" si="89"/>
        <v>582.34930514646965</v>
      </c>
      <c r="O49" s="197">
        <f t="shared" si="89"/>
        <v>142.90780494391893</v>
      </c>
      <c r="P49" s="197">
        <f t="shared" si="90"/>
        <v>239.55375510376507</v>
      </c>
      <c r="Q49" s="197">
        <f t="shared" si="90"/>
        <v>342.79555004270458</v>
      </c>
      <c r="R49" s="199">
        <f t="shared" si="90"/>
        <v>485.70335498662354</v>
      </c>
      <c r="S49" s="196">
        <f t="shared" si="119"/>
        <v>7408.000653465394</v>
      </c>
      <c r="T49" s="197">
        <f t="shared" si="91"/>
        <v>2147.304876402025</v>
      </c>
      <c r="U49" s="197">
        <f t="shared" si="91"/>
        <v>5526.6493650094217</v>
      </c>
      <c r="V49" s="197">
        <f t="shared" si="91"/>
        <v>1881.3512884559732</v>
      </c>
      <c r="W49" s="199">
        <f t="shared" si="91"/>
        <v>4028.6561648579986</v>
      </c>
      <c r="Z49" s="204">
        <f t="shared" si="120"/>
        <v>12</v>
      </c>
      <c r="AA49" s="197">
        <f>'Energy NPV'!$D102</f>
        <v>16.3</v>
      </c>
      <c r="AB49" s="197">
        <f>'Energy margins'!$Z$12</f>
        <v>55</v>
      </c>
      <c r="AC49" s="197">
        <f t="shared" si="121"/>
        <v>896.5</v>
      </c>
      <c r="AD49" s="197">
        <f>'Margins summary'!$W$14</f>
        <v>220</v>
      </c>
      <c r="AE49" s="197">
        <f t="shared" si="92"/>
        <v>1116.5</v>
      </c>
      <c r="AF49" s="197"/>
      <c r="AG49" s="897">
        <f>'Energy NPV'!U102</f>
        <v>368.78200000000004</v>
      </c>
      <c r="AH49" s="197"/>
      <c r="AI49" s="197">
        <f t="shared" si="74"/>
        <v>553.173</v>
      </c>
      <c r="AJ49" s="197">
        <f t="shared" si="75"/>
        <v>343.327</v>
      </c>
      <c r="AK49" s="197">
        <f t="shared" si="76"/>
        <v>563.327</v>
      </c>
      <c r="AL49" s="196">
        <f t="shared" si="93"/>
        <v>582.34930514646965</v>
      </c>
      <c r="AM49" s="197">
        <f t="shared" si="93"/>
        <v>142.90780494391893</v>
      </c>
      <c r="AN49" s="197">
        <f t="shared" si="94"/>
        <v>359.33063265564761</v>
      </c>
      <c r="AO49" s="197">
        <f t="shared" si="94"/>
        <v>223.01867249082207</v>
      </c>
      <c r="AP49" s="199">
        <f t="shared" si="94"/>
        <v>365.926477434741</v>
      </c>
      <c r="AQ49" s="196">
        <f t="shared" si="122"/>
        <v>7408.000653465394</v>
      </c>
      <c r="AR49" s="197">
        <f t="shared" si="95"/>
        <v>2147.304876402025</v>
      </c>
      <c r="AS49" s="197">
        <f t="shared" si="95"/>
        <v>8289.9740475141298</v>
      </c>
      <c r="AT49" s="197">
        <f t="shared" si="95"/>
        <v>-881.97339404873662</v>
      </c>
      <c r="AU49" s="199">
        <f t="shared" si="95"/>
        <v>1265.331482353288</v>
      </c>
      <c r="AX49" s="204">
        <f t="shared" si="123"/>
        <v>12</v>
      </c>
      <c r="AY49" s="197">
        <f>'Energy NPV'!$D102</f>
        <v>16.3</v>
      </c>
      <c r="AZ49" s="197">
        <f>'Energy margins'!$Z$12</f>
        <v>55</v>
      </c>
      <c r="BA49" s="197">
        <f t="shared" si="124"/>
        <v>896.5</v>
      </c>
      <c r="BB49" s="197">
        <f>'Margins summary'!$W$14</f>
        <v>220</v>
      </c>
      <c r="BC49" s="197">
        <f t="shared" si="96"/>
        <v>1116.5</v>
      </c>
      <c r="BD49" s="197"/>
      <c r="BE49" s="897">
        <f>'Energy NPV'!U102</f>
        <v>368.78200000000004</v>
      </c>
      <c r="BF49" s="197"/>
      <c r="BG49" s="197">
        <f t="shared" si="77"/>
        <v>184.39100000000002</v>
      </c>
      <c r="BH49" s="197">
        <f t="shared" si="78"/>
        <v>712.10899999999992</v>
      </c>
      <c r="BI49" s="197">
        <f t="shared" si="79"/>
        <v>932.10899999999992</v>
      </c>
      <c r="BJ49" s="196">
        <f t="shared" si="97"/>
        <v>582.34930514646965</v>
      </c>
      <c r="BK49" s="197">
        <f t="shared" si="97"/>
        <v>142.90780494391893</v>
      </c>
      <c r="BL49" s="197">
        <f t="shared" si="98"/>
        <v>119.77687755188254</v>
      </c>
      <c r="BM49" s="197">
        <f t="shared" si="98"/>
        <v>462.57242759458711</v>
      </c>
      <c r="BN49" s="199">
        <f t="shared" si="98"/>
        <v>605.48023253850602</v>
      </c>
      <c r="BO49" s="196">
        <f t="shared" si="125"/>
        <v>7408.000653465394</v>
      </c>
      <c r="BP49" s="197">
        <f t="shared" si="99"/>
        <v>2147.304876402025</v>
      </c>
      <c r="BQ49" s="197">
        <f t="shared" si="100"/>
        <v>2763.3246825047108</v>
      </c>
      <c r="BR49" s="197">
        <f t="shared" si="101"/>
        <v>4644.6759709606831</v>
      </c>
      <c r="BS49" s="199">
        <f t="shared" si="102"/>
        <v>6791.9808473627081</v>
      </c>
      <c r="BV49" s="204">
        <f t="shared" si="126"/>
        <v>12</v>
      </c>
      <c r="BW49" s="197">
        <f>'Energy NPV'!$D102</f>
        <v>16.3</v>
      </c>
      <c r="BX49" s="197">
        <f>'Energy margins'!$Z$12</f>
        <v>55</v>
      </c>
      <c r="BY49" s="197">
        <f t="shared" si="127"/>
        <v>896.5</v>
      </c>
      <c r="BZ49" s="197">
        <f>'Margins summary'!$W$14</f>
        <v>220</v>
      </c>
      <c r="CA49" s="197">
        <f t="shared" si="103"/>
        <v>1116.5</v>
      </c>
      <c r="CB49" s="197"/>
      <c r="CC49" s="897">
        <f>'Energy NPV'!U102</f>
        <v>368.78200000000004</v>
      </c>
      <c r="CD49" s="197"/>
      <c r="CE49" s="197">
        <f t="shared" si="80"/>
        <v>737.56400000000008</v>
      </c>
      <c r="CF49" s="197">
        <f t="shared" si="81"/>
        <v>158.93599999999992</v>
      </c>
      <c r="CG49" s="197">
        <f t="shared" si="82"/>
        <v>378.93599999999992</v>
      </c>
      <c r="CH49" s="196">
        <f t="shared" si="104"/>
        <v>582.34930514646965</v>
      </c>
      <c r="CI49" s="197">
        <f t="shared" si="104"/>
        <v>142.90780494391893</v>
      </c>
      <c r="CJ49" s="197">
        <f t="shared" si="105"/>
        <v>479.10751020753014</v>
      </c>
      <c r="CK49" s="197">
        <f t="shared" si="105"/>
        <v>103.24179493893949</v>
      </c>
      <c r="CL49" s="199">
        <f t="shared" si="105"/>
        <v>246.14959988285844</v>
      </c>
      <c r="CM49" s="196">
        <f t="shared" si="128"/>
        <v>7408.000653465394</v>
      </c>
      <c r="CN49" s="197">
        <f t="shared" si="106"/>
        <v>2147.304876402025</v>
      </c>
      <c r="CO49" s="197">
        <f t="shared" si="107"/>
        <v>11053.298730018843</v>
      </c>
      <c r="CP49" s="197">
        <f t="shared" si="108"/>
        <v>-3645.298076553448</v>
      </c>
      <c r="CQ49" s="199">
        <f t="shared" si="109"/>
        <v>-1497.9932001514221</v>
      </c>
      <c r="CT49" s="204">
        <f t="shared" si="129"/>
        <v>12</v>
      </c>
      <c r="CU49" s="197">
        <f>'Energy NPV'!$D102</f>
        <v>16.3</v>
      </c>
      <c r="CV49" s="197">
        <f>'Energy margins'!$Z$12</f>
        <v>55</v>
      </c>
      <c r="CW49" s="197">
        <f t="shared" si="83"/>
        <v>896.5</v>
      </c>
      <c r="CX49" s="197">
        <f>'Margins summary'!$W$14</f>
        <v>220</v>
      </c>
      <c r="CY49" s="197">
        <f t="shared" si="84"/>
        <v>1116.5</v>
      </c>
      <c r="CZ49" s="197"/>
      <c r="DA49" s="897">
        <f>'Energy NPV'!U102</f>
        <v>368.78200000000004</v>
      </c>
      <c r="DB49" s="197"/>
      <c r="DC49" s="197">
        <f t="shared" si="85"/>
        <v>0</v>
      </c>
      <c r="DD49" s="197">
        <f t="shared" si="86"/>
        <v>896.5</v>
      </c>
      <c r="DE49" s="197">
        <f t="shared" si="87"/>
        <v>1116.5</v>
      </c>
      <c r="DF49" s="196">
        <f t="shared" si="110"/>
        <v>582.34930514646965</v>
      </c>
      <c r="DG49" s="197">
        <f t="shared" si="110"/>
        <v>142.90780494391893</v>
      </c>
      <c r="DH49" s="197">
        <f t="shared" si="111"/>
        <v>0</v>
      </c>
      <c r="DI49" s="197">
        <f t="shared" si="111"/>
        <v>582.34930514646965</v>
      </c>
      <c r="DJ49" s="199">
        <f t="shared" si="111"/>
        <v>725.25711009038855</v>
      </c>
      <c r="DK49" s="196">
        <f t="shared" si="112"/>
        <v>7408.000653465394</v>
      </c>
      <c r="DL49" s="197">
        <f t="shared" si="113"/>
        <v>2147.304876402025</v>
      </c>
      <c r="DM49" s="197">
        <f t="shared" si="114"/>
        <v>0</v>
      </c>
      <c r="DN49" s="197">
        <f t="shared" si="115"/>
        <v>7408.000653465394</v>
      </c>
      <c r="DO49" s="199">
        <f t="shared" si="116"/>
        <v>9555.3055298674171</v>
      </c>
    </row>
    <row r="50" spans="2:176" x14ac:dyDescent="0.3">
      <c r="B50" s="204">
        <f t="shared" si="117"/>
        <v>13</v>
      </c>
      <c r="C50" s="197">
        <f>'Energy NPV'!$D103</f>
        <v>16.3</v>
      </c>
      <c r="D50" s="197">
        <f>'Energy margins'!$Z$12</f>
        <v>55</v>
      </c>
      <c r="E50" s="197">
        <f t="shared" si="118"/>
        <v>896.5</v>
      </c>
      <c r="F50" s="197">
        <f>'Margins summary'!$W$14</f>
        <v>220</v>
      </c>
      <c r="G50" s="197">
        <f t="shared" si="88"/>
        <v>1116.5</v>
      </c>
      <c r="H50" s="197"/>
      <c r="I50" s="897">
        <f>'Energy NPV'!U103</f>
        <v>368.78200000000004</v>
      </c>
      <c r="J50" s="197"/>
      <c r="K50" s="197">
        <f t="shared" si="71"/>
        <v>368.78200000000004</v>
      </c>
      <c r="L50" s="197">
        <f t="shared" si="72"/>
        <v>527.71799999999996</v>
      </c>
      <c r="M50" s="197">
        <f t="shared" si="73"/>
        <v>747.71799999999996</v>
      </c>
      <c r="N50" s="196">
        <f t="shared" si="89"/>
        <v>559.95125494852834</v>
      </c>
      <c r="O50" s="197">
        <f t="shared" si="89"/>
        <v>137.41135090761432</v>
      </c>
      <c r="P50" s="197">
        <f t="shared" si="90"/>
        <v>230.3401491382356</v>
      </c>
      <c r="Q50" s="197">
        <f t="shared" si="90"/>
        <v>329.61110581029277</v>
      </c>
      <c r="R50" s="199">
        <f t="shared" si="90"/>
        <v>467.02245671790712</v>
      </c>
      <c r="S50" s="196">
        <f t="shared" si="119"/>
        <v>7967.951908413922</v>
      </c>
      <c r="T50" s="197">
        <f t="shared" si="91"/>
        <v>2284.7162273096392</v>
      </c>
      <c r="U50" s="197">
        <f t="shared" si="91"/>
        <v>5756.9895141476572</v>
      </c>
      <c r="V50" s="197">
        <f t="shared" si="91"/>
        <v>2210.9623942662661</v>
      </c>
      <c r="W50" s="199">
        <f t="shared" si="91"/>
        <v>4495.6786215759057</v>
      </c>
      <c r="Z50" s="204">
        <f t="shared" si="120"/>
        <v>13</v>
      </c>
      <c r="AA50" s="197">
        <f>'Energy NPV'!$D103</f>
        <v>16.3</v>
      </c>
      <c r="AB50" s="197">
        <f>'Energy margins'!$Z$12</f>
        <v>55</v>
      </c>
      <c r="AC50" s="197">
        <f t="shared" si="121"/>
        <v>896.5</v>
      </c>
      <c r="AD50" s="197">
        <f>'Margins summary'!$W$14</f>
        <v>220</v>
      </c>
      <c r="AE50" s="197">
        <f t="shared" si="92"/>
        <v>1116.5</v>
      </c>
      <c r="AF50" s="197"/>
      <c r="AG50" s="897">
        <f>'Energy NPV'!U103</f>
        <v>368.78200000000004</v>
      </c>
      <c r="AH50" s="197"/>
      <c r="AI50" s="197">
        <f t="shared" si="74"/>
        <v>553.173</v>
      </c>
      <c r="AJ50" s="197">
        <f t="shared" si="75"/>
        <v>343.327</v>
      </c>
      <c r="AK50" s="197">
        <f t="shared" si="76"/>
        <v>563.327</v>
      </c>
      <c r="AL50" s="196">
        <f t="shared" si="93"/>
        <v>559.95125494852834</v>
      </c>
      <c r="AM50" s="197">
        <f t="shared" si="93"/>
        <v>137.41135090761432</v>
      </c>
      <c r="AN50" s="197">
        <f t="shared" si="94"/>
        <v>345.51022370735336</v>
      </c>
      <c r="AO50" s="197">
        <f t="shared" si="94"/>
        <v>214.44103124117501</v>
      </c>
      <c r="AP50" s="199">
        <f t="shared" si="94"/>
        <v>351.85238214878933</v>
      </c>
      <c r="AQ50" s="196">
        <f t="shared" si="122"/>
        <v>7967.951908413922</v>
      </c>
      <c r="AR50" s="197">
        <f t="shared" si="95"/>
        <v>2284.7162273096392</v>
      </c>
      <c r="AS50" s="197">
        <f t="shared" si="95"/>
        <v>8635.4842712214831</v>
      </c>
      <c r="AT50" s="197">
        <f t="shared" si="95"/>
        <v>-667.53236280756164</v>
      </c>
      <c r="AU50" s="199">
        <f t="shared" si="95"/>
        <v>1617.1838645020773</v>
      </c>
      <c r="AX50" s="204">
        <f t="shared" si="123"/>
        <v>13</v>
      </c>
      <c r="AY50" s="197">
        <f>'Energy NPV'!$D103</f>
        <v>16.3</v>
      </c>
      <c r="AZ50" s="197">
        <f>'Energy margins'!$Z$12</f>
        <v>55</v>
      </c>
      <c r="BA50" s="197">
        <f t="shared" si="124"/>
        <v>896.5</v>
      </c>
      <c r="BB50" s="197">
        <f>'Margins summary'!$W$14</f>
        <v>220</v>
      </c>
      <c r="BC50" s="197">
        <f t="shared" si="96"/>
        <v>1116.5</v>
      </c>
      <c r="BD50" s="197"/>
      <c r="BE50" s="897">
        <f>'Energy NPV'!U103</f>
        <v>368.78200000000004</v>
      </c>
      <c r="BF50" s="197"/>
      <c r="BG50" s="197">
        <f t="shared" si="77"/>
        <v>184.39100000000002</v>
      </c>
      <c r="BH50" s="197">
        <f t="shared" si="78"/>
        <v>712.10899999999992</v>
      </c>
      <c r="BI50" s="197">
        <f t="shared" si="79"/>
        <v>932.10899999999992</v>
      </c>
      <c r="BJ50" s="196">
        <f t="shared" si="97"/>
        <v>559.95125494852834</v>
      </c>
      <c r="BK50" s="197">
        <f t="shared" si="97"/>
        <v>137.41135090761432</v>
      </c>
      <c r="BL50" s="197">
        <f t="shared" si="98"/>
        <v>115.1700745691178</v>
      </c>
      <c r="BM50" s="197">
        <f t="shared" si="98"/>
        <v>444.78118037941056</v>
      </c>
      <c r="BN50" s="199">
        <f t="shared" si="98"/>
        <v>582.19253128702485</v>
      </c>
      <c r="BO50" s="196">
        <f t="shared" si="125"/>
        <v>7967.951908413922</v>
      </c>
      <c r="BP50" s="197">
        <f t="shared" si="99"/>
        <v>2284.7162273096392</v>
      </c>
      <c r="BQ50" s="197">
        <f t="shared" si="100"/>
        <v>2878.4947570738286</v>
      </c>
      <c r="BR50" s="197">
        <f t="shared" si="101"/>
        <v>5089.4571513400933</v>
      </c>
      <c r="BS50" s="199">
        <f t="shared" si="102"/>
        <v>7374.1733786497334</v>
      </c>
      <c r="BV50" s="204">
        <f t="shared" si="126"/>
        <v>13</v>
      </c>
      <c r="BW50" s="197">
        <f>'Energy NPV'!$D103</f>
        <v>16.3</v>
      </c>
      <c r="BX50" s="197">
        <f>'Energy margins'!$Z$12</f>
        <v>55</v>
      </c>
      <c r="BY50" s="197">
        <f t="shared" si="127"/>
        <v>896.5</v>
      </c>
      <c r="BZ50" s="197">
        <f>'Margins summary'!$W$14</f>
        <v>220</v>
      </c>
      <c r="CA50" s="197">
        <f t="shared" si="103"/>
        <v>1116.5</v>
      </c>
      <c r="CB50" s="197"/>
      <c r="CC50" s="897">
        <f>'Energy NPV'!U103</f>
        <v>368.78200000000004</v>
      </c>
      <c r="CD50" s="197"/>
      <c r="CE50" s="197">
        <f t="shared" si="80"/>
        <v>737.56400000000008</v>
      </c>
      <c r="CF50" s="197">
        <f t="shared" si="81"/>
        <v>158.93599999999992</v>
      </c>
      <c r="CG50" s="197">
        <f t="shared" si="82"/>
        <v>378.93599999999992</v>
      </c>
      <c r="CH50" s="196">
        <f t="shared" si="104"/>
        <v>559.95125494852834</v>
      </c>
      <c r="CI50" s="197">
        <f t="shared" si="104"/>
        <v>137.41135090761432</v>
      </c>
      <c r="CJ50" s="197">
        <f t="shared" si="105"/>
        <v>460.68029827647121</v>
      </c>
      <c r="CK50" s="197">
        <f t="shared" si="105"/>
        <v>99.270956672057181</v>
      </c>
      <c r="CL50" s="199">
        <f t="shared" si="105"/>
        <v>236.68230757967152</v>
      </c>
      <c r="CM50" s="196">
        <f t="shared" si="128"/>
        <v>7967.951908413922</v>
      </c>
      <c r="CN50" s="197">
        <f t="shared" si="106"/>
        <v>2284.7162273096392</v>
      </c>
      <c r="CO50" s="197">
        <f t="shared" si="107"/>
        <v>11513.979028295314</v>
      </c>
      <c r="CP50" s="197">
        <f t="shared" si="108"/>
        <v>-3546.0271198813907</v>
      </c>
      <c r="CQ50" s="199">
        <f t="shared" si="109"/>
        <v>-1261.3108925717506</v>
      </c>
      <c r="CT50" s="204">
        <f t="shared" si="129"/>
        <v>13</v>
      </c>
      <c r="CU50" s="197">
        <f>'Energy NPV'!$D103</f>
        <v>16.3</v>
      </c>
      <c r="CV50" s="197">
        <f>'Energy margins'!$Z$12</f>
        <v>55</v>
      </c>
      <c r="CW50" s="197">
        <f t="shared" si="83"/>
        <v>896.5</v>
      </c>
      <c r="CX50" s="197">
        <f>'Margins summary'!$W$14</f>
        <v>220</v>
      </c>
      <c r="CY50" s="197">
        <f t="shared" si="84"/>
        <v>1116.5</v>
      </c>
      <c r="CZ50" s="197"/>
      <c r="DA50" s="897">
        <f>'Energy NPV'!U103</f>
        <v>368.78200000000004</v>
      </c>
      <c r="DB50" s="197"/>
      <c r="DC50" s="197">
        <f t="shared" si="85"/>
        <v>0</v>
      </c>
      <c r="DD50" s="197">
        <f t="shared" si="86"/>
        <v>896.5</v>
      </c>
      <c r="DE50" s="197">
        <f t="shared" si="87"/>
        <v>1116.5</v>
      </c>
      <c r="DF50" s="196">
        <f t="shared" si="110"/>
        <v>559.95125494852834</v>
      </c>
      <c r="DG50" s="197">
        <f t="shared" si="110"/>
        <v>137.41135090761432</v>
      </c>
      <c r="DH50" s="197">
        <f t="shared" si="111"/>
        <v>0</v>
      </c>
      <c r="DI50" s="197">
        <f t="shared" si="111"/>
        <v>559.95125494852834</v>
      </c>
      <c r="DJ50" s="199">
        <f t="shared" si="111"/>
        <v>697.36260585614275</v>
      </c>
      <c r="DK50" s="196">
        <f t="shared" si="112"/>
        <v>7967.951908413922</v>
      </c>
      <c r="DL50" s="197">
        <f t="shared" si="113"/>
        <v>2284.7162273096392</v>
      </c>
      <c r="DM50" s="197">
        <f t="shared" si="114"/>
        <v>0</v>
      </c>
      <c r="DN50" s="197">
        <f t="shared" si="115"/>
        <v>7967.951908413922</v>
      </c>
      <c r="DO50" s="199">
        <f t="shared" si="116"/>
        <v>10252.668135723559</v>
      </c>
    </row>
    <row r="51" spans="2:176" x14ac:dyDescent="0.3">
      <c r="B51" s="204">
        <f t="shared" si="117"/>
        <v>14</v>
      </c>
      <c r="C51" s="197">
        <f>'Energy NPV'!$D104</f>
        <v>16.3</v>
      </c>
      <c r="D51" s="197">
        <f>'Energy margins'!$Z$12</f>
        <v>55</v>
      </c>
      <c r="E51" s="197">
        <f t="shared" si="118"/>
        <v>896.5</v>
      </c>
      <c r="F51" s="197">
        <f>'Margins summary'!$W$14</f>
        <v>220</v>
      </c>
      <c r="G51" s="197">
        <f t="shared" si="88"/>
        <v>1116.5</v>
      </c>
      <c r="H51" s="197"/>
      <c r="I51" s="897">
        <f>'Energy NPV'!U104</f>
        <v>368.78200000000004</v>
      </c>
      <c r="J51" s="197"/>
      <c r="K51" s="197">
        <f t="shared" si="71"/>
        <v>368.78200000000004</v>
      </c>
      <c r="L51" s="197">
        <f t="shared" si="72"/>
        <v>527.71799999999996</v>
      </c>
      <c r="M51" s="197">
        <f t="shared" si="73"/>
        <v>747.71799999999996</v>
      </c>
      <c r="N51" s="196">
        <f t="shared" si="89"/>
        <v>538.41466821973881</v>
      </c>
      <c r="O51" s="197">
        <f t="shared" si="89"/>
        <v>132.12629894962916</v>
      </c>
      <c r="P51" s="197">
        <f t="shared" si="90"/>
        <v>221.48091263291886</v>
      </c>
      <c r="Q51" s="197">
        <f t="shared" si="90"/>
        <v>316.93375558681998</v>
      </c>
      <c r="R51" s="199">
        <f t="shared" si="90"/>
        <v>449.06005453644912</v>
      </c>
      <c r="S51" s="196">
        <f t="shared" si="119"/>
        <v>8506.3665766336599</v>
      </c>
      <c r="T51" s="197">
        <f t="shared" si="91"/>
        <v>2416.8425262592682</v>
      </c>
      <c r="U51" s="197">
        <f t="shared" si="91"/>
        <v>5978.4704267805764</v>
      </c>
      <c r="V51" s="197">
        <f t="shared" si="91"/>
        <v>2527.8961498530862</v>
      </c>
      <c r="W51" s="199">
        <f t="shared" si="91"/>
        <v>4944.7386761123544</v>
      </c>
      <c r="Z51" s="204">
        <f t="shared" si="120"/>
        <v>14</v>
      </c>
      <c r="AA51" s="197">
        <f>'Energy NPV'!$D104</f>
        <v>16.3</v>
      </c>
      <c r="AB51" s="197">
        <f>'Energy margins'!$Z$12</f>
        <v>55</v>
      </c>
      <c r="AC51" s="197">
        <f t="shared" si="121"/>
        <v>896.5</v>
      </c>
      <c r="AD51" s="197">
        <f>'Margins summary'!$W$14</f>
        <v>220</v>
      </c>
      <c r="AE51" s="197">
        <f t="shared" si="92"/>
        <v>1116.5</v>
      </c>
      <c r="AF51" s="197"/>
      <c r="AG51" s="897">
        <f>'Energy NPV'!U104</f>
        <v>368.78200000000004</v>
      </c>
      <c r="AH51" s="197"/>
      <c r="AI51" s="197">
        <f t="shared" si="74"/>
        <v>553.173</v>
      </c>
      <c r="AJ51" s="197">
        <f t="shared" si="75"/>
        <v>343.327</v>
      </c>
      <c r="AK51" s="197">
        <f t="shared" si="76"/>
        <v>563.327</v>
      </c>
      <c r="AL51" s="196">
        <f t="shared" si="93"/>
        <v>538.41466821973881</v>
      </c>
      <c r="AM51" s="197">
        <f t="shared" si="93"/>
        <v>132.12629894962916</v>
      </c>
      <c r="AN51" s="197">
        <f t="shared" si="94"/>
        <v>332.22136894937825</v>
      </c>
      <c r="AO51" s="197">
        <f t="shared" si="94"/>
        <v>206.1932992703606</v>
      </c>
      <c r="AP51" s="199">
        <f t="shared" si="94"/>
        <v>338.31959821998976</v>
      </c>
      <c r="AQ51" s="196">
        <f t="shared" si="122"/>
        <v>8506.3665766336599</v>
      </c>
      <c r="AR51" s="197">
        <f t="shared" si="95"/>
        <v>2416.8425262592682</v>
      </c>
      <c r="AS51" s="197">
        <f t="shared" si="95"/>
        <v>8967.7056401708614</v>
      </c>
      <c r="AT51" s="197">
        <f t="shared" si="95"/>
        <v>-461.33906353720101</v>
      </c>
      <c r="AU51" s="199">
        <f t="shared" si="95"/>
        <v>1955.5034627220671</v>
      </c>
      <c r="AX51" s="204">
        <f t="shared" si="123"/>
        <v>14</v>
      </c>
      <c r="AY51" s="197">
        <f>'Energy NPV'!$D104</f>
        <v>16.3</v>
      </c>
      <c r="AZ51" s="197">
        <f>'Energy margins'!$Z$12</f>
        <v>55</v>
      </c>
      <c r="BA51" s="197">
        <f t="shared" si="124"/>
        <v>896.5</v>
      </c>
      <c r="BB51" s="197">
        <f>'Margins summary'!$W$14</f>
        <v>220</v>
      </c>
      <c r="BC51" s="197">
        <f t="shared" si="96"/>
        <v>1116.5</v>
      </c>
      <c r="BD51" s="197"/>
      <c r="BE51" s="897">
        <f>'Energy NPV'!U104</f>
        <v>368.78200000000004</v>
      </c>
      <c r="BF51" s="197"/>
      <c r="BG51" s="197">
        <f t="shared" si="77"/>
        <v>184.39100000000002</v>
      </c>
      <c r="BH51" s="197">
        <f t="shared" si="78"/>
        <v>712.10899999999992</v>
      </c>
      <c r="BI51" s="197">
        <f t="shared" si="79"/>
        <v>932.10899999999992</v>
      </c>
      <c r="BJ51" s="196">
        <f t="shared" si="97"/>
        <v>538.41466821973881</v>
      </c>
      <c r="BK51" s="197">
        <f t="shared" si="97"/>
        <v>132.12629894962916</v>
      </c>
      <c r="BL51" s="197">
        <f t="shared" si="98"/>
        <v>110.74045631645943</v>
      </c>
      <c r="BM51" s="197">
        <f t="shared" si="98"/>
        <v>427.6742119032794</v>
      </c>
      <c r="BN51" s="199">
        <f t="shared" si="98"/>
        <v>559.80051085290859</v>
      </c>
      <c r="BO51" s="196">
        <f t="shared" si="125"/>
        <v>8506.3665766336599</v>
      </c>
      <c r="BP51" s="197">
        <f t="shared" si="99"/>
        <v>2416.8425262592682</v>
      </c>
      <c r="BQ51" s="197">
        <f t="shared" si="100"/>
        <v>2989.2352133902882</v>
      </c>
      <c r="BR51" s="197">
        <f t="shared" si="101"/>
        <v>5517.131363243373</v>
      </c>
      <c r="BS51" s="199">
        <f t="shared" si="102"/>
        <v>7933.9738895026421</v>
      </c>
      <c r="BV51" s="204">
        <f t="shared" si="126"/>
        <v>14</v>
      </c>
      <c r="BW51" s="197">
        <f>'Energy NPV'!$D104</f>
        <v>16.3</v>
      </c>
      <c r="BX51" s="197">
        <f>'Energy margins'!$Z$12</f>
        <v>55</v>
      </c>
      <c r="BY51" s="197">
        <f t="shared" si="127"/>
        <v>896.5</v>
      </c>
      <c r="BZ51" s="197">
        <f>'Margins summary'!$W$14</f>
        <v>220</v>
      </c>
      <c r="CA51" s="197">
        <f t="shared" si="103"/>
        <v>1116.5</v>
      </c>
      <c r="CB51" s="197"/>
      <c r="CC51" s="897">
        <f>'Energy NPV'!U104</f>
        <v>368.78200000000004</v>
      </c>
      <c r="CD51" s="197"/>
      <c r="CE51" s="197">
        <f t="shared" si="80"/>
        <v>737.56400000000008</v>
      </c>
      <c r="CF51" s="197">
        <f t="shared" si="81"/>
        <v>158.93599999999992</v>
      </c>
      <c r="CG51" s="197">
        <f t="shared" si="82"/>
        <v>378.93599999999992</v>
      </c>
      <c r="CH51" s="196">
        <f t="shared" si="104"/>
        <v>538.41466821973881</v>
      </c>
      <c r="CI51" s="197">
        <f t="shared" si="104"/>
        <v>132.12629894962916</v>
      </c>
      <c r="CJ51" s="197">
        <f t="shared" si="105"/>
        <v>442.96182526583772</v>
      </c>
      <c r="CK51" s="197">
        <f t="shared" si="105"/>
        <v>95.45284295390114</v>
      </c>
      <c r="CL51" s="199">
        <f t="shared" si="105"/>
        <v>227.57914190353029</v>
      </c>
      <c r="CM51" s="196">
        <f t="shared" si="128"/>
        <v>8506.3665766336599</v>
      </c>
      <c r="CN51" s="197">
        <f t="shared" si="106"/>
        <v>2416.8425262592682</v>
      </c>
      <c r="CO51" s="197">
        <f t="shared" si="107"/>
        <v>11956.940853561153</v>
      </c>
      <c r="CP51" s="197">
        <f t="shared" si="108"/>
        <v>-3450.5742769274898</v>
      </c>
      <c r="CQ51" s="199">
        <f t="shared" si="109"/>
        <v>-1033.7317506682202</v>
      </c>
      <c r="CT51" s="204">
        <f t="shared" si="129"/>
        <v>14</v>
      </c>
      <c r="CU51" s="197">
        <f>'Energy NPV'!$D104</f>
        <v>16.3</v>
      </c>
      <c r="CV51" s="197">
        <f>'Energy margins'!$Z$12</f>
        <v>55</v>
      </c>
      <c r="CW51" s="197">
        <f t="shared" si="83"/>
        <v>896.5</v>
      </c>
      <c r="CX51" s="197">
        <f>'Margins summary'!$W$14</f>
        <v>220</v>
      </c>
      <c r="CY51" s="197">
        <f t="shared" si="84"/>
        <v>1116.5</v>
      </c>
      <c r="CZ51" s="197"/>
      <c r="DA51" s="897">
        <f>'Energy NPV'!U104</f>
        <v>368.78200000000004</v>
      </c>
      <c r="DB51" s="197"/>
      <c r="DC51" s="197">
        <f t="shared" si="85"/>
        <v>0</v>
      </c>
      <c r="DD51" s="197">
        <f t="shared" si="86"/>
        <v>896.5</v>
      </c>
      <c r="DE51" s="197">
        <f t="shared" si="87"/>
        <v>1116.5</v>
      </c>
      <c r="DF51" s="196">
        <f t="shared" si="110"/>
        <v>538.41466821973881</v>
      </c>
      <c r="DG51" s="197">
        <f t="shared" si="110"/>
        <v>132.12629894962916</v>
      </c>
      <c r="DH51" s="197">
        <f t="shared" si="111"/>
        <v>0</v>
      </c>
      <c r="DI51" s="197">
        <f t="shared" si="111"/>
        <v>538.41466821973881</v>
      </c>
      <c r="DJ51" s="199">
        <f t="shared" si="111"/>
        <v>670.54096716936795</v>
      </c>
      <c r="DK51" s="196">
        <f t="shared" si="112"/>
        <v>8506.3665766336599</v>
      </c>
      <c r="DL51" s="197">
        <f t="shared" si="113"/>
        <v>2416.8425262592682</v>
      </c>
      <c r="DM51" s="197">
        <f t="shared" si="114"/>
        <v>0</v>
      </c>
      <c r="DN51" s="197">
        <f t="shared" si="115"/>
        <v>8506.3665766336599</v>
      </c>
      <c r="DO51" s="199">
        <f t="shared" si="116"/>
        <v>10923.209102892928</v>
      </c>
    </row>
    <row r="52" spans="2:176" x14ac:dyDescent="0.3">
      <c r="B52" s="204">
        <f t="shared" si="117"/>
        <v>15</v>
      </c>
      <c r="C52" s="197">
        <f>'Energy NPV'!$D105</f>
        <v>16.3</v>
      </c>
      <c r="D52" s="197">
        <f>'Energy margins'!$Z$12</f>
        <v>55</v>
      </c>
      <c r="E52" s="197">
        <f t="shared" si="118"/>
        <v>896.5</v>
      </c>
      <c r="F52" s="197">
        <f>'Margins summary'!$W$14</f>
        <v>220</v>
      </c>
      <c r="G52" s="197">
        <f t="shared" si="88"/>
        <v>1116.5</v>
      </c>
      <c r="H52" s="197"/>
      <c r="I52" s="897">
        <f>'Energy NPV'!U105</f>
        <v>368.78200000000004</v>
      </c>
      <c r="J52" s="197"/>
      <c r="K52" s="197">
        <f t="shared" si="71"/>
        <v>368.78200000000004</v>
      </c>
      <c r="L52" s="197">
        <f t="shared" si="72"/>
        <v>527.71799999999996</v>
      </c>
      <c r="M52" s="197">
        <f t="shared" si="73"/>
        <v>747.71799999999996</v>
      </c>
      <c r="N52" s="196">
        <f t="shared" si="89"/>
        <v>517.7064117497489</v>
      </c>
      <c r="O52" s="197">
        <f t="shared" si="89"/>
        <v>127.04451822079727</v>
      </c>
      <c r="P52" s="197">
        <f t="shared" si="90"/>
        <v>212.9624159931912</v>
      </c>
      <c r="Q52" s="197">
        <f t="shared" si="90"/>
        <v>304.74399575655769</v>
      </c>
      <c r="R52" s="199">
        <f t="shared" si="90"/>
        <v>431.78851397735497</v>
      </c>
      <c r="S52" s="196">
        <f t="shared" si="119"/>
        <v>9024.0729883834083</v>
      </c>
      <c r="T52" s="197">
        <f t="shared" si="91"/>
        <v>2543.8870444800655</v>
      </c>
      <c r="U52" s="197">
        <f t="shared" si="91"/>
        <v>6191.4328427737673</v>
      </c>
      <c r="V52" s="197">
        <f t="shared" si="91"/>
        <v>2832.6401456096437</v>
      </c>
      <c r="W52" s="199">
        <f t="shared" si="91"/>
        <v>5376.5271900897096</v>
      </c>
      <c r="Z52" s="204">
        <f t="shared" si="120"/>
        <v>15</v>
      </c>
      <c r="AA52" s="197">
        <f>'Energy NPV'!$D105</f>
        <v>16.3</v>
      </c>
      <c r="AB52" s="197">
        <f>'Energy margins'!$Z$12</f>
        <v>55</v>
      </c>
      <c r="AC52" s="197">
        <f t="shared" si="121"/>
        <v>896.5</v>
      </c>
      <c r="AD52" s="197">
        <f>'Margins summary'!$W$14</f>
        <v>220</v>
      </c>
      <c r="AE52" s="197">
        <f t="shared" si="92"/>
        <v>1116.5</v>
      </c>
      <c r="AF52" s="197"/>
      <c r="AG52" s="897">
        <f>'Energy NPV'!U105</f>
        <v>368.78200000000004</v>
      </c>
      <c r="AH52" s="197"/>
      <c r="AI52" s="197">
        <f t="shared" si="74"/>
        <v>553.173</v>
      </c>
      <c r="AJ52" s="197">
        <f t="shared" si="75"/>
        <v>343.327</v>
      </c>
      <c r="AK52" s="197">
        <f t="shared" si="76"/>
        <v>563.327</v>
      </c>
      <c r="AL52" s="196">
        <f t="shared" si="93"/>
        <v>517.7064117497489</v>
      </c>
      <c r="AM52" s="197">
        <f t="shared" si="93"/>
        <v>127.04451822079727</v>
      </c>
      <c r="AN52" s="197">
        <f t="shared" si="94"/>
        <v>319.44362398978677</v>
      </c>
      <c r="AO52" s="197">
        <f t="shared" si="94"/>
        <v>198.26278775996212</v>
      </c>
      <c r="AP52" s="199">
        <f t="shared" si="94"/>
        <v>325.30730598075939</v>
      </c>
      <c r="AQ52" s="196">
        <f t="shared" si="122"/>
        <v>9024.0729883834083</v>
      </c>
      <c r="AR52" s="197">
        <f t="shared" si="95"/>
        <v>2543.8870444800655</v>
      </c>
      <c r="AS52" s="197">
        <f t="shared" si="95"/>
        <v>9287.1492641606474</v>
      </c>
      <c r="AT52" s="197">
        <f t="shared" si="95"/>
        <v>-263.07627577723889</v>
      </c>
      <c r="AU52" s="199">
        <f t="shared" si="95"/>
        <v>2280.8107687028264</v>
      </c>
      <c r="AX52" s="204">
        <f t="shared" si="123"/>
        <v>15</v>
      </c>
      <c r="AY52" s="197">
        <f>'Energy NPV'!$D105</f>
        <v>16.3</v>
      </c>
      <c r="AZ52" s="197">
        <f>'Energy margins'!$Z$12</f>
        <v>55</v>
      </c>
      <c r="BA52" s="197">
        <f t="shared" si="124"/>
        <v>896.5</v>
      </c>
      <c r="BB52" s="197">
        <f>'Margins summary'!$W$14</f>
        <v>220</v>
      </c>
      <c r="BC52" s="197">
        <f t="shared" si="96"/>
        <v>1116.5</v>
      </c>
      <c r="BD52" s="197"/>
      <c r="BE52" s="897">
        <f>'Energy NPV'!U105</f>
        <v>368.78200000000004</v>
      </c>
      <c r="BF52" s="197"/>
      <c r="BG52" s="197">
        <f t="shared" si="77"/>
        <v>184.39100000000002</v>
      </c>
      <c r="BH52" s="197">
        <f t="shared" si="78"/>
        <v>712.10899999999992</v>
      </c>
      <c r="BI52" s="197">
        <f t="shared" si="79"/>
        <v>932.10899999999992</v>
      </c>
      <c r="BJ52" s="196">
        <f t="shared" si="97"/>
        <v>517.7064117497489</v>
      </c>
      <c r="BK52" s="197">
        <f t="shared" si="97"/>
        <v>127.04451822079727</v>
      </c>
      <c r="BL52" s="197">
        <f t="shared" si="98"/>
        <v>106.4812079965956</v>
      </c>
      <c r="BM52" s="197">
        <f t="shared" si="98"/>
        <v>411.22520375315327</v>
      </c>
      <c r="BN52" s="199">
        <f t="shared" si="98"/>
        <v>538.26972197395048</v>
      </c>
      <c r="BO52" s="196">
        <f t="shared" si="125"/>
        <v>9024.0729883834083</v>
      </c>
      <c r="BP52" s="197">
        <f t="shared" si="99"/>
        <v>2543.8870444800655</v>
      </c>
      <c r="BQ52" s="197">
        <f t="shared" si="100"/>
        <v>3095.7164213868837</v>
      </c>
      <c r="BR52" s="197">
        <f t="shared" si="101"/>
        <v>5928.3565669965265</v>
      </c>
      <c r="BS52" s="199">
        <f t="shared" si="102"/>
        <v>8472.2436114765933</v>
      </c>
      <c r="BV52" s="204">
        <f t="shared" si="126"/>
        <v>15</v>
      </c>
      <c r="BW52" s="197">
        <f>'Energy NPV'!$D105</f>
        <v>16.3</v>
      </c>
      <c r="BX52" s="197">
        <f>'Energy margins'!$Z$12</f>
        <v>55</v>
      </c>
      <c r="BY52" s="197">
        <f t="shared" si="127"/>
        <v>896.5</v>
      </c>
      <c r="BZ52" s="197">
        <f>'Margins summary'!$W$14</f>
        <v>220</v>
      </c>
      <c r="CA52" s="197">
        <f t="shared" si="103"/>
        <v>1116.5</v>
      </c>
      <c r="CB52" s="197"/>
      <c r="CC52" s="897">
        <f>'Energy NPV'!U105</f>
        <v>368.78200000000004</v>
      </c>
      <c r="CD52" s="197"/>
      <c r="CE52" s="197">
        <f t="shared" si="80"/>
        <v>737.56400000000008</v>
      </c>
      <c r="CF52" s="197">
        <f t="shared" si="81"/>
        <v>158.93599999999992</v>
      </c>
      <c r="CG52" s="197">
        <f t="shared" si="82"/>
        <v>378.93599999999992</v>
      </c>
      <c r="CH52" s="196">
        <f t="shared" si="104"/>
        <v>517.7064117497489</v>
      </c>
      <c r="CI52" s="197">
        <f t="shared" si="104"/>
        <v>127.04451822079727</v>
      </c>
      <c r="CJ52" s="197">
        <f t="shared" si="105"/>
        <v>425.9248319863824</v>
      </c>
      <c r="CK52" s="197">
        <f t="shared" si="105"/>
        <v>91.78157976336648</v>
      </c>
      <c r="CL52" s="199">
        <f t="shared" si="105"/>
        <v>218.82609798416374</v>
      </c>
      <c r="CM52" s="196">
        <f t="shared" si="128"/>
        <v>9024.0729883834083</v>
      </c>
      <c r="CN52" s="197">
        <f t="shared" si="106"/>
        <v>2543.8870444800655</v>
      </c>
      <c r="CO52" s="197">
        <f t="shared" si="107"/>
        <v>12382.865685547535</v>
      </c>
      <c r="CP52" s="197">
        <f t="shared" si="108"/>
        <v>-3358.7926971641232</v>
      </c>
      <c r="CQ52" s="199">
        <f t="shared" si="109"/>
        <v>-814.90565268405646</v>
      </c>
      <c r="CT52" s="204">
        <f t="shared" si="129"/>
        <v>15</v>
      </c>
      <c r="CU52" s="197">
        <f>'Energy NPV'!$D105</f>
        <v>16.3</v>
      </c>
      <c r="CV52" s="197">
        <f>'Energy margins'!$Z$12</f>
        <v>55</v>
      </c>
      <c r="CW52" s="197">
        <f t="shared" si="83"/>
        <v>896.5</v>
      </c>
      <c r="CX52" s="197">
        <f>'Margins summary'!$W$14</f>
        <v>220</v>
      </c>
      <c r="CY52" s="197">
        <f t="shared" si="84"/>
        <v>1116.5</v>
      </c>
      <c r="CZ52" s="197"/>
      <c r="DA52" s="897">
        <f>'Energy NPV'!U105</f>
        <v>368.78200000000004</v>
      </c>
      <c r="DB52" s="197"/>
      <c r="DC52" s="197">
        <f t="shared" si="85"/>
        <v>0</v>
      </c>
      <c r="DD52" s="197">
        <f t="shared" si="86"/>
        <v>896.5</v>
      </c>
      <c r="DE52" s="197">
        <f t="shared" si="87"/>
        <v>1116.5</v>
      </c>
      <c r="DF52" s="196">
        <f t="shared" si="110"/>
        <v>517.7064117497489</v>
      </c>
      <c r="DG52" s="197">
        <f t="shared" si="110"/>
        <v>127.04451822079727</v>
      </c>
      <c r="DH52" s="197">
        <f t="shared" si="111"/>
        <v>0</v>
      </c>
      <c r="DI52" s="197">
        <f t="shared" si="111"/>
        <v>517.7064117497489</v>
      </c>
      <c r="DJ52" s="199">
        <f t="shared" si="111"/>
        <v>644.75092997054617</v>
      </c>
      <c r="DK52" s="196">
        <f t="shared" si="112"/>
        <v>9024.0729883834083</v>
      </c>
      <c r="DL52" s="197">
        <f t="shared" si="113"/>
        <v>2543.8870444800655</v>
      </c>
      <c r="DM52" s="197">
        <f t="shared" si="114"/>
        <v>0</v>
      </c>
      <c r="DN52" s="197">
        <f t="shared" si="115"/>
        <v>9024.0729883834083</v>
      </c>
      <c r="DO52" s="199">
        <f t="shared" si="116"/>
        <v>11567.960032863473</v>
      </c>
    </row>
    <row r="53" spans="2:176" x14ac:dyDescent="0.3">
      <c r="B53" s="206">
        <f t="shared" si="117"/>
        <v>16</v>
      </c>
      <c r="C53" s="207">
        <f>'Energy NPV'!$D106</f>
        <v>16.3</v>
      </c>
      <c r="D53" s="207">
        <f>'Energy margins'!$Z$12</f>
        <v>55</v>
      </c>
      <c r="E53" s="207">
        <f t="shared" si="118"/>
        <v>896.5</v>
      </c>
      <c r="F53" s="207">
        <f>'Margins summary'!$W$14</f>
        <v>220</v>
      </c>
      <c r="G53" s="207">
        <f t="shared" si="88"/>
        <v>1116.5</v>
      </c>
      <c r="H53" s="207"/>
      <c r="I53" s="898">
        <f>'Energy NPV'!U106</f>
        <v>368.78200000000004</v>
      </c>
      <c r="J53" s="207">
        <f>'Energy margins'!$AE$67</f>
        <v>170</v>
      </c>
      <c r="K53" s="207">
        <f t="shared" si="71"/>
        <v>538.78200000000004</v>
      </c>
      <c r="L53" s="207">
        <f t="shared" si="72"/>
        <v>357.71799999999996</v>
      </c>
      <c r="M53" s="207">
        <f t="shared" si="73"/>
        <v>577.71799999999996</v>
      </c>
      <c r="N53" s="208">
        <f t="shared" si="89"/>
        <v>497.79462668245088</v>
      </c>
      <c r="O53" s="207">
        <f t="shared" si="89"/>
        <v>122.15819059692046</v>
      </c>
      <c r="P53" s="207">
        <f t="shared" si="90"/>
        <v>299.16651930086363</v>
      </c>
      <c r="Q53" s="207">
        <f t="shared" si="90"/>
        <v>198.62810738158723</v>
      </c>
      <c r="R53" s="209">
        <f>M53/((1+$B$4)^($B53-1))</f>
        <v>320.78629797850766</v>
      </c>
      <c r="S53" s="208">
        <f t="shared" si="119"/>
        <v>9521.8676150658594</v>
      </c>
      <c r="T53" s="207">
        <f t="shared" si="91"/>
        <v>2666.045235076986</v>
      </c>
      <c r="U53" s="207">
        <f t="shared" si="91"/>
        <v>6490.5993620746312</v>
      </c>
      <c r="V53" s="207">
        <f t="shared" si="91"/>
        <v>3031.2682529912308</v>
      </c>
      <c r="W53" s="209">
        <f t="shared" si="91"/>
        <v>5697.3134880682173</v>
      </c>
      <c r="Z53" s="206">
        <f t="shared" si="120"/>
        <v>16</v>
      </c>
      <c r="AA53" s="207">
        <f>'Energy NPV'!$D106</f>
        <v>16.3</v>
      </c>
      <c r="AB53" s="207">
        <f>'Energy margins'!$Z$12</f>
        <v>55</v>
      </c>
      <c r="AC53" s="207">
        <f t="shared" si="121"/>
        <v>896.5</v>
      </c>
      <c r="AD53" s="207">
        <f>'Margins summary'!$W$14</f>
        <v>220</v>
      </c>
      <c r="AE53" s="207">
        <f t="shared" si="92"/>
        <v>1116.5</v>
      </c>
      <c r="AF53" s="207"/>
      <c r="AG53" s="898">
        <f>'Energy NPV'!U106</f>
        <v>368.78200000000004</v>
      </c>
      <c r="AH53" s="207">
        <f>'Energy margins'!$AE$67</f>
        <v>170</v>
      </c>
      <c r="AI53" s="207">
        <f t="shared" si="74"/>
        <v>808.173</v>
      </c>
      <c r="AJ53" s="207">
        <f t="shared" si="75"/>
        <v>88.326999999999998</v>
      </c>
      <c r="AK53" s="207">
        <f t="shared" si="76"/>
        <v>308.327</v>
      </c>
      <c r="AL53" s="208">
        <f t="shared" si="93"/>
        <v>497.79462668245088</v>
      </c>
      <c r="AM53" s="207">
        <f t="shared" si="93"/>
        <v>122.15819059692046</v>
      </c>
      <c r="AN53" s="207">
        <f t="shared" si="94"/>
        <v>448.74977895129541</v>
      </c>
      <c r="AO53" s="207">
        <f t="shared" si="94"/>
        <v>49.044847731155421</v>
      </c>
      <c r="AP53" s="209">
        <f>AK53/((1+$B$4)^($B53-1))</f>
        <v>171.20303832807588</v>
      </c>
      <c r="AQ53" s="208">
        <f t="shared" si="122"/>
        <v>9521.8676150658594</v>
      </c>
      <c r="AR53" s="207">
        <f t="shared" si="95"/>
        <v>2666.045235076986</v>
      </c>
      <c r="AS53" s="207">
        <f t="shared" si="95"/>
        <v>9735.8990431119419</v>
      </c>
      <c r="AT53" s="207">
        <f t="shared" si="95"/>
        <v>-214.03142804608348</v>
      </c>
      <c r="AU53" s="209">
        <f t="shared" si="95"/>
        <v>2452.0138070309022</v>
      </c>
      <c r="AX53" s="206">
        <f t="shared" si="123"/>
        <v>16</v>
      </c>
      <c r="AY53" s="207">
        <f>'Energy NPV'!$D106</f>
        <v>16.3</v>
      </c>
      <c r="AZ53" s="207">
        <f>'Energy margins'!$Z$12</f>
        <v>55</v>
      </c>
      <c r="BA53" s="207">
        <f t="shared" si="124"/>
        <v>896.5</v>
      </c>
      <c r="BB53" s="207">
        <f>'Margins summary'!$W$14</f>
        <v>220</v>
      </c>
      <c r="BC53" s="207">
        <f t="shared" si="96"/>
        <v>1116.5</v>
      </c>
      <c r="BD53" s="207"/>
      <c r="BE53" s="898">
        <f>'Energy NPV'!U106</f>
        <v>368.78200000000004</v>
      </c>
      <c r="BF53" s="207">
        <f>'Energy margins'!$AE$67</f>
        <v>170</v>
      </c>
      <c r="BG53" s="207">
        <f t="shared" si="77"/>
        <v>269.39100000000002</v>
      </c>
      <c r="BH53" s="207">
        <f t="shared" si="78"/>
        <v>627.10899999999992</v>
      </c>
      <c r="BI53" s="207">
        <f t="shared" si="79"/>
        <v>847.10899999999992</v>
      </c>
      <c r="BJ53" s="208">
        <f t="shared" si="97"/>
        <v>497.79462668245088</v>
      </c>
      <c r="BK53" s="207">
        <f t="shared" si="97"/>
        <v>122.15819059692046</v>
      </c>
      <c r="BL53" s="207">
        <f t="shared" si="98"/>
        <v>149.58325965043181</v>
      </c>
      <c r="BM53" s="207">
        <f t="shared" si="98"/>
        <v>348.21136703201898</v>
      </c>
      <c r="BN53" s="209">
        <f>BI53/((1+$B$4)^($B53-1))</f>
        <v>470.36955762893945</v>
      </c>
      <c r="BO53" s="208">
        <f t="shared" si="125"/>
        <v>9521.8676150658594</v>
      </c>
      <c r="BP53" s="207">
        <f t="shared" si="99"/>
        <v>2666.045235076986</v>
      </c>
      <c r="BQ53" s="207">
        <f t="shared" si="100"/>
        <v>3245.2996810373156</v>
      </c>
      <c r="BR53" s="207">
        <f t="shared" si="101"/>
        <v>6276.5679340285451</v>
      </c>
      <c r="BS53" s="209">
        <f t="shared" si="102"/>
        <v>8942.6131691055325</v>
      </c>
      <c r="BV53" s="206">
        <f t="shared" si="126"/>
        <v>16</v>
      </c>
      <c r="BW53" s="207">
        <f>'Energy NPV'!$D106</f>
        <v>16.3</v>
      </c>
      <c r="BX53" s="207">
        <f>'Energy margins'!$Z$12</f>
        <v>55</v>
      </c>
      <c r="BY53" s="207">
        <f t="shared" si="127"/>
        <v>896.5</v>
      </c>
      <c r="BZ53" s="207">
        <f>'Margins summary'!$W$14</f>
        <v>220</v>
      </c>
      <c r="CA53" s="207">
        <f t="shared" si="103"/>
        <v>1116.5</v>
      </c>
      <c r="CB53" s="207"/>
      <c r="CC53" s="898">
        <f>'Energy NPV'!U106</f>
        <v>368.78200000000004</v>
      </c>
      <c r="CD53" s="207">
        <f>'Energy margins'!$AE$67</f>
        <v>170</v>
      </c>
      <c r="CE53" s="207">
        <f t="shared" si="80"/>
        <v>1077.5640000000001</v>
      </c>
      <c r="CF53" s="207">
        <f t="shared" si="81"/>
        <v>-181.06400000000008</v>
      </c>
      <c r="CG53" s="207">
        <f t="shared" si="82"/>
        <v>38.935999999999922</v>
      </c>
      <c r="CH53" s="208">
        <f t="shared" si="104"/>
        <v>497.79462668245088</v>
      </c>
      <c r="CI53" s="207">
        <f t="shared" si="104"/>
        <v>122.15819059692046</v>
      </c>
      <c r="CJ53" s="207">
        <f t="shared" si="105"/>
        <v>598.33303860172725</v>
      </c>
      <c r="CK53" s="207">
        <f t="shared" si="105"/>
        <v>-100.53841191927643</v>
      </c>
      <c r="CL53" s="209">
        <f>CG53/((1+$B$4)^($B53-1))</f>
        <v>21.619778677644025</v>
      </c>
      <c r="CM53" s="208">
        <f t="shared" si="128"/>
        <v>9521.8676150658594</v>
      </c>
      <c r="CN53" s="207">
        <f t="shared" si="106"/>
        <v>2666.045235076986</v>
      </c>
      <c r="CO53" s="207">
        <f t="shared" si="107"/>
        <v>12981.198724149262</v>
      </c>
      <c r="CP53" s="207">
        <f t="shared" si="108"/>
        <v>-3459.3311090833995</v>
      </c>
      <c r="CQ53" s="209">
        <f t="shared" si="109"/>
        <v>-793.28587400641243</v>
      </c>
      <c r="CT53" s="206">
        <f t="shared" si="129"/>
        <v>16</v>
      </c>
      <c r="CU53" s="900">
        <f>'Energy NPV'!C106</f>
        <v>1</v>
      </c>
      <c r="CV53" s="207">
        <f>'Energy NPV'!$D106</f>
        <v>16.3</v>
      </c>
      <c r="CW53" s="207">
        <f>'Energy margins'!$Z$12</f>
        <v>55</v>
      </c>
      <c r="CX53" s="207">
        <f t="shared" ref="CX53" si="130">CV53*CW53</f>
        <v>896.5</v>
      </c>
      <c r="CY53" s="207">
        <f>'Margins summary'!$W$14</f>
        <v>220</v>
      </c>
      <c r="CZ53" s="207">
        <f t="shared" ref="CZ53" si="131">CX53+CY53</f>
        <v>1116.5</v>
      </c>
      <c r="DA53" s="207"/>
      <c r="DB53" s="898">
        <f>'Energy NPV'!U106</f>
        <v>368.78200000000004</v>
      </c>
      <c r="DC53" s="207">
        <f>'Energy margins'!$AE$67</f>
        <v>170</v>
      </c>
      <c r="DD53" s="207">
        <f>(DA53+DB53+DC53)*$CV$34</f>
        <v>0</v>
      </c>
      <c r="DE53" s="207">
        <f t="shared" ref="DE53" si="132">CX53-DD53</f>
        <v>896.5</v>
      </c>
      <c r="DF53" s="208">
        <f t="shared" si="110"/>
        <v>30.539547649230116</v>
      </c>
      <c r="DG53" s="207">
        <f t="shared" si="110"/>
        <v>497.79462668245088</v>
      </c>
      <c r="DH53" s="207">
        <f t="shared" si="111"/>
        <v>94.394965461256717</v>
      </c>
      <c r="DI53" s="207">
        <f t="shared" si="111"/>
        <v>0</v>
      </c>
      <c r="DJ53" s="209">
        <f>DE53/((1+$B$4)^($B53-1))</f>
        <v>497.79462668245088</v>
      </c>
      <c r="DK53" s="209">
        <f t="shared" ref="DK53" si="133">DF53/(1+$B$4)^$CT53</f>
        <v>16.305314171671267</v>
      </c>
      <c r="DL53" s="208">
        <f>DK52+DG53</f>
        <v>9521.8676150658594</v>
      </c>
      <c r="DM53" s="207">
        <f>DL52+DH53</f>
        <v>2638.282009941322</v>
      </c>
      <c r="DN53" s="207">
        <f>DM52+DI53</f>
        <v>0</v>
      </c>
      <c r="DO53" s="207">
        <f>DN52+DJ53</f>
        <v>9521.8676150658594</v>
      </c>
      <c r="DP53" s="209">
        <f>DO52+DK53</f>
        <v>11584.265347035145</v>
      </c>
    </row>
    <row r="59" spans="2:176" x14ac:dyDescent="0.3">
      <c r="B59" s="212" t="s">
        <v>303</v>
      </c>
      <c r="C59" s="750" t="s">
        <v>427</v>
      </c>
      <c r="D59" s="269" t="s">
        <v>418</v>
      </c>
      <c r="E59" s="102"/>
      <c r="H59" s="102"/>
      <c r="I59" s="102"/>
      <c r="J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212" t="s">
        <v>303</v>
      </c>
      <c r="AC59" s="750" t="s">
        <v>428</v>
      </c>
      <c r="AD59" s="267" t="s">
        <v>325</v>
      </c>
      <c r="AE59" s="102"/>
      <c r="AH59" s="102"/>
      <c r="AI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BB59" s="212" t="s">
        <v>303</v>
      </c>
      <c r="BC59" s="750" t="s">
        <v>429</v>
      </c>
      <c r="BD59" s="267" t="s">
        <v>325</v>
      </c>
      <c r="BE59" s="102"/>
      <c r="BH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CB59" s="212" t="s">
        <v>303</v>
      </c>
      <c r="CC59" s="750" t="s">
        <v>430</v>
      </c>
      <c r="CD59" s="267" t="s">
        <v>325</v>
      </c>
      <c r="CE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DB59" s="212" t="s">
        <v>303</v>
      </c>
      <c r="DC59" s="750" t="s">
        <v>495</v>
      </c>
      <c r="DD59" s="267" t="s">
        <v>325</v>
      </c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102"/>
      <c r="DV59" s="102"/>
      <c r="DW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</row>
    <row r="60" spans="2:176" x14ac:dyDescent="0.3">
      <c r="B60" s="203"/>
      <c r="C60" s="64"/>
      <c r="E60" s="158"/>
      <c r="F60" s="158"/>
      <c r="G60" s="158"/>
      <c r="H60" s="745"/>
      <c r="I60" s="745"/>
      <c r="J60" s="745"/>
      <c r="K60" s="148"/>
      <c r="L60" s="148"/>
      <c r="M60" s="745"/>
      <c r="N60" s="148"/>
      <c r="O60" s="148"/>
      <c r="P60" s="998" t="s">
        <v>279</v>
      </c>
      <c r="Q60" s="999"/>
      <c r="R60" s="999"/>
      <c r="S60" s="999"/>
      <c r="T60" s="1000"/>
      <c r="U60" s="998" t="s">
        <v>280</v>
      </c>
      <c r="V60" s="999"/>
      <c r="W60" s="999"/>
      <c r="X60" s="999"/>
      <c r="Y60" s="1000"/>
      <c r="AB60" s="203"/>
      <c r="AC60" s="64"/>
      <c r="AE60" s="158"/>
      <c r="AF60" s="158"/>
      <c r="AG60" s="158"/>
      <c r="AH60" s="745"/>
      <c r="AI60" s="745"/>
      <c r="AJ60" s="745"/>
      <c r="AK60" s="148"/>
      <c r="AL60" s="148"/>
      <c r="AM60" s="745"/>
      <c r="AN60" s="148"/>
      <c r="AO60" s="148"/>
      <c r="AP60" s="998" t="s">
        <v>279</v>
      </c>
      <c r="AQ60" s="999"/>
      <c r="AR60" s="999"/>
      <c r="AS60" s="999"/>
      <c r="AT60" s="1000"/>
      <c r="AU60" s="998" t="s">
        <v>280</v>
      </c>
      <c r="AV60" s="999"/>
      <c r="AW60" s="999"/>
      <c r="AX60" s="999"/>
      <c r="AY60" s="1000"/>
      <c r="BB60" s="203"/>
      <c r="BC60" s="64"/>
      <c r="BE60" s="158"/>
      <c r="BF60" s="158"/>
      <c r="BG60" s="158"/>
      <c r="BH60" s="745"/>
      <c r="BI60" s="745"/>
      <c r="BJ60" s="745"/>
      <c r="BK60" s="148"/>
      <c r="BL60" s="148"/>
      <c r="BM60" s="745"/>
      <c r="BN60" s="148"/>
      <c r="BO60" s="148"/>
      <c r="BP60" s="998" t="s">
        <v>279</v>
      </c>
      <c r="BQ60" s="999"/>
      <c r="BR60" s="999"/>
      <c r="BS60" s="999"/>
      <c r="BT60" s="1000"/>
      <c r="BU60" s="998" t="s">
        <v>280</v>
      </c>
      <c r="BV60" s="999"/>
      <c r="BW60" s="999"/>
      <c r="BX60" s="999"/>
      <c r="BY60" s="1000"/>
      <c r="CB60" s="203"/>
      <c r="CC60" s="64"/>
      <c r="CE60" s="158"/>
      <c r="CF60" s="158"/>
      <c r="CG60" s="158"/>
      <c r="CH60" s="745"/>
      <c r="CI60" s="745"/>
      <c r="CJ60" s="745"/>
      <c r="CK60" s="148"/>
      <c r="CL60" s="148"/>
      <c r="CM60" s="745"/>
      <c r="CN60" s="148"/>
      <c r="CO60" s="148"/>
      <c r="CP60" s="998" t="s">
        <v>279</v>
      </c>
      <c r="CQ60" s="999"/>
      <c r="CR60" s="999"/>
      <c r="CS60" s="999"/>
      <c r="CT60" s="1000"/>
      <c r="CU60" s="998" t="s">
        <v>280</v>
      </c>
      <c r="CV60" s="999"/>
      <c r="CW60" s="999"/>
      <c r="CX60" s="999"/>
      <c r="CY60" s="1000"/>
      <c r="DB60" s="203"/>
      <c r="DC60" s="64"/>
      <c r="DE60" s="158"/>
      <c r="DF60" s="158"/>
      <c r="DG60" s="158"/>
      <c r="DH60" s="745"/>
      <c r="DI60" s="745"/>
      <c r="DJ60" s="745"/>
      <c r="DK60" s="148"/>
      <c r="DL60" s="148"/>
      <c r="DM60" s="745"/>
      <c r="DN60" s="148"/>
      <c r="DO60" s="148"/>
      <c r="DP60" s="998" t="s">
        <v>279</v>
      </c>
      <c r="DQ60" s="999"/>
      <c r="DR60" s="999"/>
      <c r="DS60" s="999"/>
      <c r="DT60" s="1000"/>
      <c r="DU60" s="998" t="s">
        <v>280</v>
      </c>
      <c r="DV60" s="999"/>
      <c r="DW60" s="999"/>
      <c r="DX60" s="999"/>
      <c r="DY60" s="1000"/>
    </row>
    <row r="61" spans="2:176" ht="51" x14ac:dyDescent="0.3">
      <c r="B61" s="204" t="s">
        <v>281</v>
      </c>
      <c r="C61" s="204" t="s">
        <v>282</v>
      </c>
      <c r="D61" s="205" t="s">
        <v>307</v>
      </c>
      <c r="E61" s="205" t="s">
        <v>308</v>
      </c>
      <c r="F61" s="205" t="s">
        <v>652</v>
      </c>
      <c r="G61" s="205" t="s">
        <v>653</v>
      </c>
      <c r="H61" s="171" t="s">
        <v>283</v>
      </c>
      <c r="I61" s="171" t="s">
        <v>10</v>
      </c>
      <c r="J61" s="171" t="s">
        <v>284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287</v>
      </c>
      <c r="N61" s="171" t="s">
        <v>288</v>
      </c>
      <c r="O61" s="171" t="s">
        <v>289</v>
      </c>
      <c r="P61" s="195" t="s">
        <v>290</v>
      </c>
      <c r="Q61" s="171" t="s">
        <v>291</v>
      </c>
      <c r="R61" s="171" t="s">
        <v>292</v>
      </c>
      <c r="S61" s="171" t="s">
        <v>293</v>
      </c>
      <c r="T61" s="198" t="s">
        <v>294</v>
      </c>
      <c r="U61" s="195" t="s">
        <v>295</v>
      </c>
      <c r="V61" s="171" t="s">
        <v>296</v>
      </c>
      <c r="W61" s="171" t="s">
        <v>297</v>
      </c>
      <c r="X61" s="171" t="s">
        <v>298</v>
      </c>
      <c r="Y61" s="198" t="s">
        <v>299</v>
      </c>
      <c r="AB61" s="204" t="s">
        <v>281</v>
      </c>
      <c r="AC61" s="204" t="s">
        <v>282</v>
      </c>
      <c r="AD61" s="205" t="s">
        <v>307</v>
      </c>
      <c r="AE61" s="205" t="s">
        <v>308</v>
      </c>
      <c r="AF61" s="205" t="s">
        <v>652</v>
      </c>
      <c r="AG61" s="205" t="s">
        <v>653</v>
      </c>
      <c r="AH61" s="171" t="s">
        <v>283</v>
      </c>
      <c r="AI61" s="171" t="s">
        <v>10</v>
      </c>
      <c r="AJ61" s="171" t="s">
        <v>284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287</v>
      </c>
      <c r="AN61" s="171" t="s">
        <v>288</v>
      </c>
      <c r="AO61" s="171" t="s">
        <v>289</v>
      </c>
      <c r="AP61" s="195" t="s">
        <v>290</v>
      </c>
      <c r="AQ61" s="171" t="s">
        <v>291</v>
      </c>
      <c r="AR61" s="171" t="s">
        <v>292</v>
      </c>
      <c r="AS61" s="171" t="s">
        <v>293</v>
      </c>
      <c r="AT61" s="198" t="s">
        <v>294</v>
      </c>
      <c r="AU61" s="195" t="s">
        <v>295</v>
      </c>
      <c r="AV61" s="171" t="s">
        <v>296</v>
      </c>
      <c r="AW61" s="171" t="s">
        <v>297</v>
      </c>
      <c r="AX61" s="171" t="s">
        <v>298</v>
      </c>
      <c r="AY61" s="198" t="s">
        <v>299</v>
      </c>
      <c r="BB61" s="204" t="s">
        <v>281</v>
      </c>
      <c r="BC61" s="204" t="s">
        <v>282</v>
      </c>
      <c r="BD61" s="205" t="s">
        <v>307</v>
      </c>
      <c r="BE61" s="205" t="s">
        <v>308</v>
      </c>
      <c r="BF61" s="205" t="s">
        <v>652</v>
      </c>
      <c r="BG61" s="205" t="s">
        <v>653</v>
      </c>
      <c r="BH61" s="171" t="s">
        <v>283</v>
      </c>
      <c r="BI61" s="171" t="s">
        <v>10</v>
      </c>
      <c r="BJ61" s="171" t="s">
        <v>284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287</v>
      </c>
      <c r="BN61" s="171" t="s">
        <v>288</v>
      </c>
      <c r="BO61" s="171" t="s">
        <v>289</v>
      </c>
      <c r="BP61" s="195" t="s">
        <v>290</v>
      </c>
      <c r="BQ61" s="171" t="s">
        <v>291</v>
      </c>
      <c r="BR61" s="171" t="s">
        <v>292</v>
      </c>
      <c r="BS61" s="171" t="s">
        <v>293</v>
      </c>
      <c r="BT61" s="198" t="s">
        <v>294</v>
      </c>
      <c r="BU61" s="195" t="s">
        <v>295</v>
      </c>
      <c r="BV61" s="171" t="s">
        <v>296</v>
      </c>
      <c r="BW61" s="171" t="s">
        <v>297</v>
      </c>
      <c r="BX61" s="171" t="s">
        <v>298</v>
      </c>
      <c r="BY61" s="198" t="s">
        <v>299</v>
      </c>
      <c r="CB61" s="204" t="s">
        <v>281</v>
      </c>
      <c r="CC61" s="204" t="s">
        <v>282</v>
      </c>
      <c r="CD61" s="205" t="s">
        <v>307</v>
      </c>
      <c r="CE61" s="205" t="s">
        <v>308</v>
      </c>
      <c r="CF61" s="205" t="s">
        <v>652</v>
      </c>
      <c r="CG61" s="205" t="s">
        <v>653</v>
      </c>
      <c r="CH61" s="171" t="s">
        <v>283</v>
      </c>
      <c r="CI61" s="171" t="s">
        <v>10</v>
      </c>
      <c r="CJ61" s="171" t="s">
        <v>284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287</v>
      </c>
      <c r="CN61" s="171" t="s">
        <v>288</v>
      </c>
      <c r="CO61" s="171" t="s">
        <v>289</v>
      </c>
      <c r="CP61" s="195" t="s">
        <v>290</v>
      </c>
      <c r="CQ61" s="171" t="s">
        <v>291</v>
      </c>
      <c r="CR61" s="171" t="s">
        <v>292</v>
      </c>
      <c r="CS61" s="171" t="s">
        <v>293</v>
      </c>
      <c r="CT61" s="198" t="s">
        <v>294</v>
      </c>
      <c r="CU61" s="195" t="s">
        <v>295</v>
      </c>
      <c r="CV61" s="171" t="s">
        <v>296</v>
      </c>
      <c r="CW61" s="171" t="s">
        <v>297</v>
      </c>
      <c r="CX61" s="171" t="s">
        <v>298</v>
      </c>
      <c r="CY61" s="198" t="s">
        <v>299</v>
      </c>
      <c r="DB61" s="204" t="s">
        <v>281</v>
      </c>
      <c r="DC61" s="204" t="s">
        <v>282</v>
      </c>
      <c r="DD61" s="205" t="s">
        <v>307</v>
      </c>
      <c r="DE61" s="205" t="s">
        <v>308</v>
      </c>
      <c r="DF61" s="205" t="s">
        <v>652</v>
      </c>
      <c r="DG61" s="205" t="s">
        <v>653</v>
      </c>
      <c r="DH61" s="171" t="s">
        <v>283</v>
      </c>
      <c r="DI61" s="171" t="s">
        <v>10</v>
      </c>
      <c r="DJ61" s="171" t="s">
        <v>284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287</v>
      </c>
      <c r="DN61" s="171" t="s">
        <v>288</v>
      </c>
      <c r="DO61" s="171" t="s">
        <v>289</v>
      </c>
      <c r="DP61" s="195" t="s">
        <v>290</v>
      </c>
      <c r="DQ61" s="171" t="s">
        <v>291</v>
      </c>
      <c r="DR61" s="171" t="s">
        <v>292</v>
      </c>
      <c r="DS61" s="171" t="s">
        <v>293</v>
      </c>
      <c r="DT61" s="198" t="s">
        <v>294</v>
      </c>
      <c r="DU61" s="195" t="s">
        <v>295</v>
      </c>
      <c r="DV61" s="171" t="s">
        <v>296</v>
      </c>
      <c r="DW61" s="171" t="s">
        <v>297</v>
      </c>
      <c r="DX61" s="171" t="s">
        <v>298</v>
      </c>
      <c r="DY61" s="198" t="s">
        <v>299</v>
      </c>
    </row>
    <row r="62" spans="2:176" x14ac:dyDescent="0.3">
      <c r="B62" s="173"/>
      <c r="C62" s="55"/>
      <c r="D62" s="226" t="s">
        <v>356</v>
      </c>
      <c r="E62" s="226" t="s">
        <v>476</v>
      </c>
      <c r="F62" s="226" t="s">
        <v>356</v>
      </c>
      <c r="G62" s="226" t="s">
        <v>476</v>
      </c>
      <c r="H62" s="201" t="s">
        <v>474</v>
      </c>
      <c r="I62" s="201" t="s">
        <v>474</v>
      </c>
      <c r="J62" s="201" t="s">
        <v>474</v>
      </c>
      <c r="K62" s="201" t="s">
        <v>474</v>
      </c>
      <c r="L62" s="201" t="s">
        <v>474</v>
      </c>
      <c r="M62" s="201" t="s">
        <v>474</v>
      </c>
      <c r="N62" s="201" t="s">
        <v>474</v>
      </c>
      <c r="O62" s="202" t="s">
        <v>474</v>
      </c>
      <c r="P62" s="201" t="s">
        <v>474</v>
      </c>
      <c r="Q62" s="201" t="s">
        <v>474</v>
      </c>
      <c r="R62" s="201" t="s">
        <v>474</v>
      </c>
      <c r="S62" s="201" t="s">
        <v>474</v>
      </c>
      <c r="T62" s="202" t="s">
        <v>474</v>
      </c>
      <c r="U62" s="201" t="s">
        <v>474</v>
      </c>
      <c r="V62" s="201" t="s">
        <v>474</v>
      </c>
      <c r="W62" s="201" t="s">
        <v>474</v>
      </c>
      <c r="X62" s="201" t="s">
        <v>474</v>
      </c>
      <c r="Y62" s="202" t="s">
        <v>474</v>
      </c>
      <c r="AB62" s="173"/>
      <c r="AC62" s="55"/>
      <c r="AD62" s="226" t="s">
        <v>356</v>
      </c>
      <c r="AE62" s="226" t="s">
        <v>476</v>
      </c>
      <c r="AF62" s="226" t="s">
        <v>356</v>
      </c>
      <c r="AG62" s="226" t="s">
        <v>476</v>
      </c>
      <c r="AH62" s="201" t="s">
        <v>474</v>
      </c>
      <c r="AI62" s="201" t="s">
        <v>474</v>
      </c>
      <c r="AJ62" s="201" t="s">
        <v>474</v>
      </c>
      <c r="AK62" s="201" t="s">
        <v>474</v>
      </c>
      <c r="AL62" s="201" t="s">
        <v>474</v>
      </c>
      <c r="AM62" s="201" t="s">
        <v>474</v>
      </c>
      <c r="AN62" s="201" t="s">
        <v>474</v>
      </c>
      <c r="AO62" s="202" t="s">
        <v>474</v>
      </c>
      <c r="AP62" s="201" t="s">
        <v>474</v>
      </c>
      <c r="AQ62" s="201" t="s">
        <v>474</v>
      </c>
      <c r="AR62" s="201" t="s">
        <v>474</v>
      </c>
      <c r="AS62" s="201" t="s">
        <v>474</v>
      </c>
      <c r="AT62" s="202" t="s">
        <v>474</v>
      </c>
      <c r="AU62" s="201" t="s">
        <v>474</v>
      </c>
      <c r="AV62" s="201" t="s">
        <v>474</v>
      </c>
      <c r="AW62" s="201" t="s">
        <v>474</v>
      </c>
      <c r="AX62" s="201" t="s">
        <v>474</v>
      </c>
      <c r="AY62" s="202" t="s">
        <v>474</v>
      </c>
      <c r="BB62" s="173"/>
      <c r="BC62" s="55"/>
      <c r="BD62" s="226" t="s">
        <v>356</v>
      </c>
      <c r="BE62" s="226" t="s">
        <v>476</v>
      </c>
      <c r="BF62" s="226" t="s">
        <v>356</v>
      </c>
      <c r="BG62" s="226" t="s">
        <v>476</v>
      </c>
      <c r="BH62" s="201" t="s">
        <v>474</v>
      </c>
      <c r="BI62" s="201" t="s">
        <v>474</v>
      </c>
      <c r="BJ62" s="201" t="s">
        <v>474</v>
      </c>
      <c r="BK62" s="201" t="s">
        <v>474</v>
      </c>
      <c r="BL62" s="201" t="s">
        <v>474</v>
      </c>
      <c r="BM62" s="201" t="s">
        <v>474</v>
      </c>
      <c r="BN62" s="201" t="s">
        <v>474</v>
      </c>
      <c r="BO62" s="202" t="s">
        <v>474</v>
      </c>
      <c r="BP62" s="201" t="s">
        <v>474</v>
      </c>
      <c r="BQ62" s="201" t="s">
        <v>474</v>
      </c>
      <c r="BR62" s="201" t="s">
        <v>474</v>
      </c>
      <c r="BS62" s="201" t="s">
        <v>474</v>
      </c>
      <c r="BT62" s="202" t="s">
        <v>474</v>
      </c>
      <c r="BU62" s="201" t="s">
        <v>474</v>
      </c>
      <c r="BV62" s="201" t="s">
        <v>474</v>
      </c>
      <c r="BW62" s="201" t="s">
        <v>474</v>
      </c>
      <c r="BX62" s="201" t="s">
        <v>474</v>
      </c>
      <c r="BY62" s="202" t="s">
        <v>474</v>
      </c>
      <c r="CB62" s="173"/>
      <c r="CC62" s="55"/>
      <c r="CD62" s="226" t="s">
        <v>356</v>
      </c>
      <c r="CE62" s="226" t="s">
        <v>476</v>
      </c>
      <c r="CF62" s="226" t="s">
        <v>356</v>
      </c>
      <c r="CG62" s="226" t="s">
        <v>476</v>
      </c>
      <c r="CH62" s="201" t="s">
        <v>474</v>
      </c>
      <c r="CI62" s="201" t="s">
        <v>474</v>
      </c>
      <c r="CJ62" s="201" t="s">
        <v>474</v>
      </c>
      <c r="CK62" s="201" t="s">
        <v>474</v>
      </c>
      <c r="CL62" s="201" t="s">
        <v>474</v>
      </c>
      <c r="CM62" s="201" t="s">
        <v>474</v>
      </c>
      <c r="CN62" s="201" t="s">
        <v>474</v>
      </c>
      <c r="CO62" s="202" t="s">
        <v>474</v>
      </c>
      <c r="CP62" s="201" t="s">
        <v>474</v>
      </c>
      <c r="CQ62" s="201" t="s">
        <v>474</v>
      </c>
      <c r="CR62" s="201" t="s">
        <v>474</v>
      </c>
      <c r="CS62" s="201" t="s">
        <v>474</v>
      </c>
      <c r="CT62" s="202" t="s">
        <v>474</v>
      </c>
      <c r="CU62" s="201" t="s">
        <v>474</v>
      </c>
      <c r="CV62" s="201" t="s">
        <v>474</v>
      </c>
      <c r="CW62" s="201" t="s">
        <v>474</v>
      </c>
      <c r="CX62" s="201" t="s">
        <v>474</v>
      </c>
      <c r="CY62" s="202" t="s">
        <v>474</v>
      </c>
      <c r="DB62" s="173"/>
      <c r="DC62" s="55"/>
      <c r="DD62" s="226" t="s">
        <v>356</v>
      </c>
      <c r="DE62" s="226" t="s">
        <v>476</v>
      </c>
      <c r="DF62" s="226" t="s">
        <v>356</v>
      </c>
      <c r="DG62" s="226" t="s">
        <v>476</v>
      </c>
      <c r="DH62" s="201" t="s">
        <v>474</v>
      </c>
      <c r="DI62" s="201" t="s">
        <v>474</v>
      </c>
      <c r="DJ62" s="201" t="s">
        <v>474</v>
      </c>
      <c r="DK62" s="201" t="s">
        <v>474</v>
      </c>
      <c r="DL62" s="201" t="s">
        <v>474</v>
      </c>
      <c r="DM62" s="201" t="s">
        <v>474</v>
      </c>
      <c r="DN62" s="201" t="s">
        <v>474</v>
      </c>
      <c r="DO62" s="202" t="s">
        <v>474</v>
      </c>
      <c r="DP62" s="201" t="s">
        <v>474</v>
      </c>
      <c r="DQ62" s="201" t="s">
        <v>474</v>
      </c>
      <c r="DR62" s="201" t="s">
        <v>474</v>
      </c>
      <c r="DS62" s="201" t="s">
        <v>474</v>
      </c>
      <c r="DT62" s="202" t="s">
        <v>474</v>
      </c>
      <c r="DU62" s="201" t="s">
        <v>474</v>
      </c>
      <c r="DV62" s="201" t="s">
        <v>474</v>
      </c>
      <c r="DW62" s="201" t="s">
        <v>474</v>
      </c>
      <c r="DX62" s="201" t="s">
        <v>474</v>
      </c>
      <c r="DY62" s="202" t="s">
        <v>474</v>
      </c>
    </row>
    <row r="63" spans="2:176" x14ac:dyDescent="0.3">
      <c r="B63" s="204">
        <v>1</v>
      </c>
      <c r="C63" s="219" t="s">
        <v>4</v>
      </c>
      <c r="D63" s="747">
        <f>'Arable Inputs'!$D$18</f>
        <v>8.25</v>
      </c>
      <c r="E63" s="747">
        <f>'Arable Inputs'!$D$25</f>
        <v>162</v>
      </c>
      <c r="F63" s="747">
        <f>'Arable Inputs'!$D$19</f>
        <v>3.9</v>
      </c>
      <c r="G63" s="747">
        <f>'Arable Inputs'!$D$26</f>
        <v>65</v>
      </c>
      <c r="H63" s="749">
        <f>D63*E63+F63*G63</f>
        <v>1590</v>
      </c>
      <c r="I63" s="197">
        <f>'Arable NPV'!$E143</f>
        <v>220</v>
      </c>
      <c r="J63" s="197">
        <f>H63+I63</f>
        <v>1810</v>
      </c>
      <c r="K63" s="197">
        <f>'Arable NPV'!$G143</f>
        <v>684.46423508399835</v>
      </c>
      <c r="L63" s="197">
        <f>'Arable NPV'!$H143</f>
        <v>841.31999999999994</v>
      </c>
      <c r="M63" s="197">
        <f>K63+L63</f>
        <v>1525.7842350839983</v>
      </c>
      <c r="N63" s="197">
        <f t="shared" ref="N63:N78" si="134">H63-M63</f>
        <v>64.215764916001717</v>
      </c>
      <c r="O63" s="197">
        <f t="shared" ref="O63:O78" si="135">J63-M63</f>
        <v>284.21576491600172</v>
      </c>
      <c r="P63" s="1016">
        <f t="shared" ref="P63:P78" si="136">H63/(1+$B$4)^(B63-1)</f>
        <v>1590</v>
      </c>
      <c r="Q63" s="213">
        <f t="shared" ref="Q63:Q78" si="137">I63/(1+$B$4)^(B63-1)</f>
        <v>220</v>
      </c>
      <c r="R63" s="213">
        <f t="shared" ref="R63:R78" si="138">M63/(1+$B$4)^(B63-1)</f>
        <v>1525.7842350839983</v>
      </c>
      <c r="S63" s="213">
        <f t="shared" ref="S63:S78" si="139">N63/(1+$B$4)^(B63-1)</f>
        <v>64.215764916001717</v>
      </c>
      <c r="T63" s="908">
        <f t="shared" ref="T63:T78" si="140">O63/(1+$B$4)^(B63-1)</f>
        <v>284.21576491600172</v>
      </c>
      <c r="U63" s="196">
        <f>P63</f>
        <v>1590</v>
      </c>
      <c r="V63" s="197">
        <f>Q63</f>
        <v>220</v>
      </c>
      <c r="W63" s="197">
        <f>R63</f>
        <v>1525.7842350839983</v>
      </c>
      <c r="X63" s="197">
        <f>S63</f>
        <v>64.215764916001717</v>
      </c>
      <c r="Y63" s="199">
        <f>T63</f>
        <v>284.21576491600172</v>
      </c>
      <c r="AB63" s="204">
        <v>1</v>
      </c>
      <c r="AC63" s="219" t="s">
        <v>4</v>
      </c>
      <c r="AD63" s="747">
        <f>'Arable Inputs'!$D$18</f>
        <v>8.25</v>
      </c>
      <c r="AE63" s="747">
        <f>'Arable Inputs'!$D$25</f>
        <v>162</v>
      </c>
      <c r="AF63" s="747">
        <f>'Arable Inputs'!$D$19</f>
        <v>3.9</v>
      </c>
      <c r="AG63" s="747">
        <f>'Arable Inputs'!$D$26</f>
        <v>65</v>
      </c>
      <c r="AH63" s="749">
        <f>AD63*AE63+AF63*AG63</f>
        <v>1590</v>
      </c>
      <c r="AI63" s="197">
        <f>'Arable NPV'!$E143</f>
        <v>220</v>
      </c>
      <c r="AJ63" s="197">
        <f t="shared" ref="AJ63:AJ78" si="141">AH63+AI63</f>
        <v>1810</v>
      </c>
      <c r="AK63" s="197">
        <f>'Arable NPV'!$G143</f>
        <v>684.46423508399835</v>
      </c>
      <c r="AL63" s="197">
        <f>'Arable NPV'!$H143</f>
        <v>841.31999999999994</v>
      </c>
      <c r="AM63" s="197">
        <f>'Arable NPV'!$I143+0.5*'Arable NPV'!$I143</f>
        <v>2288.6763526259974</v>
      </c>
      <c r="AN63" s="197">
        <f t="shared" ref="AN63:AN78" si="142">AH63-AM63</f>
        <v>-698.67635262599742</v>
      </c>
      <c r="AO63" s="197">
        <f>AJ63-AM63</f>
        <v>-478.67635262599742</v>
      </c>
      <c r="AP63" s="1016">
        <f t="shared" ref="AP63:AP78" si="143">AH63/(1+$B$4)^(AB63-1)</f>
        <v>1590</v>
      </c>
      <c r="AQ63" s="213">
        <f t="shared" ref="AQ63:AQ78" si="144">AI63/(1+$B$4)^(AB63-1)</f>
        <v>220</v>
      </c>
      <c r="AR63" s="213">
        <f t="shared" ref="AR63:AR78" si="145">AM63/(1+$B$4)^(AB63-1)</f>
        <v>2288.6763526259974</v>
      </c>
      <c r="AS63" s="213">
        <f t="shared" ref="AS63:AS78" si="146">AN63/(1+$B$4)^(AB63-1)</f>
        <v>-698.67635262599742</v>
      </c>
      <c r="AT63" s="908">
        <f t="shared" ref="AT63:AT78" si="147">AO63/(1+$B$4)^(AB63-1)</f>
        <v>-478.67635262599742</v>
      </c>
      <c r="AU63" s="196">
        <f>AP63</f>
        <v>1590</v>
      </c>
      <c r="AV63" s="197">
        <f>AQ63</f>
        <v>220</v>
      </c>
      <c r="AW63" s="197">
        <f>AR63</f>
        <v>2288.6763526259974</v>
      </c>
      <c r="AX63" s="197">
        <f>AS63</f>
        <v>-698.67635262599742</v>
      </c>
      <c r="AY63" s="199">
        <f>AT63</f>
        <v>-478.67635262599742</v>
      </c>
      <c r="BB63" s="204">
        <v>1</v>
      </c>
      <c r="BC63" s="219" t="s">
        <v>4</v>
      </c>
      <c r="BD63" s="747">
        <f>'Arable Inputs'!$D$18</f>
        <v>8.25</v>
      </c>
      <c r="BE63" s="747">
        <f>'Arable Inputs'!$D$25</f>
        <v>162</v>
      </c>
      <c r="BF63" s="747">
        <f>'Arable Inputs'!$D$19</f>
        <v>3.9</v>
      </c>
      <c r="BG63" s="747">
        <f>'Arable Inputs'!$D$26</f>
        <v>65</v>
      </c>
      <c r="BH63" s="749">
        <f>BD63*BE63+BF63*BG63</f>
        <v>1590</v>
      </c>
      <c r="BI63" s="197">
        <f>'Arable NPV'!$E143</f>
        <v>220</v>
      </c>
      <c r="BJ63" s="197">
        <f t="shared" ref="BJ63:BJ78" si="148">BH63+BI63</f>
        <v>1810</v>
      </c>
      <c r="BK63" s="197">
        <f>'Arable NPV'!$G143</f>
        <v>684.46423508399835</v>
      </c>
      <c r="BL63" s="197">
        <f>'Arable NPV'!$H143</f>
        <v>841.31999999999994</v>
      </c>
      <c r="BM63" s="197">
        <f>'Arable NPV'!$I143-0.5*'Arable NPV'!$I143</f>
        <v>762.89211754199914</v>
      </c>
      <c r="BN63" s="197">
        <f t="shared" ref="BN63:BN78" si="149">BH63-BM63</f>
        <v>827.10788245800086</v>
      </c>
      <c r="BO63" s="197">
        <f>BJ63-BM63</f>
        <v>1047.1078824580009</v>
      </c>
      <c r="BP63" s="1016">
        <f t="shared" ref="BP63:BP78" si="150">BH63/(1+$B$4)^(BB63-1)</f>
        <v>1590</v>
      </c>
      <c r="BQ63" s="213">
        <f t="shared" ref="BQ63:BQ78" si="151">BI63/(1+$B$4)^(BB63-1)</f>
        <v>220</v>
      </c>
      <c r="BR63" s="213">
        <f t="shared" ref="BR63:BR78" si="152">BM63/(1+$B$4)^(BB63-1)</f>
        <v>762.89211754199914</v>
      </c>
      <c r="BS63" s="213">
        <f t="shared" ref="BS63:BS78" si="153">BN63/(1+$B$4)^(BB63-1)</f>
        <v>827.10788245800086</v>
      </c>
      <c r="BT63" s="908">
        <f t="shared" ref="BT63:BT78" si="154">BO63/(1+$B$4)^(BB63-1)</f>
        <v>1047.1078824580009</v>
      </c>
      <c r="BU63" s="196">
        <f>BP63</f>
        <v>1590</v>
      </c>
      <c r="BV63" s="197">
        <f>BQ63</f>
        <v>220</v>
      </c>
      <c r="BW63" s="197">
        <f>BR63</f>
        <v>762.89211754199914</v>
      </c>
      <c r="BX63" s="197">
        <f>BS63</f>
        <v>827.10788245800086</v>
      </c>
      <c r="BY63" s="199">
        <f>BT63</f>
        <v>1047.1078824580009</v>
      </c>
      <c r="CB63" s="204">
        <v>1</v>
      </c>
      <c r="CC63" s="219" t="s">
        <v>4</v>
      </c>
      <c r="CD63" s="747">
        <f>'Arable Inputs'!$D$18</f>
        <v>8.25</v>
      </c>
      <c r="CE63" s="747">
        <f>'Arable Inputs'!$D$25</f>
        <v>162</v>
      </c>
      <c r="CF63" s="747">
        <f>'Arable Inputs'!$D$19</f>
        <v>3.9</v>
      </c>
      <c r="CG63" s="747">
        <f>'Arable Inputs'!$D$26</f>
        <v>65</v>
      </c>
      <c r="CH63" s="749">
        <f>CD63*CE63+CF63*CG63</f>
        <v>1590</v>
      </c>
      <c r="CI63" s="197">
        <f>'Arable NPV'!$E143</f>
        <v>220</v>
      </c>
      <c r="CJ63" s="197">
        <f>CH63+CI63</f>
        <v>1810</v>
      </c>
      <c r="CK63" s="197">
        <f>'Arable NPV'!$G143</f>
        <v>684.46423508399835</v>
      </c>
      <c r="CL63" s="197">
        <f>'Arable NPV'!$H143</f>
        <v>841.31999999999994</v>
      </c>
      <c r="CM63" s="197">
        <f>'Arable NPV'!$I143+'Arable NPV'!$I143</f>
        <v>3051.5684701679966</v>
      </c>
      <c r="CN63" s="197">
        <f>CH63-CM63</f>
        <v>-1461.5684701679966</v>
      </c>
      <c r="CO63" s="197">
        <f>CJ63-CM63</f>
        <v>-1241.5684701679966</v>
      </c>
      <c r="CP63" s="1016">
        <f t="shared" ref="CP63:CP78" si="155">CH63/(1+$B$4)^(CB63-1)</f>
        <v>1590</v>
      </c>
      <c r="CQ63" s="213">
        <f t="shared" ref="CQ63:CQ78" si="156">CI63/(1+$B$4)^(CB63-1)</f>
        <v>220</v>
      </c>
      <c r="CR63" s="213">
        <f t="shared" ref="CR63:CR78" si="157">CM63/(1+$B$4)^(CB63-1)</f>
        <v>3051.5684701679966</v>
      </c>
      <c r="CS63" s="213">
        <f t="shared" ref="CS63:CS78" si="158">CN63/(1+$B$4)^(CB63-1)</f>
        <v>-1461.5684701679966</v>
      </c>
      <c r="CT63" s="908">
        <f t="shared" ref="CT63:CT78" si="159">CO63/(1+$B$4)^(CB63-1)</f>
        <v>-1241.5684701679966</v>
      </c>
      <c r="CU63" s="196">
        <f>CP63</f>
        <v>1590</v>
      </c>
      <c r="CV63" s="197">
        <f>CQ63</f>
        <v>220</v>
      </c>
      <c r="CW63" s="197">
        <f>CR63</f>
        <v>3051.5684701679966</v>
      </c>
      <c r="CX63" s="197">
        <f>CS63</f>
        <v>-1461.5684701679966</v>
      </c>
      <c r="CY63" s="199">
        <f>CT63</f>
        <v>-1241.5684701679966</v>
      </c>
      <c r="DB63" s="204">
        <v>1</v>
      </c>
      <c r="DC63" s="219" t="s">
        <v>4</v>
      </c>
      <c r="DD63" s="747">
        <f>'Arable Inputs'!$D$18</f>
        <v>8.25</v>
      </c>
      <c r="DE63" s="747">
        <f>'Arable Inputs'!$D$25</f>
        <v>162</v>
      </c>
      <c r="DF63" s="747">
        <f>'Arable Inputs'!$D$19</f>
        <v>3.9</v>
      </c>
      <c r="DG63" s="747">
        <f>'Arable Inputs'!$D$26</f>
        <v>65</v>
      </c>
      <c r="DH63" s="749">
        <f>DD63*DE63+DF63*DG63</f>
        <v>1590</v>
      </c>
      <c r="DI63" s="197">
        <f>'Arable NPV'!$E143</f>
        <v>220</v>
      </c>
      <c r="DJ63" s="197">
        <f>DH63+DI63</f>
        <v>1810</v>
      </c>
      <c r="DK63" s="197">
        <f>'Arable NPV'!$G143</f>
        <v>684.46423508399835</v>
      </c>
      <c r="DL63" s="197">
        <f>'Arable NPV'!$H143</f>
        <v>841.31999999999994</v>
      </c>
      <c r="DM63" s="197">
        <f>'Arable NPV'!$I143-'Arable NPV'!$I143</f>
        <v>0</v>
      </c>
      <c r="DN63" s="197">
        <f>DH63-DM63</f>
        <v>1590</v>
      </c>
      <c r="DO63" s="197">
        <f>DJ63-DM63</f>
        <v>1810</v>
      </c>
      <c r="DP63" s="1016">
        <f t="shared" ref="DP63:DP78" si="160">DH63/(1+$B$4)^(DB63-1)</f>
        <v>1590</v>
      </c>
      <c r="DQ63" s="213">
        <f t="shared" ref="DQ63:DQ78" si="161">DI63/(1+$B$4)^(DB63-1)</f>
        <v>220</v>
      </c>
      <c r="DR63" s="213">
        <f t="shared" ref="DR63:DR78" si="162">DM63/(1+$B$4)^(DB63-1)</f>
        <v>0</v>
      </c>
      <c r="DS63" s="213">
        <f t="shared" ref="DS63:DS78" si="163">DN63/(1+$B$4)^(DB63-1)</f>
        <v>1590</v>
      </c>
      <c r="DT63" s="908">
        <f t="shared" ref="DT63:DT78" si="164">DO63/(1+$B$4)^(DB63-1)</f>
        <v>1810</v>
      </c>
      <c r="DU63" s="196">
        <f>DP63</f>
        <v>1590</v>
      </c>
      <c r="DV63" s="197">
        <f>DQ63</f>
        <v>220</v>
      </c>
      <c r="DW63" s="197">
        <f>DR63</f>
        <v>0</v>
      </c>
      <c r="DX63" s="197">
        <f>DS63</f>
        <v>1590</v>
      </c>
      <c r="DY63" s="199">
        <f>DT63</f>
        <v>1810</v>
      </c>
    </row>
    <row r="64" spans="2:176" x14ac:dyDescent="0.3">
      <c r="B64" s="204">
        <v>2</v>
      </c>
      <c r="C64" s="219" t="s">
        <v>7</v>
      </c>
      <c r="D64" s="747">
        <f>'Arable Inputs'!$G$18</f>
        <v>78</v>
      </c>
      <c r="E64" s="747">
        <f>'Arable Inputs'!$G$25</f>
        <v>27.16</v>
      </c>
      <c r="H64" s="749">
        <f t="shared" ref="H64:H75" si="165">D64*E64</f>
        <v>2118.48</v>
      </c>
      <c r="I64" s="197">
        <f>'Arable NPV'!$E144</f>
        <v>220</v>
      </c>
      <c r="J64" s="197">
        <f t="shared" ref="J64:J78" si="166">H64+I64</f>
        <v>2338.48</v>
      </c>
      <c r="K64" s="197">
        <f>'Arable NPV'!$G144</f>
        <v>793.83573723279574</v>
      </c>
      <c r="L64" s="197">
        <f>'Arable NPV'!$H144</f>
        <v>841.03</v>
      </c>
      <c r="M64" s="197">
        <f t="shared" ref="M64:M78" si="167">K64+L64</f>
        <v>1634.8657372327957</v>
      </c>
      <c r="N64" s="197">
        <f t="shared" si="134"/>
        <v>483.61426276720431</v>
      </c>
      <c r="O64" s="197">
        <f t="shared" si="135"/>
        <v>703.61426276720431</v>
      </c>
      <c r="P64" s="196">
        <f t="shared" si="136"/>
        <v>2037</v>
      </c>
      <c r="Q64" s="197">
        <f t="shared" si="137"/>
        <v>211.53846153846152</v>
      </c>
      <c r="R64" s="197">
        <f t="shared" si="138"/>
        <v>1571.986285800765</v>
      </c>
      <c r="S64" s="197">
        <f t="shared" si="139"/>
        <v>465.01371419923487</v>
      </c>
      <c r="T64" s="199">
        <f t="shared" si="140"/>
        <v>676.55217573769642</v>
      </c>
      <c r="U64" s="196">
        <f t="shared" ref="U64:Y78" si="168">U63+P64</f>
        <v>3627</v>
      </c>
      <c r="V64" s="197">
        <f t="shared" si="168"/>
        <v>431.53846153846155</v>
      </c>
      <c r="W64" s="197">
        <f t="shared" si="168"/>
        <v>3097.7705208847633</v>
      </c>
      <c r="X64" s="197">
        <f t="shared" si="168"/>
        <v>529.22947911523659</v>
      </c>
      <c r="Y64" s="199">
        <f t="shared" si="168"/>
        <v>960.76794065369813</v>
      </c>
      <c r="AB64" s="204">
        <v>2</v>
      </c>
      <c r="AC64" s="219" t="s">
        <v>7</v>
      </c>
      <c r="AD64" s="747">
        <f>'Arable Inputs'!$G$18</f>
        <v>78</v>
      </c>
      <c r="AE64" s="747">
        <f>'Arable Inputs'!$G$25</f>
        <v>27.16</v>
      </c>
      <c r="AH64" s="749">
        <f>AD64*AE64</f>
        <v>2118.48</v>
      </c>
      <c r="AI64" s="197">
        <f>'Arable NPV'!$E144</f>
        <v>220</v>
      </c>
      <c r="AJ64" s="197">
        <f t="shared" si="141"/>
        <v>2338.48</v>
      </c>
      <c r="AK64" s="197">
        <f>'Arable NPV'!$G144</f>
        <v>793.83573723279574</v>
      </c>
      <c r="AL64" s="197">
        <f>'Arable NPV'!$H144</f>
        <v>841.03</v>
      </c>
      <c r="AM64" s="197">
        <f>'Arable NPV'!$I144+0.5*'Arable NPV'!$I144</f>
        <v>2452.2986058491933</v>
      </c>
      <c r="AN64" s="197">
        <f t="shared" si="142"/>
        <v>-333.81860584919332</v>
      </c>
      <c r="AO64" s="197">
        <f t="shared" ref="AO64:AO78" si="169">AJ64-AM64</f>
        <v>-113.81860584919332</v>
      </c>
      <c r="AP64" s="196">
        <f t="shared" si="143"/>
        <v>2037</v>
      </c>
      <c r="AQ64" s="197">
        <f t="shared" si="144"/>
        <v>211.53846153846152</v>
      </c>
      <c r="AR64" s="197">
        <f t="shared" si="145"/>
        <v>2357.9794287011473</v>
      </c>
      <c r="AS64" s="197">
        <f t="shared" si="146"/>
        <v>-320.97942870114741</v>
      </c>
      <c r="AT64" s="199">
        <f t="shared" si="147"/>
        <v>-109.44096716268588</v>
      </c>
      <c r="AU64" s="196">
        <f t="shared" ref="AU64:AY78" si="170">AU63+AP64</f>
        <v>3627</v>
      </c>
      <c r="AV64" s="197">
        <f t="shared" si="170"/>
        <v>431.53846153846155</v>
      </c>
      <c r="AW64" s="197">
        <f t="shared" si="170"/>
        <v>4646.6557813271447</v>
      </c>
      <c r="AX64" s="197">
        <f t="shared" si="170"/>
        <v>-1019.6557813271448</v>
      </c>
      <c r="AY64" s="199">
        <f t="shared" si="170"/>
        <v>-588.11731978868329</v>
      </c>
      <c r="BB64" s="204">
        <v>2</v>
      </c>
      <c r="BC64" s="219" t="s">
        <v>7</v>
      </c>
      <c r="BD64" s="747">
        <f>'Arable Inputs'!$G$18</f>
        <v>78</v>
      </c>
      <c r="BE64" s="747">
        <f>'Arable Inputs'!$G$25</f>
        <v>27.16</v>
      </c>
      <c r="BH64" s="749">
        <f>BD64*BE64</f>
        <v>2118.48</v>
      </c>
      <c r="BI64" s="197">
        <f>'Arable NPV'!$E144</f>
        <v>220</v>
      </c>
      <c r="BJ64" s="197">
        <f t="shared" si="148"/>
        <v>2338.48</v>
      </c>
      <c r="BK64" s="197">
        <f>'Arable NPV'!$G144</f>
        <v>793.83573723279574</v>
      </c>
      <c r="BL64" s="197">
        <f>'Arable NPV'!$H144</f>
        <v>841.03</v>
      </c>
      <c r="BM64" s="197">
        <f>'Arable NPV'!$I144-0.5*'Arable NPV'!$I144</f>
        <v>817.43286861639785</v>
      </c>
      <c r="BN64" s="197">
        <f t="shared" si="149"/>
        <v>1301.0471313836022</v>
      </c>
      <c r="BO64" s="197">
        <f t="shared" ref="BO64:BO78" si="171">BJ64-BM64</f>
        <v>1521.0471313836022</v>
      </c>
      <c r="BP64" s="196">
        <f t="shared" si="150"/>
        <v>2037</v>
      </c>
      <c r="BQ64" s="197">
        <f t="shared" si="151"/>
        <v>211.53846153846152</v>
      </c>
      <c r="BR64" s="197">
        <f t="shared" si="152"/>
        <v>785.99314290038251</v>
      </c>
      <c r="BS64" s="197">
        <f t="shared" si="153"/>
        <v>1251.0068570996175</v>
      </c>
      <c r="BT64" s="199">
        <f t="shared" si="154"/>
        <v>1462.5453186380789</v>
      </c>
      <c r="BU64" s="196">
        <f t="shared" ref="BU64:BY78" si="172">BU63+BP64</f>
        <v>3627</v>
      </c>
      <c r="BV64" s="197">
        <f t="shared" si="172"/>
        <v>431.53846153846155</v>
      </c>
      <c r="BW64" s="197">
        <f t="shared" si="172"/>
        <v>1548.8852604423817</v>
      </c>
      <c r="BX64" s="197">
        <f t="shared" si="172"/>
        <v>2078.1147395576181</v>
      </c>
      <c r="BY64" s="199">
        <f t="shared" si="172"/>
        <v>2509.65320109608</v>
      </c>
      <c r="CB64" s="204">
        <v>2</v>
      </c>
      <c r="CC64" s="219" t="s">
        <v>7</v>
      </c>
      <c r="CD64" s="747">
        <f>'Arable Inputs'!$G$18</f>
        <v>78</v>
      </c>
      <c r="CE64" s="747">
        <f>'Arable Inputs'!$G$25</f>
        <v>27.16</v>
      </c>
      <c r="CH64" s="749">
        <f>CD64*CE64</f>
        <v>2118.48</v>
      </c>
      <c r="CI64" s="197">
        <f>'Arable NPV'!$E144</f>
        <v>220</v>
      </c>
      <c r="CJ64" s="197">
        <f t="shared" ref="CJ64:CJ78" si="173">CH64+CI64</f>
        <v>2338.48</v>
      </c>
      <c r="CK64" s="197">
        <f>'Arable NPV'!$G144</f>
        <v>793.83573723279574</v>
      </c>
      <c r="CL64" s="197">
        <f>'Arable NPV'!$H144</f>
        <v>841.03</v>
      </c>
      <c r="CM64" s="197">
        <f>'Arable NPV'!$I144+'Arable NPV'!$I144</f>
        <v>3269.7314744655914</v>
      </c>
      <c r="CN64" s="197">
        <f t="shared" ref="CN64:CN78" si="174">CH64-CM64</f>
        <v>-1151.2514744655914</v>
      </c>
      <c r="CO64" s="197">
        <f t="shared" ref="CO64:CO78" si="175">CJ64-CM64</f>
        <v>-931.2514744655914</v>
      </c>
      <c r="CP64" s="196">
        <f t="shared" si="155"/>
        <v>2037</v>
      </c>
      <c r="CQ64" s="197">
        <f t="shared" si="156"/>
        <v>211.53846153846152</v>
      </c>
      <c r="CR64" s="197">
        <f t="shared" si="157"/>
        <v>3143.97257160153</v>
      </c>
      <c r="CS64" s="197">
        <f t="shared" si="158"/>
        <v>-1106.9725716015303</v>
      </c>
      <c r="CT64" s="199">
        <f t="shared" si="159"/>
        <v>-895.4341100630686</v>
      </c>
      <c r="CU64" s="196">
        <f t="shared" ref="CU64:CX78" si="176">CU63+CP64</f>
        <v>3627</v>
      </c>
      <c r="CV64" s="197">
        <f t="shared" si="176"/>
        <v>431.53846153846155</v>
      </c>
      <c r="CW64" s="197">
        <f t="shared" si="176"/>
        <v>6195.5410417695266</v>
      </c>
      <c r="CX64" s="197">
        <f t="shared" si="176"/>
        <v>-2568.5410417695266</v>
      </c>
      <c r="CY64" s="199">
        <f t="shared" ref="CY64:CY78" si="177">CY63+CT64</f>
        <v>-2137.0025802310652</v>
      </c>
      <c r="DB64" s="204">
        <v>2</v>
      </c>
      <c r="DC64" s="219" t="s">
        <v>7</v>
      </c>
      <c r="DD64" s="747">
        <f>'Arable Inputs'!$G$18</f>
        <v>78</v>
      </c>
      <c r="DE64" s="747">
        <f>'Arable Inputs'!$G$25</f>
        <v>27.16</v>
      </c>
      <c r="DH64" s="749">
        <f>DD64*DE64</f>
        <v>2118.48</v>
      </c>
      <c r="DI64" s="197">
        <f>'Arable NPV'!$E144</f>
        <v>220</v>
      </c>
      <c r="DJ64" s="197">
        <f t="shared" ref="DJ64:DJ78" si="178">DH64+DI64</f>
        <v>2338.48</v>
      </c>
      <c r="DK64" s="197">
        <f>'Arable NPV'!$G144</f>
        <v>793.83573723279574</v>
      </c>
      <c r="DL64" s="197">
        <f>'Arable NPV'!$H144</f>
        <v>841.03</v>
      </c>
      <c r="DM64" s="197">
        <f>'Arable NPV'!$I144-'Arable NPV'!$I144</f>
        <v>0</v>
      </c>
      <c r="DN64" s="197">
        <f t="shared" ref="DN64:DN78" si="179">DH64-DM64</f>
        <v>2118.48</v>
      </c>
      <c r="DO64" s="197">
        <f t="shared" ref="DO64:DO78" si="180">DJ64-DM64</f>
        <v>2338.48</v>
      </c>
      <c r="DP64" s="196">
        <f t="shared" si="160"/>
        <v>2037</v>
      </c>
      <c r="DQ64" s="197">
        <f t="shared" si="161"/>
        <v>211.53846153846152</v>
      </c>
      <c r="DR64" s="197">
        <f t="shared" si="162"/>
        <v>0</v>
      </c>
      <c r="DS64" s="197">
        <f t="shared" si="163"/>
        <v>2037</v>
      </c>
      <c r="DT64" s="199">
        <f t="shared" si="164"/>
        <v>2248.5384615384614</v>
      </c>
      <c r="DU64" s="196">
        <f t="shared" ref="DU64:DY78" si="181">DU63+DP64</f>
        <v>3627</v>
      </c>
      <c r="DV64" s="197">
        <f t="shared" si="181"/>
        <v>431.53846153846155</v>
      </c>
      <c r="DW64" s="197">
        <f t="shared" si="181"/>
        <v>0</v>
      </c>
      <c r="DX64" s="197">
        <f t="shared" si="181"/>
        <v>3627</v>
      </c>
      <c r="DY64" s="199">
        <f t="shared" si="181"/>
        <v>4058.5384615384614</v>
      </c>
    </row>
    <row r="65" spans="2:129" x14ac:dyDescent="0.3">
      <c r="B65" s="204">
        <f t="shared" ref="B65:B78" si="182">B64+1</f>
        <v>3</v>
      </c>
      <c r="C65" s="219" t="s">
        <v>31</v>
      </c>
      <c r="D65" s="747">
        <f>'Arable Inputs'!$H$18</f>
        <v>12</v>
      </c>
      <c r="E65" s="747">
        <f>'Arable Inputs'!$H$25</f>
        <v>107.1</v>
      </c>
      <c r="H65" s="749">
        <f t="shared" si="165"/>
        <v>1285.1999999999998</v>
      </c>
      <c r="I65" s="197">
        <f>'Arable NPV'!$E145</f>
        <v>220</v>
      </c>
      <c r="J65" s="197">
        <f t="shared" si="166"/>
        <v>1505.1999999999998</v>
      </c>
      <c r="K65" s="197">
        <f>'Arable NPV'!$G145</f>
        <v>528.51499999999999</v>
      </c>
      <c r="L65" s="197">
        <f>'Arable NPV'!$H145</f>
        <v>552.40000000000009</v>
      </c>
      <c r="M65" s="197">
        <f t="shared" si="167"/>
        <v>1080.915</v>
      </c>
      <c r="N65" s="197">
        <f t="shared" si="134"/>
        <v>204.28499999999985</v>
      </c>
      <c r="O65" s="197">
        <f t="shared" si="135"/>
        <v>424.28499999999985</v>
      </c>
      <c r="P65" s="196">
        <f t="shared" si="136"/>
        <v>1188.2396449704138</v>
      </c>
      <c r="Q65" s="197">
        <f t="shared" si="137"/>
        <v>203.40236686390531</v>
      </c>
      <c r="R65" s="197">
        <f t="shared" si="138"/>
        <v>999.36667899408269</v>
      </c>
      <c r="S65" s="197">
        <f t="shared" si="139"/>
        <v>188.87296597633122</v>
      </c>
      <c r="T65" s="199">
        <f t="shared" si="140"/>
        <v>392.2753328402365</v>
      </c>
      <c r="U65" s="196">
        <f t="shared" si="168"/>
        <v>4815.2396449704138</v>
      </c>
      <c r="V65" s="197">
        <f t="shared" si="168"/>
        <v>634.94082840236683</v>
      </c>
      <c r="W65" s="197">
        <f t="shared" si="168"/>
        <v>4097.1371998788463</v>
      </c>
      <c r="X65" s="197">
        <f t="shared" si="168"/>
        <v>718.1024450915678</v>
      </c>
      <c r="Y65" s="199">
        <f t="shared" si="168"/>
        <v>1353.0432734939345</v>
      </c>
      <c r="AB65" s="204">
        <f t="shared" ref="AB65:AB78" si="183">AB64+1</f>
        <v>3</v>
      </c>
      <c r="AC65" s="219" t="s">
        <v>31</v>
      </c>
      <c r="AD65" s="747">
        <f>'Arable Inputs'!$H$18</f>
        <v>12</v>
      </c>
      <c r="AE65" s="747">
        <f>'Arable Inputs'!$H$25</f>
        <v>107.1</v>
      </c>
      <c r="AH65" s="749">
        <f>AD65*AE65</f>
        <v>1285.1999999999998</v>
      </c>
      <c r="AI65" s="197">
        <f>'Arable NPV'!$E145</f>
        <v>220</v>
      </c>
      <c r="AJ65" s="197">
        <f t="shared" si="141"/>
        <v>1505.1999999999998</v>
      </c>
      <c r="AK65" s="197">
        <f>'Arable NPV'!$G145</f>
        <v>528.51499999999999</v>
      </c>
      <c r="AL65" s="197">
        <f>'Arable NPV'!$H145</f>
        <v>552.40000000000009</v>
      </c>
      <c r="AM65" s="197">
        <f>'Arable NPV'!$I145+0.5*'Arable NPV'!$I145</f>
        <v>1621.3724999999999</v>
      </c>
      <c r="AN65" s="197">
        <f t="shared" si="142"/>
        <v>-336.17250000000013</v>
      </c>
      <c r="AO65" s="197">
        <f t="shared" si="169"/>
        <v>-116.17250000000013</v>
      </c>
      <c r="AP65" s="196">
        <f t="shared" si="143"/>
        <v>1188.2396449704138</v>
      </c>
      <c r="AQ65" s="197">
        <f t="shared" si="144"/>
        <v>203.40236686390531</v>
      </c>
      <c r="AR65" s="197">
        <f t="shared" si="145"/>
        <v>1499.0500184911241</v>
      </c>
      <c r="AS65" s="197">
        <f t="shared" si="146"/>
        <v>-310.81037352071013</v>
      </c>
      <c r="AT65" s="199">
        <f t="shared" si="147"/>
        <v>-107.40800665680484</v>
      </c>
      <c r="AU65" s="196">
        <f t="shared" si="170"/>
        <v>4815.2396449704138</v>
      </c>
      <c r="AV65" s="197">
        <f t="shared" si="170"/>
        <v>634.94082840236683</v>
      </c>
      <c r="AW65" s="197">
        <f t="shared" si="170"/>
        <v>6145.705799818269</v>
      </c>
      <c r="AX65" s="197">
        <f t="shared" si="170"/>
        <v>-1330.466154847855</v>
      </c>
      <c r="AY65" s="199">
        <f t="shared" si="170"/>
        <v>-695.52532644548819</v>
      </c>
      <c r="BB65" s="204">
        <f t="shared" ref="BB65:BB78" si="184">BB64+1</f>
        <v>3</v>
      </c>
      <c r="BC65" s="219" t="s">
        <v>31</v>
      </c>
      <c r="BD65" s="747">
        <f>'Arable Inputs'!$H$18</f>
        <v>12</v>
      </c>
      <c r="BE65" s="747">
        <f>'Arable Inputs'!$H$25</f>
        <v>107.1</v>
      </c>
      <c r="BH65" s="749">
        <f>BD65*BE65</f>
        <v>1285.1999999999998</v>
      </c>
      <c r="BI65" s="197">
        <f>'Arable NPV'!$E145</f>
        <v>220</v>
      </c>
      <c r="BJ65" s="197">
        <f t="shared" si="148"/>
        <v>1505.1999999999998</v>
      </c>
      <c r="BK65" s="197">
        <f>'Arable NPV'!$G145</f>
        <v>528.51499999999999</v>
      </c>
      <c r="BL65" s="197">
        <f>'Arable NPV'!$H145</f>
        <v>552.40000000000009</v>
      </c>
      <c r="BM65" s="197">
        <f>'Arable NPV'!$I145-0.5*'Arable NPV'!$I145</f>
        <v>540.45749999999998</v>
      </c>
      <c r="BN65" s="197">
        <f t="shared" si="149"/>
        <v>744.74249999999984</v>
      </c>
      <c r="BO65" s="197">
        <f t="shared" si="171"/>
        <v>964.74249999999984</v>
      </c>
      <c r="BP65" s="196">
        <f t="shared" si="150"/>
        <v>1188.2396449704138</v>
      </c>
      <c r="BQ65" s="197">
        <f t="shared" si="151"/>
        <v>203.40236686390531</v>
      </c>
      <c r="BR65" s="197">
        <f t="shared" si="152"/>
        <v>499.68333949704135</v>
      </c>
      <c r="BS65" s="197">
        <f t="shared" si="153"/>
        <v>688.5563054733725</v>
      </c>
      <c r="BT65" s="199">
        <f t="shared" si="154"/>
        <v>891.9586723372779</v>
      </c>
      <c r="BU65" s="196">
        <f t="shared" si="172"/>
        <v>4815.2396449704138</v>
      </c>
      <c r="BV65" s="197">
        <f t="shared" si="172"/>
        <v>634.94082840236683</v>
      </c>
      <c r="BW65" s="197">
        <f t="shared" si="172"/>
        <v>2048.5685999394232</v>
      </c>
      <c r="BX65" s="197">
        <f t="shared" si="172"/>
        <v>2766.6710450309906</v>
      </c>
      <c r="BY65" s="199">
        <f t="shared" si="172"/>
        <v>3401.6118734333577</v>
      </c>
      <c r="CB65" s="204">
        <f t="shared" ref="CB65:CB78" si="185">CB64+1</f>
        <v>3</v>
      </c>
      <c r="CC65" s="219" t="s">
        <v>31</v>
      </c>
      <c r="CD65" s="747">
        <f>'Arable Inputs'!$H$18</f>
        <v>12</v>
      </c>
      <c r="CE65" s="747">
        <f>'Arable Inputs'!$H$25</f>
        <v>107.1</v>
      </c>
      <c r="CH65" s="749">
        <f>CD65*CE65</f>
        <v>1285.1999999999998</v>
      </c>
      <c r="CI65" s="197">
        <f>'Arable NPV'!$E145</f>
        <v>220</v>
      </c>
      <c r="CJ65" s="197">
        <f t="shared" si="173"/>
        <v>1505.1999999999998</v>
      </c>
      <c r="CK65" s="197">
        <f>'Arable NPV'!$G145</f>
        <v>528.51499999999999</v>
      </c>
      <c r="CL65" s="197">
        <f>'Arable NPV'!$H145</f>
        <v>552.40000000000009</v>
      </c>
      <c r="CM65" s="197">
        <f>'Arable NPV'!$I145+'Arable NPV'!$I145</f>
        <v>2161.83</v>
      </c>
      <c r="CN65" s="197">
        <f t="shared" si="174"/>
        <v>-876.63000000000011</v>
      </c>
      <c r="CO65" s="197">
        <f t="shared" si="175"/>
        <v>-656.63000000000011</v>
      </c>
      <c r="CP65" s="196">
        <f t="shared" si="155"/>
        <v>1188.2396449704138</v>
      </c>
      <c r="CQ65" s="197">
        <f t="shared" si="156"/>
        <v>203.40236686390531</v>
      </c>
      <c r="CR65" s="197">
        <f t="shared" si="157"/>
        <v>1998.7333579881654</v>
      </c>
      <c r="CS65" s="197">
        <f t="shared" si="158"/>
        <v>-810.49371301775147</v>
      </c>
      <c r="CT65" s="199">
        <f t="shared" si="159"/>
        <v>-607.09134615384619</v>
      </c>
      <c r="CU65" s="196">
        <f t="shared" si="176"/>
        <v>4815.2396449704138</v>
      </c>
      <c r="CV65" s="197">
        <f t="shared" si="176"/>
        <v>634.94082840236683</v>
      </c>
      <c r="CW65" s="197">
        <f t="shared" si="176"/>
        <v>8194.2743997576927</v>
      </c>
      <c r="CX65" s="197">
        <f t="shared" si="176"/>
        <v>-3379.034754787278</v>
      </c>
      <c r="CY65" s="199">
        <f t="shared" si="177"/>
        <v>-2744.0939263849114</v>
      </c>
      <c r="DB65" s="204">
        <f t="shared" ref="DB65:DB78" si="186">DB64+1</f>
        <v>3</v>
      </c>
      <c r="DC65" s="219" t="s">
        <v>31</v>
      </c>
      <c r="DD65" s="747">
        <f>'Arable Inputs'!$H$18</f>
        <v>12</v>
      </c>
      <c r="DE65" s="747">
        <f>'Arable Inputs'!$H$25</f>
        <v>107.1</v>
      </c>
      <c r="DH65" s="749">
        <f>DD65*DE65</f>
        <v>1285.1999999999998</v>
      </c>
      <c r="DI65" s="197">
        <f>'Arable NPV'!$E145</f>
        <v>220</v>
      </c>
      <c r="DJ65" s="197">
        <f t="shared" si="178"/>
        <v>1505.1999999999998</v>
      </c>
      <c r="DK65" s="197">
        <f>'Arable NPV'!$G145</f>
        <v>528.51499999999999</v>
      </c>
      <c r="DL65" s="197">
        <f>'Arable NPV'!$H145</f>
        <v>552.40000000000009</v>
      </c>
      <c r="DM65" s="197">
        <f>'Arable NPV'!$I145-'Arable NPV'!$I145</f>
        <v>0</v>
      </c>
      <c r="DN65" s="197">
        <f t="shared" si="179"/>
        <v>1285.1999999999998</v>
      </c>
      <c r="DO65" s="197">
        <f t="shared" si="180"/>
        <v>1505.1999999999998</v>
      </c>
      <c r="DP65" s="196">
        <f t="shared" si="160"/>
        <v>1188.2396449704138</v>
      </c>
      <c r="DQ65" s="197">
        <f t="shared" si="161"/>
        <v>203.40236686390531</v>
      </c>
      <c r="DR65" s="197">
        <f t="shared" si="162"/>
        <v>0</v>
      </c>
      <c r="DS65" s="197">
        <f t="shared" si="163"/>
        <v>1188.2396449704138</v>
      </c>
      <c r="DT65" s="199">
        <f t="shared" si="164"/>
        <v>1391.6420118343192</v>
      </c>
      <c r="DU65" s="196">
        <f t="shared" si="181"/>
        <v>4815.2396449704138</v>
      </c>
      <c r="DV65" s="197">
        <f t="shared" si="181"/>
        <v>634.94082840236683</v>
      </c>
      <c r="DW65" s="197">
        <f t="shared" si="181"/>
        <v>0</v>
      </c>
      <c r="DX65" s="197">
        <f t="shared" si="181"/>
        <v>4815.2396449704138</v>
      </c>
      <c r="DY65" s="199">
        <f t="shared" si="181"/>
        <v>5450.1804733727804</v>
      </c>
    </row>
    <row r="66" spans="2:129" x14ac:dyDescent="0.3">
      <c r="B66" s="204">
        <f t="shared" si="182"/>
        <v>4</v>
      </c>
      <c r="C66" s="219" t="s">
        <v>6</v>
      </c>
      <c r="D66" s="747">
        <f>'Arable Inputs'!$F$18</f>
        <v>3.5</v>
      </c>
      <c r="E66" s="747">
        <f>'Arable Inputs'!$F$25</f>
        <v>335</v>
      </c>
      <c r="F66" s="747">
        <f>'Arable Inputs'!$F$19</f>
        <v>2.6</v>
      </c>
      <c r="G66" s="747">
        <f>'Arable Inputs'!$F$26</f>
        <v>37.5</v>
      </c>
      <c r="H66" s="749">
        <f>D66*E66+F66*G66</f>
        <v>1270</v>
      </c>
      <c r="I66" s="197">
        <f>'Arable NPV'!$E146</f>
        <v>220</v>
      </c>
      <c r="J66" s="197">
        <f t="shared" si="166"/>
        <v>1490</v>
      </c>
      <c r="K66" s="197">
        <f>'Arable NPV'!$G146</f>
        <v>541.75901992521074</v>
      </c>
      <c r="L66" s="197">
        <f>'Arable NPV'!$H146</f>
        <v>621.47428571428577</v>
      </c>
      <c r="M66" s="197">
        <f t="shared" si="167"/>
        <v>1163.2333056394964</v>
      </c>
      <c r="N66" s="197">
        <f t="shared" si="134"/>
        <v>106.76669436050361</v>
      </c>
      <c r="O66" s="197">
        <f t="shared" si="135"/>
        <v>326.76669436050361</v>
      </c>
      <c r="P66" s="196">
        <f t="shared" si="136"/>
        <v>1129.0253755120618</v>
      </c>
      <c r="Q66" s="197">
        <f t="shared" si="137"/>
        <v>195.57919890760127</v>
      </c>
      <c r="R66" s="197">
        <f t="shared" si="138"/>
        <v>1034.1101729982436</v>
      </c>
      <c r="S66" s="197">
        <f t="shared" si="139"/>
        <v>94.915202513818201</v>
      </c>
      <c r="T66" s="199">
        <f t="shared" si="140"/>
        <v>290.49440142141947</v>
      </c>
      <c r="U66" s="196">
        <f t="shared" si="168"/>
        <v>5944.2650204824758</v>
      </c>
      <c r="V66" s="197">
        <f t="shared" si="168"/>
        <v>830.5200273099681</v>
      </c>
      <c r="W66" s="197">
        <f t="shared" si="168"/>
        <v>5131.2473728770901</v>
      </c>
      <c r="X66" s="197">
        <f t="shared" si="168"/>
        <v>813.01764760538595</v>
      </c>
      <c r="Y66" s="199">
        <f t="shared" si="168"/>
        <v>1643.537674915354</v>
      </c>
      <c r="AB66" s="204">
        <f t="shared" si="183"/>
        <v>4</v>
      </c>
      <c r="AC66" s="219" t="s">
        <v>6</v>
      </c>
      <c r="AD66" s="747">
        <f>'Arable Inputs'!$F$18</f>
        <v>3.5</v>
      </c>
      <c r="AE66" s="747">
        <f>'Arable Inputs'!$F$25</f>
        <v>335</v>
      </c>
      <c r="AF66" s="747">
        <f>'Arable Inputs'!$F$19</f>
        <v>2.6</v>
      </c>
      <c r="AG66" s="747">
        <f>'Arable Inputs'!$F$26</f>
        <v>37.5</v>
      </c>
      <c r="AH66" s="749">
        <f>AD66*AE66+AF66*AG66</f>
        <v>1270</v>
      </c>
      <c r="AI66" s="197">
        <f>'Arable NPV'!$E146</f>
        <v>220</v>
      </c>
      <c r="AJ66" s="197">
        <f t="shared" si="141"/>
        <v>1490</v>
      </c>
      <c r="AK66" s="197">
        <f>'Arable NPV'!$G146</f>
        <v>541.75901992521074</v>
      </c>
      <c r="AL66" s="197">
        <f>'Arable NPV'!$H146</f>
        <v>621.47428571428577</v>
      </c>
      <c r="AM66" s="197">
        <f>'Arable NPV'!$I146+0.5*'Arable NPV'!$I146</f>
        <v>1744.8499584592446</v>
      </c>
      <c r="AN66" s="197">
        <f t="shared" si="142"/>
        <v>-474.84995845924459</v>
      </c>
      <c r="AO66" s="197">
        <f t="shared" si="169"/>
        <v>-254.84995845924459</v>
      </c>
      <c r="AP66" s="196">
        <f t="shared" si="143"/>
        <v>1129.0253755120618</v>
      </c>
      <c r="AQ66" s="197">
        <f t="shared" si="144"/>
        <v>195.57919890760127</v>
      </c>
      <c r="AR66" s="197">
        <f t="shared" si="145"/>
        <v>1551.1652594973655</v>
      </c>
      <c r="AS66" s="197">
        <f t="shared" si="146"/>
        <v>-422.13988398530358</v>
      </c>
      <c r="AT66" s="199">
        <f t="shared" si="147"/>
        <v>-226.56068507770235</v>
      </c>
      <c r="AU66" s="196">
        <f t="shared" si="170"/>
        <v>5944.2650204824758</v>
      </c>
      <c r="AV66" s="197">
        <f t="shared" si="170"/>
        <v>830.5200273099681</v>
      </c>
      <c r="AW66" s="197">
        <f t="shared" si="170"/>
        <v>7696.8710593156347</v>
      </c>
      <c r="AX66" s="197">
        <f t="shared" si="170"/>
        <v>-1752.6060388331587</v>
      </c>
      <c r="AY66" s="199">
        <f t="shared" si="170"/>
        <v>-922.08601152319056</v>
      </c>
      <c r="BB66" s="204">
        <f t="shared" si="184"/>
        <v>4</v>
      </c>
      <c r="BC66" s="219" t="s">
        <v>6</v>
      </c>
      <c r="BD66" s="747">
        <f>'Arable Inputs'!$F$18</f>
        <v>3.5</v>
      </c>
      <c r="BE66" s="747">
        <f>'Arable Inputs'!$F$25</f>
        <v>335</v>
      </c>
      <c r="BF66" s="747">
        <f>'Arable Inputs'!$F$19</f>
        <v>2.6</v>
      </c>
      <c r="BG66" s="747">
        <f>'Arable Inputs'!$F$26</f>
        <v>37.5</v>
      </c>
      <c r="BH66" s="749">
        <f>BD66*BE66+BF66*BG66</f>
        <v>1270</v>
      </c>
      <c r="BI66" s="197">
        <f>'Arable NPV'!$E146</f>
        <v>220</v>
      </c>
      <c r="BJ66" s="197">
        <f t="shared" si="148"/>
        <v>1490</v>
      </c>
      <c r="BK66" s="197">
        <f>'Arable NPV'!$G146</f>
        <v>541.75901992521074</v>
      </c>
      <c r="BL66" s="197">
        <f>'Arable NPV'!$H146</f>
        <v>621.47428571428577</v>
      </c>
      <c r="BM66" s="197">
        <f>'Arable NPV'!$I146-0.5*'Arable NPV'!$I146</f>
        <v>581.6166528197482</v>
      </c>
      <c r="BN66" s="197">
        <f t="shared" si="149"/>
        <v>688.3833471802518</v>
      </c>
      <c r="BO66" s="197">
        <f t="shared" si="171"/>
        <v>908.3833471802518</v>
      </c>
      <c r="BP66" s="196">
        <f t="shared" si="150"/>
        <v>1129.0253755120618</v>
      </c>
      <c r="BQ66" s="197">
        <f t="shared" si="151"/>
        <v>195.57919890760127</v>
      </c>
      <c r="BR66" s="197">
        <f t="shared" si="152"/>
        <v>517.05508649912178</v>
      </c>
      <c r="BS66" s="197">
        <f t="shared" si="153"/>
        <v>611.97028901294004</v>
      </c>
      <c r="BT66" s="199">
        <f t="shared" si="154"/>
        <v>807.54948792054131</v>
      </c>
      <c r="BU66" s="196">
        <f t="shared" si="172"/>
        <v>5944.2650204824758</v>
      </c>
      <c r="BV66" s="197">
        <f t="shared" si="172"/>
        <v>830.5200273099681</v>
      </c>
      <c r="BW66" s="197">
        <f t="shared" si="172"/>
        <v>2565.6236864385451</v>
      </c>
      <c r="BX66" s="197">
        <f t="shared" si="172"/>
        <v>3378.6413340439308</v>
      </c>
      <c r="BY66" s="199">
        <f t="shared" si="172"/>
        <v>4209.1613613538993</v>
      </c>
      <c r="CB66" s="204">
        <f t="shared" si="185"/>
        <v>4</v>
      </c>
      <c r="CC66" s="219" t="s">
        <v>6</v>
      </c>
      <c r="CD66" s="747">
        <f>'Arable Inputs'!$F$18</f>
        <v>3.5</v>
      </c>
      <c r="CE66" s="747">
        <f>'Arable Inputs'!$F$25</f>
        <v>335</v>
      </c>
      <c r="CF66" s="747">
        <f>'Arable Inputs'!$F$19</f>
        <v>2.6</v>
      </c>
      <c r="CG66" s="747">
        <f>'Arable Inputs'!$F$26</f>
        <v>37.5</v>
      </c>
      <c r="CH66" s="749">
        <f>CD66*CE66+CF66*CG66</f>
        <v>1270</v>
      </c>
      <c r="CI66" s="197">
        <f>'Arable NPV'!$E146</f>
        <v>220</v>
      </c>
      <c r="CJ66" s="197">
        <f t="shared" si="173"/>
        <v>1490</v>
      </c>
      <c r="CK66" s="197">
        <f>'Arable NPV'!$G146</f>
        <v>541.75901992521074</v>
      </c>
      <c r="CL66" s="197">
        <f>'Arable NPV'!$H146</f>
        <v>621.47428571428577</v>
      </c>
      <c r="CM66" s="197">
        <f>'Arable NPV'!$I146+'Arable NPV'!$I146</f>
        <v>2326.4666112789928</v>
      </c>
      <c r="CN66" s="197">
        <f t="shared" si="174"/>
        <v>-1056.4666112789928</v>
      </c>
      <c r="CO66" s="197">
        <f t="shared" si="175"/>
        <v>-836.46661127899279</v>
      </c>
      <c r="CP66" s="196">
        <f t="shared" si="155"/>
        <v>1129.0253755120618</v>
      </c>
      <c r="CQ66" s="197">
        <f t="shared" si="156"/>
        <v>195.57919890760127</v>
      </c>
      <c r="CR66" s="197">
        <f t="shared" si="157"/>
        <v>2068.2203459964871</v>
      </c>
      <c r="CS66" s="197">
        <f t="shared" si="158"/>
        <v>-939.19497048442543</v>
      </c>
      <c r="CT66" s="199">
        <f t="shared" si="159"/>
        <v>-743.61577157682416</v>
      </c>
      <c r="CU66" s="196">
        <f t="shared" si="176"/>
        <v>5944.2650204824758</v>
      </c>
      <c r="CV66" s="197">
        <f t="shared" si="176"/>
        <v>830.5200273099681</v>
      </c>
      <c r="CW66" s="197">
        <f t="shared" si="176"/>
        <v>10262.49474575418</v>
      </c>
      <c r="CX66" s="197">
        <f t="shared" si="176"/>
        <v>-4318.2297252717035</v>
      </c>
      <c r="CY66" s="199">
        <f t="shared" si="177"/>
        <v>-3487.7096979617354</v>
      </c>
      <c r="DB66" s="204">
        <f t="shared" si="186"/>
        <v>4</v>
      </c>
      <c r="DC66" s="219" t="s">
        <v>6</v>
      </c>
      <c r="DD66" s="747">
        <f>'Arable Inputs'!$F$18</f>
        <v>3.5</v>
      </c>
      <c r="DE66" s="747">
        <f>'Arable Inputs'!$F$25</f>
        <v>335</v>
      </c>
      <c r="DF66" s="747">
        <f>'Arable Inputs'!$F$19</f>
        <v>2.6</v>
      </c>
      <c r="DG66" s="747">
        <f>'Arable Inputs'!$F$26</f>
        <v>37.5</v>
      </c>
      <c r="DH66" s="749">
        <f>DD66*DE66+DF66*DG66</f>
        <v>1270</v>
      </c>
      <c r="DI66" s="197">
        <f>'Arable NPV'!$E146</f>
        <v>220</v>
      </c>
      <c r="DJ66" s="197">
        <f t="shared" si="178"/>
        <v>1490</v>
      </c>
      <c r="DK66" s="197">
        <f>'Arable NPV'!$G146</f>
        <v>541.75901992521074</v>
      </c>
      <c r="DL66" s="197">
        <f>'Arable NPV'!$H146</f>
        <v>621.47428571428577</v>
      </c>
      <c r="DM66" s="197">
        <f>'Arable NPV'!$I146-'Arable NPV'!$I146</f>
        <v>0</v>
      </c>
      <c r="DN66" s="197">
        <f t="shared" si="179"/>
        <v>1270</v>
      </c>
      <c r="DO66" s="197">
        <f t="shared" si="180"/>
        <v>1490</v>
      </c>
      <c r="DP66" s="196">
        <f t="shared" si="160"/>
        <v>1129.0253755120618</v>
      </c>
      <c r="DQ66" s="197">
        <f t="shared" si="161"/>
        <v>195.57919890760127</v>
      </c>
      <c r="DR66" s="197">
        <f t="shared" si="162"/>
        <v>0</v>
      </c>
      <c r="DS66" s="197">
        <f t="shared" si="163"/>
        <v>1129.0253755120618</v>
      </c>
      <c r="DT66" s="199">
        <f t="shared" si="164"/>
        <v>1324.6045744196631</v>
      </c>
      <c r="DU66" s="196">
        <f t="shared" si="181"/>
        <v>5944.2650204824758</v>
      </c>
      <c r="DV66" s="197">
        <f t="shared" si="181"/>
        <v>830.5200273099681</v>
      </c>
      <c r="DW66" s="197">
        <f t="shared" si="181"/>
        <v>0</v>
      </c>
      <c r="DX66" s="197">
        <f t="shared" si="181"/>
        <v>5944.2650204824758</v>
      </c>
      <c r="DY66" s="199">
        <f t="shared" si="181"/>
        <v>6774.7850477924439</v>
      </c>
    </row>
    <row r="67" spans="2:129" x14ac:dyDescent="0.3">
      <c r="B67" s="204">
        <f t="shared" si="182"/>
        <v>5</v>
      </c>
      <c r="C67" s="219" t="s">
        <v>5</v>
      </c>
      <c r="D67" s="747">
        <f>'Arable Inputs'!$E$18</f>
        <v>6.3</v>
      </c>
      <c r="E67" s="747">
        <f>'Arable Inputs'!$E$25</f>
        <v>140</v>
      </c>
      <c r="F67" s="747">
        <f>'Arable Inputs'!$E$19</f>
        <v>3.5</v>
      </c>
      <c r="G67" s="747">
        <f>'Arable Inputs'!$E$26</f>
        <v>70</v>
      </c>
      <c r="H67" s="749">
        <f>D67*E67+F67*G67</f>
        <v>1127</v>
      </c>
      <c r="I67" s="197">
        <f>'Arable NPV'!$E147</f>
        <v>220</v>
      </c>
      <c r="J67" s="197">
        <f t="shared" si="166"/>
        <v>1347</v>
      </c>
      <c r="K67" s="197">
        <f>'Arable NPV'!$G147</f>
        <v>418.54877602277168</v>
      </c>
      <c r="L67" s="197">
        <f>'Arable NPV'!$H147</f>
        <v>773.65999999999985</v>
      </c>
      <c r="M67" s="197">
        <f t="shared" si="167"/>
        <v>1192.2087760227714</v>
      </c>
      <c r="N67" s="197">
        <f t="shared" si="134"/>
        <v>-65.208776022771417</v>
      </c>
      <c r="O67" s="197">
        <f t="shared" si="135"/>
        <v>154.79122397722858</v>
      </c>
      <c r="P67" s="196">
        <f t="shared" si="136"/>
        <v>963.36432329050081</v>
      </c>
      <c r="Q67" s="197">
        <f t="shared" si="137"/>
        <v>188.05692202653967</v>
      </c>
      <c r="R67" s="197">
        <f t="shared" si="138"/>
        <v>1019.1050583266846</v>
      </c>
      <c r="S67" s="197">
        <f t="shared" si="139"/>
        <v>-55.740735036183693</v>
      </c>
      <c r="T67" s="199">
        <f t="shared" si="140"/>
        <v>132.31618699035596</v>
      </c>
      <c r="U67" s="196">
        <f t="shared" si="168"/>
        <v>6907.6293437729764</v>
      </c>
      <c r="V67" s="197">
        <f t="shared" si="168"/>
        <v>1018.5769493365078</v>
      </c>
      <c r="W67" s="197">
        <f t="shared" si="168"/>
        <v>6150.3524312037744</v>
      </c>
      <c r="X67" s="197">
        <f t="shared" si="168"/>
        <v>757.2769125692023</v>
      </c>
      <c r="Y67" s="199">
        <f t="shared" si="168"/>
        <v>1775.8538619057099</v>
      </c>
      <c r="AB67" s="204">
        <f t="shared" si="183"/>
        <v>5</v>
      </c>
      <c r="AC67" s="219" t="s">
        <v>5</v>
      </c>
      <c r="AD67" s="747">
        <f>'Arable Inputs'!$E$18</f>
        <v>6.3</v>
      </c>
      <c r="AE67" s="747">
        <f>'Arable Inputs'!$E$25</f>
        <v>140</v>
      </c>
      <c r="AF67" s="747">
        <f>'Arable Inputs'!$E$19</f>
        <v>3.5</v>
      </c>
      <c r="AG67" s="747">
        <f>'Arable Inputs'!$E$26</f>
        <v>70</v>
      </c>
      <c r="AH67" s="749">
        <f>AD67*AE67+AF67*AG67</f>
        <v>1127</v>
      </c>
      <c r="AI67" s="197">
        <f>'Arable NPV'!$E147</f>
        <v>220</v>
      </c>
      <c r="AJ67" s="197">
        <f t="shared" si="141"/>
        <v>1347</v>
      </c>
      <c r="AK67" s="197">
        <f>'Arable NPV'!$G147</f>
        <v>418.54877602277168</v>
      </c>
      <c r="AL67" s="197">
        <f>'Arable NPV'!$H147</f>
        <v>773.65999999999985</v>
      </c>
      <c r="AM67" s="197">
        <f>'Arable NPV'!$I147+0.5*'Arable NPV'!$I147</f>
        <v>1788.3131640341571</v>
      </c>
      <c r="AN67" s="197">
        <f t="shared" si="142"/>
        <v>-661.31316403415713</v>
      </c>
      <c r="AO67" s="197">
        <f t="shared" si="169"/>
        <v>-441.31316403415713</v>
      </c>
      <c r="AP67" s="196">
        <f t="shared" si="143"/>
        <v>963.36432329050081</v>
      </c>
      <c r="AQ67" s="197">
        <f t="shared" si="144"/>
        <v>188.05692202653967</v>
      </c>
      <c r="AR67" s="197">
        <f t="shared" si="145"/>
        <v>1528.6575874900268</v>
      </c>
      <c r="AS67" s="197">
        <f t="shared" si="146"/>
        <v>-565.29326419952599</v>
      </c>
      <c r="AT67" s="199">
        <f t="shared" si="147"/>
        <v>-377.23634217298633</v>
      </c>
      <c r="AU67" s="196">
        <f t="shared" si="170"/>
        <v>6907.6293437729764</v>
      </c>
      <c r="AV67" s="197">
        <f t="shared" si="170"/>
        <v>1018.5769493365078</v>
      </c>
      <c r="AW67" s="197">
        <f t="shared" si="170"/>
        <v>9225.528646805662</v>
      </c>
      <c r="AX67" s="197">
        <f t="shared" si="170"/>
        <v>-2317.8993030326847</v>
      </c>
      <c r="AY67" s="199">
        <f t="shared" si="170"/>
        <v>-1299.3223536961768</v>
      </c>
      <c r="BB67" s="204">
        <f t="shared" si="184"/>
        <v>5</v>
      </c>
      <c r="BC67" s="219" t="s">
        <v>5</v>
      </c>
      <c r="BD67" s="747">
        <f>'Arable Inputs'!$E$18</f>
        <v>6.3</v>
      </c>
      <c r="BE67" s="747">
        <f>'Arable Inputs'!$E$25</f>
        <v>140</v>
      </c>
      <c r="BF67" s="747">
        <f>'Arable Inputs'!$E$19</f>
        <v>3.5</v>
      </c>
      <c r="BG67" s="747">
        <f>'Arable Inputs'!$E$26</f>
        <v>70</v>
      </c>
      <c r="BH67" s="749">
        <f>BD67*BE67+BF67*BG67</f>
        <v>1127</v>
      </c>
      <c r="BI67" s="197">
        <f>'Arable NPV'!$E147</f>
        <v>220</v>
      </c>
      <c r="BJ67" s="197">
        <f t="shared" si="148"/>
        <v>1347</v>
      </c>
      <c r="BK67" s="197">
        <f>'Arable NPV'!$G147</f>
        <v>418.54877602277168</v>
      </c>
      <c r="BL67" s="197">
        <f>'Arable NPV'!$H147</f>
        <v>773.65999999999985</v>
      </c>
      <c r="BM67" s="197">
        <f>'Arable NPV'!$I147-0.5*'Arable NPV'!$I147</f>
        <v>596.10438801138571</v>
      </c>
      <c r="BN67" s="197">
        <f t="shared" si="149"/>
        <v>530.89561198861429</v>
      </c>
      <c r="BO67" s="197">
        <f t="shared" si="171"/>
        <v>750.89561198861429</v>
      </c>
      <c r="BP67" s="196">
        <f t="shared" si="150"/>
        <v>963.36432329050081</v>
      </c>
      <c r="BQ67" s="197">
        <f t="shared" si="151"/>
        <v>188.05692202653967</v>
      </c>
      <c r="BR67" s="197">
        <f t="shared" si="152"/>
        <v>509.55252916334229</v>
      </c>
      <c r="BS67" s="197">
        <f t="shared" si="153"/>
        <v>453.81179412715858</v>
      </c>
      <c r="BT67" s="199">
        <f t="shared" si="154"/>
        <v>641.86871615369819</v>
      </c>
      <c r="BU67" s="196">
        <f t="shared" si="172"/>
        <v>6907.6293437729764</v>
      </c>
      <c r="BV67" s="197">
        <f t="shared" si="172"/>
        <v>1018.5769493365078</v>
      </c>
      <c r="BW67" s="197">
        <f t="shared" si="172"/>
        <v>3075.1762156018872</v>
      </c>
      <c r="BX67" s="197">
        <f t="shared" si="172"/>
        <v>3832.4531281710892</v>
      </c>
      <c r="BY67" s="199">
        <f t="shared" si="172"/>
        <v>4851.0300775075975</v>
      </c>
      <c r="CB67" s="204">
        <f t="shared" si="185"/>
        <v>5</v>
      </c>
      <c r="CC67" s="219" t="s">
        <v>5</v>
      </c>
      <c r="CD67" s="747">
        <f>'Arable Inputs'!$E$18</f>
        <v>6.3</v>
      </c>
      <c r="CE67" s="747">
        <f>'Arable Inputs'!$E$25</f>
        <v>140</v>
      </c>
      <c r="CF67" s="747">
        <f>'Arable Inputs'!$E$19</f>
        <v>3.5</v>
      </c>
      <c r="CG67" s="747">
        <f>'Arable Inputs'!$E$26</f>
        <v>70</v>
      </c>
      <c r="CH67" s="749">
        <f>CD67*CE67+CF67*CG67</f>
        <v>1127</v>
      </c>
      <c r="CI67" s="197">
        <f>'Arable NPV'!$E147</f>
        <v>220</v>
      </c>
      <c r="CJ67" s="197">
        <f t="shared" si="173"/>
        <v>1347</v>
      </c>
      <c r="CK67" s="197">
        <f>'Arable NPV'!$G147</f>
        <v>418.54877602277168</v>
      </c>
      <c r="CL67" s="197">
        <f>'Arable NPV'!$H147</f>
        <v>773.65999999999985</v>
      </c>
      <c r="CM67" s="197">
        <f>'Arable NPV'!$I147+'Arable NPV'!$I147</f>
        <v>2384.4175520455428</v>
      </c>
      <c r="CN67" s="197">
        <f t="shared" si="174"/>
        <v>-1257.4175520455428</v>
      </c>
      <c r="CO67" s="197">
        <f t="shared" si="175"/>
        <v>-1037.4175520455428</v>
      </c>
      <c r="CP67" s="196">
        <f t="shared" si="155"/>
        <v>963.36432329050081</v>
      </c>
      <c r="CQ67" s="197">
        <f t="shared" si="156"/>
        <v>188.05692202653967</v>
      </c>
      <c r="CR67" s="197">
        <f t="shared" si="157"/>
        <v>2038.2101166533691</v>
      </c>
      <c r="CS67" s="197">
        <f t="shared" si="158"/>
        <v>-1074.8457933628683</v>
      </c>
      <c r="CT67" s="199">
        <f t="shared" si="159"/>
        <v>-886.78887133632861</v>
      </c>
      <c r="CU67" s="196">
        <f t="shared" si="176"/>
        <v>6907.6293437729764</v>
      </c>
      <c r="CV67" s="197">
        <f t="shared" si="176"/>
        <v>1018.5769493365078</v>
      </c>
      <c r="CW67" s="197">
        <f t="shared" si="176"/>
        <v>12300.704862407549</v>
      </c>
      <c r="CX67" s="197">
        <f t="shared" si="176"/>
        <v>-5393.0755186345723</v>
      </c>
      <c r="CY67" s="199">
        <f t="shared" si="177"/>
        <v>-4374.4985692980645</v>
      </c>
      <c r="DB67" s="204">
        <f t="shared" si="186"/>
        <v>5</v>
      </c>
      <c r="DC67" s="219" t="s">
        <v>5</v>
      </c>
      <c r="DD67" s="747">
        <f>'Arable Inputs'!$E$18</f>
        <v>6.3</v>
      </c>
      <c r="DE67" s="747">
        <f>'Arable Inputs'!$E$25</f>
        <v>140</v>
      </c>
      <c r="DF67" s="747">
        <f>'Arable Inputs'!$E$19</f>
        <v>3.5</v>
      </c>
      <c r="DG67" s="747">
        <f>'Arable Inputs'!$E$26</f>
        <v>70</v>
      </c>
      <c r="DH67" s="749">
        <f>DD67*DE67+DF67*DG67</f>
        <v>1127</v>
      </c>
      <c r="DI67" s="197">
        <f>'Arable NPV'!$E147</f>
        <v>220</v>
      </c>
      <c r="DJ67" s="197">
        <f t="shared" si="178"/>
        <v>1347</v>
      </c>
      <c r="DK67" s="197">
        <f>'Arable NPV'!$G147</f>
        <v>418.54877602277168</v>
      </c>
      <c r="DL67" s="197">
        <f>'Arable NPV'!$H147</f>
        <v>773.65999999999985</v>
      </c>
      <c r="DM67" s="197">
        <f>'Arable NPV'!$I147-'Arable NPV'!$I147</f>
        <v>0</v>
      </c>
      <c r="DN67" s="197">
        <f t="shared" si="179"/>
        <v>1127</v>
      </c>
      <c r="DO67" s="197">
        <f t="shared" si="180"/>
        <v>1347</v>
      </c>
      <c r="DP67" s="196">
        <f t="shared" si="160"/>
        <v>963.36432329050081</v>
      </c>
      <c r="DQ67" s="197">
        <f t="shared" si="161"/>
        <v>188.05692202653967</v>
      </c>
      <c r="DR67" s="197">
        <f t="shared" si="162"/>
        <v>0</v>
      </c>
      <c r="DS67" s="197">
        <f t="shared" si="163"/>
        <v>963.36432329050081</v>
      </c>
      <c r="DT67" s="199">
        <f t="shared" si="164"/>
        <v>1151.4212453170405</v>
      </c>
      <c r="DU67" s="196">
        <f t="shared" si="181"/>
        <v>6907.6293437729764</v>
      </c>
      <c r="DV67" s="197">
        <f t="shared" si="181"/>
        <v>1018.5769493365078</v>
      </c>
      <c r="DW67" s="197">
        <f t="shared" si="181"/>
        <v>0</v>
      </c>
      <c r="DX67" s="197">
        <f t="shared" si="181"/>
        <v>6907.6293437729764</v>
      </c>
      <c r="DY67" s="199">
        <f t="shared" si="181"/>
        <v>7926.2062931094842</v>
      </c>
    </row>
    <row r="68" spans="2:129" x14ac:dyDescent="0.3">
      <c r="B68" s="204">
        <f t="shared" si="182"/>
        <v>6</v>
      </c>
      <c r="C68" s="219" t="s">
        <v>4</v>
      </c>
      <c r="D68" s="747">
        <f>'Arable Inputs'!$D$18</f>
        <v>8.25</v>
      </c>
      <c r="E68" s="747">
        <f>'Arable Inputs'!$D$25</f>
        <v>162</v>
      </c>
      <c r="F68" s="747">
        <f>'Arable Inputs'!$D$19</f>
        <v>3.9</v>
      </c>
      <c r="G68" s="747">
        <f>'Arable Inputs'!$D$26</f>
        <v>65</v>
      </c>
      <c r="H68" s="749">
        <f>D68*E68+F68*G68</f>
        <v>1590</v>
      </c>
      <c r="I68" s="197">
        <f>'Arable NPV'!$E148</f>
        <v>220</v>
      </c>
      <c r="J68" s="197">
        <f t="shared" si="166"/>
        <v>1810</v>
      </c>
      <c r="K68" s="197">
        <f>'Arable NPV'!$G148</f>
        <v>684.46423508399835</v>
      </c>
      <c r="L68" s="197">
        <f>'Arable NPV'!$H148</f>
        <v>841.31999999999994</v>
      </c>
      <c r="M68" s="197">
        <f t="shared" si="167"/>
        <v>1525.7842350839983</v>
      </c>
      <c r="N68" s="197">
        <f t="shared" si="134"/>
        <v>64.215764916001717</v>
      </c>
      <c r="O68" s="197">
        <f t="shared" si="135"/>
        <v>284.21576491600172</v>
      </c>
      <c r="P68" s="196">
        <f t="shared" si="136"/>
        <v>1306.864099747369</v>
      </c>
      <c r="Q68" s="197">
        <f t="shared" si="137"/>
        <v>180.82396348705734</v>
      </c>
      <c r="R68" s="197">
        <f t="shared" si="138"/>
        <v>1254.083421881621</v>
      </c>
      <c r="S68" s="197">
        <f t="shared" si="139"/>
        <v>52.780677865747968</v>
      </c>
      <c r="T68" s="199">
        <f t="shared" si="140"/>
        <v>233.60464135280532</v>
      </c>
      <c r="U68" s="196">
        <f t="shared" si="168"/>
        <v>8214.493443520345</v>
      </c>
      <c r="V68" s="197">
        <f t="shared" si="168"/>
        <v>1199.4009128235652</v>
      </c>
      <c r="W68" s="197">
        <f t="shared" si="168"/>
        <v>7404.4358530853951</v>
      </c>
      <c r="X68" s="197">
        <f t="shared" si="168"/>
        <v>810.05759043495027</v>
      </c>
      <c r="Y68" s="199">
        <f t="shared" si="168"/>
        <v>2009.4585032585153</v>
      </c>
      <c r="AB68" s="204">
        <f t="shared" si="183"/>
        <v>6</v>
      </c>
      <c r="AC68" s="219" t="s">
        <v>4</v>
      </c>
      <c r="AD68" s="747">
        <f>'Arable Inputs'!$D$18</f>
        <v>8.25</v>
      </c>
      <c r="AE68" s="747">
        <f>'Arable Inputs'!$D$25</f>
        <v>162</v>
      </c>
      <c r="AF68" s="747">
        <f>'Arable Inputs'!$D$19</f>
        <v>3.9</v>
      </c>
      <c r="AG68" s="747">
        <f>'Arable Inputs'!$D$26</f>
        <v>65</v>
      </c>
      <c r="AH68" s="749">
        <v>1590</v>
      </c>
      <c r="AI68" s="197">
        <f>'Arable NPV'!$E148</f>
        <v>220</v>
      </c>
      <c r="AJ68" s="197">
        <f t="shared" si="141"/>
        <v>1810</v>
      </c>
      <c r="AK68" s="197">
        <f>'Arable NPV'!$G148</f>
        <v>684.46423508399835</v>
      </c>
      <c r="AL68" s="197">
        <f>'Arable NPV'!$H148</f>
        <v>841.31999999999994</v>
      </c>
      <c r="AM68" s="197">
        <f>'Arable NPV'!$I148+0.5*'Arable NPV'!$I148</f>
        <v>2288.6763526259974</v>
      </c>
      <c r="AN68" s="197">
        <f t="shared" si="142"/>
        <v>-698.67635262599742</v>
      </c>
      <c r="AO68" s="197">
        <f t="shared" si="169"/>
        <v>-478.67635262599742</v>
      </c>
      <c r="AP68" s="196">
        <f t="shared" si="143"/>
        <v>1306.864099747369</v>
      </c>
      <c r="AQ68" s="197">
        <f t="shared" si="144"/>
        <v>180.82396348705734</v>
      </c>
      <c r="AR68" s="197">
        <f t="shared" si="145"/>
        <v>1881.1251328224314</v>
      </c>
      <c r="AS68" s="197">
        <f t="shared" si="146"/>
        <v>-574.26103307506253</v>
      </c>
      <c r="AT68" s="199">
        <f t="shared" si="147"/>
        <v>-393.43706958800522</v>
      </c>
      <c r="AU68" s="196">
        <f t="shared" si="170"/>
        <v>8214.493443520345</v>
      </c>
      <c r="AV68" s="197">
        <f t="shared" si="170"/>
        <v>1199.4009128235652</v>
      </c>
      <c r="AW68" s="197">
        <f t="shared" si="170"/>
        <v>11106.653779628094</v>
      </c>
      <c r="AX68" s="197">
        <f t="shared" si="170"/>
        <v>-2892.1603361077473</v>
      </c>
      <c r="AY68" s="199">
        <f t="shared" si="170"/>
        <v>-1692.759423284182</v>
      </c>
      <c r="BB68" s="204">
        <f t="shared" si="184"/>
        <v>6</v>
      </c>
      <c r="BC68" s="219" t="s">
        <v>4</v>
      </c>
      <c r="BD68" s="747">
        <f>'Arable Inputs'!$D$18</f>
        <v>8.25</v>
      </c>
      <c r="BE68" s="747">
        <f>'Arable Inputs'!$D$25</f>
        <v>162</v>
      </c>
      <c r="BF68" s="747">
        <f>'Arable Inputs'!$D$19</f>
        <v>3.9</v>
      </c>
      <c r="BG68" s="747">
        <f>'Arable Inputs'!$D$26</f>
        <v>65</v>
      </c>
      <c r="BH68" s="749">
        <f>BD68*BE68+BF68*BG68</f>
        <v>1590</v>
      </c>
      <c r="BI68" s="197">
        <f>'Arable NPV'!$E148</f>
        <v>220</v>
      </c>
      <c r="BJ68" s="197">
        <f t="shared" si="148"/>
        <v>1810</v>
      </c>
      <c r="BK68" s="197">
        <f>'Arable NPV'!$G148</f>
        <v>684.46423508399835</v>
      </c>
      <c r="BL68" s="197">
        <f>'Arable NPV'!$H148</f>
        <v>841.31999999999994</v>
      </c>
      <c r="BM68" s="197">
        <f>'Arable NPV'!$I148-0.5*'Arable NPV'!$I148</f>
        <v>762.89211754199914</v>
      </c>
      <c r="BN68" s="197">
        <f t="shared" si="149"/>
        <v>827.10788245800086</v>
      </c>
      <c r="BO68" s="197">
        <f t="shared" si="171"/>
        <v>1047.1078824580009</v>
      </c>
      <c r="BP68" s="196">
        <f t="shared" si="150"/>
        <v>1306.864099747369</v>
      </c>
      <c r="BQ68" s="197">
        <f t="shared" si="151"/>
        <v>180.82396348705734</v>
      </c>
      <c r="BR68" s="197">
        <f t="shared" si="152"/>
        <v>627.0417109408105</v>
      </c>
      <c r="BS68" s="197">
        <f t="shared" si="153"/>
        <v>679.82238880655848</v>
      </c>
      <c r="BT68" s="199">
        <f t="shared" si="154"/>
        <v>860.64635229361579</v>
      </c>
      <c r="BU68" s="196">
        <f t="shared" si="172"/>
        <v>8214.493443520345</v>
      </c>
      <c r="BV68" s="197">
        <f t="shared" si="172"/>
        <v>1199.4009128235652</v>
      </c>
      <c r="BW68" s="197">
        <f t="shared" si="172"/>
        <v>3702.2179265426976</v>
      </c>
      <c r="BX68" s="197">
        <f t="shared" si="172"/>
        <v>4512.2755169776474</v>
      </c>
      <c r="BY68" s="199">
        <f t="shared" si="172"/>
        <v>5711.6764298012131</v>
      </c>
      <c r="CB68" s="204">
        <f t="shared" si="185"/>
        <v>6</v>
      </c>
      <c r="CC68" s="219" t="s">
        <v>4</v>
      </c>
      <c r="CD68" s="747">
        <f>'Arable Inputs'!$D$18</f>
        <v>8.25</v>
      </c>
      <c r="CE68" s="747">
        <f>'Arable Inputs'!$D$25</f>
        <v>162</v>
      </c>
      <c r="CF68" s="747">
        <f>'Arable Inputs'!$D$19</f>
        <v>3.9</v>
      </c>
      <c r="CG68" s="747">
        <f>'Arable Inputs'!$D$26</f>
        <v>65</v>
      </c>
      <c r="CH68" s="749">
        <f>CD68*CE68+CF68*CG68</f>
        <v>1590</v>
      </c>
      <c r="CI68" s="197">
        <f>'Arable NPV'!$E148</f>
        <v>220</v>
      </c>
      <c r="CJ68" s="197">
        <f t="shared" si="173"/>
        <v>1810</v>
      </c>
      <c r="CK68" s="197">
        <f>'Arable NPV'!$G148</f>
        <v>684.46423508399835</v>
      </c>
      <c r="CL68" s="197">
        <f>'Arable NPV'!$H148</f>
        <v>841.31999999999994</v>
      </c>
      <c r="CM68" s="197">
        <f>'Arable NPV'!$I148+'Arable NPV'!$I148</f>
        <v>3051.5684701679966</v>
      </c>
      <c r="CN68" s="197">
        <f t="shared" si="174"/>
        <v>-1461.5684701679966</v>
      </c>
      <c r="CO68" s="197">
        <f t="shared" si="175"/>
        <v>-1241.5684701679966</v>
      </c>
      <c r="CP68" s="196">
        <f t="shared" si="155"/>
        <v>1306.864099747369</v>
      </c>
      <c r="CQ68" s="197">
        <f t="shared" si="156"/>
        <v>180.82396348705734</v>
      </c>
      <c r="CR68" s="197">
        <f t="shared" si="157"/>
        <v>2508.166843763242</v>
      </c>
      <c r="CS68" s="197">
        <f t="shared" si="158"/>
        <v>-1201.302744015873</v>
      </c>
      <c r="CT68" s="199">
        <f t="shared" si="159"/>
        <v>-1020.4787805288157</v>
      </c>
      <c r="CU68" s="196">
        <f t="shared" si="176"/>
        <v>8214.493443520345</v>
      </c>
      <c r="CV68" s="197">
        <f t="shared" si="176"/>
        <v>1199.4009128235652</v>
      </c>
      <c r="CW68" s="197">
        <f t="shared" si="176"/>
        <v>14808.87170617079</v>
      </c>
      <c r="CX68" s="197">
        <f t="shared" si="176"/>
        <v>-6594.3782626504453</v>
      </c>
      <c r="CY68" s="199">
        <f t="shared" si="177"/>
        <v>-5394.9773498268805</v>
      </c>
      <c r="DB68" s="204">
        <f t="shared" si="186"/>
        <v>6</v>
      </c>
      <c r="DC68" s="219" t="s">
        <v>4</v>
      </c>
      <c r="DD68" s="747">
        <f>'Arable Inputs'!$D$18</f>
        <v>8.25</v>
      </c>
      <c r="DE68" s="747">
        <f>'Arable Inputs'!$D$25</f>
        <v>162</v>
      </c>
      <c r="DF68" s="747">
        <f>'Arable Inputs'!$D$19</f>
        <v>3.9</v>
      </c>
      <c r="DG68" s="747">
        <f>'Arable Inputs'!$D$26</f>
        <v>65</v>
      </c>
      <c r="DH68" s="749">
        <f>DD68*DE68+DF68*DG68</f>
        <v>1590</v>
      </c>
      <c r="DI68" s="197">
        <f>'Arable NPV'!$E148</f>
        <v>220</v>
      </c>
      <c r="DJ68" s="197">
        <f t="shared" si="178"/>
        <v>1810</v>
      </c>
      <c r="DK68" s="197">
        <f>'Arable NPV'!$G148</f>
        <v>684.46423508399835</v>
      </c>
      <c r="DL68" s="197">
        <f>'Arable NPV'!$H148</f>
        <v>841.31999999999994</v>
      </c>
      <c r="DM68" s="197">
        <f>'Arable NPV'!$I148-'Arable NPV'!$I148</f>
        <v>0</v>
      </c>
      <c r="DN68" s="197">
        <f t="shared" si="179"/>
        <v>1590</v>
      </c>
      <c r="DO68" s="197">
        <f t="shared" si="180"/>
        <v>1810</v>
      </c>
      <c r="DP68" s="196">
        <f t="shared" si="160"/>
        <v>1306.864099747369</v>
      </c>
      <c r="DQ68" s="197">
        <f t="shared" si="161"/>
        <v>180.82396348705734</v>
      </c>
      <c r="DR68" s="197">
        <f t="shared" si="162"/>
        <v>0</v>
      </c>
      <c r="DS68" s="197">
        <f t="shared" si="163"/>
        <v>1306.864099747369</v>
      </c>
      <c r="DT68" s="199">
        <f t="shared" si="164"/>
        <v>1487.6880632344264</v>
      </c>
      <c r="DU68" s="196">
        <f t="shared" si="181"/>
        <v>8214.493443520345</v>
      </c>
      <c r="DV68" s="197">
        <f t="shared" si="181"/>
        <v>1199.4009128235652</v>
      </c>
      <c r="DW68" s="197">
        <f t="shared" si="181"/>
        <v>0</v>
      </c>
      <c r="DX68" s="197">
        <f t="shared" si="181"/>
        <v>8214.493443520345</v>
      </c>
      <c r="DY68" s="199">
        <f t="shared" si="181"/>
        <v>9413.8943563439097</v>
      </c>
    </row>
    <row r="69" spans="2:129" x14ac:dyDescent="0.3">
      <c r="B69" s="204">
        <f t="shared" si="182"/>
        <v>7</v>
      </c>
      <c r="C69" s="219" t="s">
        <v>7</v>
      </c>
      <c r="D69" s="747">
        <f>'Arable Inputs'!$G$18</f>
        <v>78</v>
      </c>
      <c r="E69" s="747">
        <f>'Arable Inputs'!$G$25</f>
        <v>27.16</v>
      </c>
      <c r="H69" s="749">
        <f t="shared" si="165"/>
        <v>2118.48</v>
      </c>
      <c r="I69" s="197">
        <f>'Arable NPV'!$E149</f>
        <v>220</v>
      </c>
      <c r="J69" s="197">
        <f t="shared" si="166"/>
        <v>2338.48</v>
      </c>
      <c r="K69" s="197">
        <f>'Arable NPV'!$G149</f>
        <v>793.83573723279574</v>
      </c>
      <c r="L69" s="197">
        <f>'Arable NPV'!$H149</f>
        <v>841.03</v>
      </c>
      <c r="M69" s="197">
        <f t="shared" si="167"/>
        <v>1634.8657372327957</v>
      </c>
      <c r="N69" s="197">
        <f t="shared" si="134"/>
        <v>483.61426276720431</v>
      </c>
      <c r="O69" s="197">
        <f t="shared" si="135"/>
        <v>703.61426276720431</v>
      </c>
      <c r="P69" s="196">
        <f t="shared" si="136"/>
        <v>1674.2655164687992</v>
      </c>
      <c r="Q69" s="197">
        <f t="shared" si="137"/>
        <v>173.86919566063204</v>
      </c>
      <c r="R69" s="197">
        <f t="shared" si="138"/>
        <v>1292.0581397536021</v>
      </c>
      <c r="S69" s="197">
        <f t="shared" si="139"/>
        <v>382.20737671519714</v>
      </c>
      <c r="T69" s="199">
        <f t="shared" si="140"/>
        <v>556.07657237582919</v>
      </c>
      <c r="U69" s="196">
        <f t="shared" si="168"/>
        <v>9888.7589599891435</v>
      </c>
      <c r="V69" s="197">
        <f t="shared" si="168"/>
        <v>1373.2701084841974</v>
      </c>
      <c r="W69" s="197">
        <f t="shared" si="168"/>
        <v>8696.4939928389977</v>
      </c>
      <c r="X69" s="197">
        <f t="shared" si="168"/>
        <v>1192.2649671501474</v>
      </c>
      <c r="Y69" s="199">
        <f t="shared" si="168"/>
        <v>2565.5350756343446</v>
      </c>
      <c r="AB69" s="204">
        <f t="shared" si="183"/>
        <v>7</v>
      </c>
      <c r="AC69" s="219" t="s">
        <v>7</v>
      </c>
      <c r="AD69" s="747">
        <f>'Arable Inputs'!$G$18</f>
        <v>78</v>
      </c>
      <c r="AE69" s="747">
        <f>'Arable Inputs'!$G$25</f>
        <v>27.16</v>
      </c>
      <c r="AH69" s="749">
        <f>AD69*AE69</f>
        <v>2118.48</v>
      </c>
      <c r="AI69" s="197">
        <f>'Arable NPV'!$E149</f>
        <v>220</v>
      </c>
      <c r="AJ69" s="197">
        <f t="shared" si="141"/>
        <v>2338.48</v>
      </c>
      <c r="AK69" s="197">
        <f>'Arable NPV'!$G149</f>
        <v>793.83573723279574</v>
      </c>
      <c r="AL69" s="197">
        <f>'Arable NPV'!$H149</f>
        <v>841.03</v>
      </c>
      <c r="AM69" s="197">
        <f>'Arable NPV'!$I149+0.5*'Arable NPV'!$I149</f>
        <v>2452.2986058491933</v>
      </c>
      <c r="AN69" s="197">
        <f t="shared" si="142"/>
        <v>-333.81860584919332</v>
      </c>
      <c r="AO69" s="197">
        <f t="shared" si="169"/>
        <v>-113.81860584919332</v>
      </c>
      <c r="AP69" s="196">
        <f t="shared" si="143"/>
        <v>1674.2655164687992</v>
      </c>
      <c r="AQ69" s="197">
        <f t="shared" si="144"/>
        <v>173.86919566063204</v>
      </c>
      <c r="AR69" s="197">
        <f t="shared" si="145"/>
        <v>1938.0872096304029</v>
      </c>
      <c r="AS69" s="197">
        <f t="shared" si="146"/>
        <v>-263.82169316160366</v>
      </c>
      <c r="AT69" s="199">
        <f t="shared" si="147"/>
        <v>-89.952497500971603</v>
      </c>
      <c r="AU69" s="196">
        <f t="shared" si="170"/>
        <v>9888.7589599891435</v>
      </c>
      <c r="AV69" s="197">
        <f t="shared" si="170"/>
        <v>1373.2701084841974</v>
      </c>
      <c r="AW69" s="197">
        <f t="shared" si="170"/>
        <v>13044.740989258496</v>
      </c>
      <c r="AX69" s="197">
        <f t="shared" si="170"/>
        <v>-3155.9820292693512</v>
      </c>
      <c r="AY69" s="199">
        <f t="shared" si="170"/>
        <v>-1782.7119207851536</v>
      </c>
      <c r="BB69" s="204">
        <f t="shared" si="184"/>
        <v>7</v>
      </c>
      <c r="BC69" s="219" t="s">
        <v>7</v>
      </c>
      <c r="BD69" s="747">
        <f>'Arable Inputs'!$G$18</f>
        <v>78</v>
      </c>
      <c r="BE69" s="747">
        <f>'Arable Inputs'!$G$25</f>
        <v>27.16</v>
      </c>
      <c r="BH69" s="749">
        <f>BD69*BE69</f>
        <v>2118.48</v>
      </c>
      <c r="BI69" s="197">
        <f>'Arable NPV'!$E149</f>
        <v>220</v>
      </c>
      <c r="BJ69" s="197">
        <f t="shared" si="148"/>
        <v>2338.48</v>
      </c>
      <c r="BK69" s="197">
        <f>'Arable NPV'!$G149</f>
        <v>793.83573723279574</v>
      </c>
      <c r="BL69" s="197">
        <f>'Arable NPV'!$H149</f>
        <v>841.03</v>
      </c>
      <c r="BM69" s="197">
        <f>'Arable NPV'!$I149-0.5*'Arable NPV'!$I149</f>
        <v>817.43286861639785</v>
      </c>
      <c r="BN69" s="197">
        <f t="shared" si="149"/>
        <v>1301.0471313836022</v>
      </c>
      <c r="BO69" s="197">
        <f t="shared" si="171"/>
        <v>1521.0471313836022</v>
      </c>
      <c r="BP69" s="196">
        <f t="shared" si="150"/>
        <v>1674.2655164687992</v>
      </c>
      <c r="BQ69" s="197">
        <f t="shared" si="151"/>
        <v>173.86919566063204</v>
      </c>
      <c r="BR69" s="197">
        <f t="shared" si="152"/>
        <v>646.02906987680103</v>
      </c>
      <c r="BS69" s="197">
        <f t="shared" si="153"/>
        <v>1028.2364465919982</v>
      </c>
      <c r="BT69" s="199">
        <f t="shared" si="154"/>
        <v>1202.1056422526301</v>
      </c>
      <c r="BU69" s="196">
        <f t="shared" si="172"/>
        <v>9888.7589599891435</v>
      </c>
      <c r="BV69" s="197">
        <f t="shared" si="172"/>
        <v>1373.2701084841974</v>
      </c>
      <c r="BW69" s="197">
        <f t="shared" si="172"/>
        <v>4348.2469964194988</v>
      </c>
      <c r="BX69" s="197">
        <f t="shared" si="172"/>
        <v>5540.5119635696456</v>
      </c>
      <c r="BY69" s="199">
        <f t="shared" si="172"/>
        <v>6913.782072053843</v>
      </c>
      <c r="CB69" s="204">
        <f t="shared" si="185"/>
        <v>7</v>
      </c>
      <c r="CC69" s="219" t="s">
        <v>7</v>
      </c>
      <c r="CD69" s="747">
        <f>'Arable Inputs'!$G$18</f>
        <v>78</v>
      </c>
      <c r="CE69" s="747">
        <f>'Arable Inputs'!$G$25</f>
        <v>27.16</v>
      </c>
      <c r="CH69" s="749">
        <f>CD69*CE69</f>
        <v>2118.48</v>
      </c>
      <c r="CI69" s="197">
        <f>'Arable NPV'!$E149</f>
        <v>220</v>
      </c>
      <c r="CJ69" s="197">
        <f t="shared" si="173"/>
        <v>2338.48</v>
      </c>
      <c r="CK69" s="197">
        <f>'Arable NPV'!$G149</f>
        <v>793.83573723279574</v>
      </c>
      <c r="CL69" s="197">
        <f>'Arable NPV'!$H149</f>
        <v>841.03</v>
      </c>
      <c r="CM69" s="197">
        <f>'Arable NPV'!$I149+'Arable NPV'!$I149</f>
        <v>3269.7314744655914</v>
      </c>
      <c r="CN69" s="197">
        <f t="shared" si="174"/>
        <v>-1151.2514744655914</v>
      </c>
      <c r="CO69" s="197">
        <f t="shared" si="175"/>
        <v>-931.2514744655914</v>
      </c>
      <c r="CP69" s="196">
        <f t="shared" si="155"/>
        <v>1674.2655164687992</v>
      </c>
      <c r="CQ69" s="197">
        <f t="shared" si="156"/>
        <v>173.86919566063204</v>
      </c>
      <c r="CR69" s="197">
        <f t="shared" si="157"/>
        <v>2584.1162795072041</v>
      </c>
      <c r="CS69" s="197">
        <f t="shared" si="158"/>
        <v>-909.85076303840481</v>
      </c>
      <c r="CT69" s="199">
        <f t="shared" si="159"/>
        <v>-735.98156737777276</v>
      </c>
      <c r="CU69" s="196">
        <f t="shared" si="176"/>
        <v>9888.7589599891435</v>
      </c>
      <c r="CV69" s="197">
        <f t="shared" si="176"/>
        <v>1373.2701084841974</v>
      </c>
      <c r="CW69" s="197">
        <f t="shared" si="176"/>
        <v>17392.987985677995</v>
      </c>
      <c r="CX69" s="197">
        <f t="shared" si="176"/>
        <v>-7504.22902568885</v>
      </c>
      <c r="CY69" s="199">
        <f t="shared" si="177"/>
        <v>-6130.9589172046535</v>
      </c>
      <c r="DB69" s="204">
        <f t="shared" si="186"/>
        <v>7</v>
      </c>
      <c r="DC69" s="219" t="s">
        <v>7</v>
      </c>
      <c r="DD69" s="747">
        <f>'Arable Inputs'!$G$18</f>
        <v>78</v>
      </c>
      <c r="DE69" s="747">
        <f>'Arable Inputs'!$G$25</f>
        <v>27.16</v>
      </c>
      <c r="DH69" s="749">
        <f>DD69*DE69</f>
        <v>2118.48</v>
      </c>
      <c r="DI69" s="197">
        <f>'Arable NPV'!$E149</f>
        <v>220</v>
      </c>
      <c r="DJ69" s="197">
        <f t="shared" si="178"/>
        <v>2338.48</v>
      </c>
      <c r="DK69" s="197">
        <f>'Arable NPV'!$G149</f>
        <v>793.83573723279574</v>
      </c>
      <c r="DL69" s="197">
        <f>'Arable NPV'!$H149</f>
        <v>841.03</v>
      </c>
      <c r="DM69" s="197">
        <f>'Arable NPV'!$I149-'Arable NPV'!$I149</f>
        <v>0</v>
      </c>
      <c r="DN69" s="197">
        <f t="shared" si="179"/>
        <v>2118.48</v>
      </c>
      <c r="DO69" s="197">
        <f t="shared" si="180"/>
        <v>2338.48</v>
      </c>
      <c r="DP69" s="196">
        <f t="shared" si="160"/>
        <v>1674.2655164687992</v>
      </c>
      <c r="DQ69" s="197">
        <f t="shared" si="161"/>
        <v>173.86919566063204</v>
      </c>
      <c r="DR69" s="197">
        <f t="shared" si="162"/>
        <v>0</v>
      </c>
      <c r="DS69" s="197">
        <f t="shared" si="163"/>
        <v>1674.2655164687992</v>
      </c>
      <c r="DT69" s="199">
        <f t="shared" si="164"/>
        <v>1848.1347121294311</v>
      </c>
      <c r="DU69" s="196">
        <f t="shared" si="181"/>
        <v>9888.7589599891435</v>
      </c>
      <c r="DV69" s="197">
        <f t="shared" si="181"/>
        <v>1373.2701084841974</v>
      </c>
      <c r="DW69" s="197">
        <f t="shared" si="181"/>
        <v>0</v>
      </c>
      <c r="DX69" s="197">
        <f t="shared" si="181"/>
        <v>9888.7589599891435</v>
      </c>
      <c r="DY69" s="199">
        <f t="shared" si="181"/>
        <v>11262.029068473341</v>
      </c>
    </row>
    <row r="70" spans="2:129" x14ac:dyDescent="0.3">
      <c r="B70" s="204">
        <f t="shared" si="182"/>
        <v>8</v>
      </c>
      <c r="C70" s="219" t="s">
        <v>31</v>
      </c>
      <c r="D70" s="747">
        <f>'Arable Inputs'!$H$18</f>
        <v>12</v>
      </c>
      <c r="E70" s="747">
        <f>'Arable Inputs'!$H$25</f>
        <v>107.1</v>
      </c>
      <c r="H70" s="749">
        <f t="shared" si="165"/>
        <v>1285.1999999999998</v>
      </c>
      <c r="I70" s="197">
        <f>'Arable NPV'!$E150</f>
        <v>220</v>
      </c>
      <c r="J70" s="197">
        <f t="shared" si="166"/>
        <v>1505.1999999999998</v>
      </c>
      <c r="K70" s="197">
        <f>'Arable NPV'!$G150</f>
        <v>528.51499999999999</v>
      </c>
      <c r="L70" s="197">
        <f>'Arable NPV'!$H150</f>
        <v>552.40000000000009</v>
      </c>
      <c r="M70" s="197">
        <f t="shared" si="167"/>
        <v>1080.915</v>
      </c>
      <c r="N70" s="197">
        <f t="shared" si="134"/>
        <v>204.28499999999985</v>
      </c>
      <c r="O70" s="197">
        <f t="shared" si="135"/>
        <v>424.28499999999985</v>
      </c>
      <c r="P70" s="196">
        <f t="shared" si="136"/>
        <v>976.64637352729153</v>
      </c>
      <c r="Q70" s="197">
        <f t="shared" si="137"/>
        <v>167.18191890445391</v>
      </c>
      <c r="R70" s="197">
        <f t="shared" si="138"/>
        <v>821.40656305730818</v>
      </c>
      <c r="S70" s="197">
        <f t="shared" si="139"/>
        <v>155.23981046998338</v>
      </c>
      <c r="T70" s="199">
        <f t="shared" si="140"/>
        <v>322.42172937443729</v>
      </c>
      <c r="U70" s="196">
        <f t="shared" si="168"/>
        <v>10865.405333516435</v>
      </c>
      <c r="V70" s="197">
        <f t="shared" si="168"/>
        <v>1540.4520273886512</v>
      </c>
      <c r="W70" s="197">
        <f t="shared" si="168"/>
        <v>9517.9005558963054</v>
      </c>
      <c r="X70" s="197">
        <f t="shared" si="168"/>
        <v>1347.5047776201309</v>
      </c>
      <c r="Y70" s="199">
        <f t="shared" si="168"/>
        <v>2887.9568050087819</v>
      </c>
      <c r="AB70" s="204">
        <f t="shared" si="183"/>
        <v>8</v>
      </c>
      <c r="AC70" s="219" t="s">
        <v>31</v>
      </c>
      <c r="AD70" s="747">
        <f>'Arable Inputs'!$H$18</f>
        <v>12</v>
      </c>
      <c r="AE70" s="747">
        <f>'Arable Inputs'!$H$25</f>
        <v>107.1</v>
      </c>
      <c r="AH70" s="749">
        <f>AD70*AE70</f>
        <v>1285.1999999999998</v>
      </c>
      <c r="AI70" s="197">
        <f>'Arable NPV'!$E150</f>
        <v>220</v>
      </c>
      <c r="AJ70" s="197">
        <f t="shared" si="141"/>
        <v>1505.1999999999998</v>
      </c>
      <c r="AK70" s="197">
        <f>'Arable NPV'!$G150</f>
        <v>528.51499999999999</v>
      </c>
      <c r="AL70" s="197">
        <f>'Arable NPV'!$H150</f>
        <v>552.40000000000009</v>
      </c>
      <c r="AM70" s="197">
        <f>'Arable NPV'!$I150+0.5*'Arable NPV'!$I150</f>
        <v>1621.3724999999999</v>
      </c>
      <c r="AN70" s="197">
        <f t="shared" si="142"/>
        <v>-336.17250000000013</v>
      </c>
      <c r="AO70" s="197">
        <f t="shared" si="169"/>
        <v>-116.17250000000013</v>
      </c>
      <c r="AP70" s="196">
        <f t="shared" si="143"/>
        <v>976.64637352729153</v>
      </c>
      <c r="AQ70" s="197">
        <f t="shared" si="144"/>
        <v>167.18191890445391</v>
      </c>
      <c r="AR70" s="197">
        <f t="shared" si="145"/>
        <v>1232.1098445859623</v>
      </c>
      <c r="AS70" s="197">
        <f t="shared" si="146"/>
        <v>-255.46347105867071</v>
      </c>
      <c r="AT70" s="199">
        <f t="shared" si="147"/>
        <v>-88.281552154216797</v>
      </c>
      <c r="AU70" s="196">
        <f t="shared" si="170"/>
        <v>10865.405333516435</v>
      </c>
      <c r="AV70" s="197">
        <f t="shared" si="170"/>
        <v>1540.4520273886512</v>
      </c>
      <c r="AW70" s="197">
        <f t="shared" si="170"/>
        <v>14276.850833844459</v>
      </c>
      <c r="AX70" s="197">
        <f t="shared" si="170"/>
        <v>-3411.4455003280218</v>
      </c>
      <c r="AY70" s="199">
        <f t="shared" si="170"/>
        <v>-1870.9934729393703</v>
      </c>
      <c r="BB70" s="204">
        <f t="shared" si="184"/>
        <v>8</v>
      </c>
      <c r="BC70" s="219" t="s">
        <v>31</v>
      </c>
      <c r="BD70" s="747">
        <f>'Arable Inputs'!$H$18</f>
        <v>12</v>
      </c>
      <c r="BE70" s="747">
        <f>'Arable Inputs'!$H$25</f>
        <v>107.1</v>
      </c>
      <c r="BH70" s="749">
        <f>BD70*BE70</f>
        <v>1285.1999999999998</v>
      </c>
      <c r="BI70" s="197">
        <f>'Arable NPV'!$E150</f>
        <v>220</v>
      </c>
      <c r="BJ70" s="197">
        <f t="shared" si="148"/>
        <v>1505.1999999999998</v>
      </c>
      <c r="BK70" s="197">
        <f>'Arable NPV'!$G150</f>
        <v>528.51499999999999</v>
      </c>
      <c r="BL70" s="197">
        <f>'Arable NPV'!$H150</f>
        <v>552.40000000000009</v>
      </c>
      <c r="BM70" s="197">
        <f>'Arable NPV'!$I150-0.5*'Arable NPV'!$I150</f>
        <v>540.45749999999998</v>
      </c>
      <c r="BN70" s="197">
        <f t="shared" si="149"/>
        <v>744.74249999999984</v>
      </c>
      <c r="BO70" s="197">
        <f t="shared" si="171"/>
        <v>964.74249999999984</v>
      </c>
      <c r="BP70" s="196">
        <f t="shared" si="150"/>
        <v>976.64637352729153</v>
      </c>
      <c r="BQ70" s="197">
        <f t="shared" si="151"/>
        <v>167.18191890445391</v>
      </c>
      <c r="BR70" s="197">
        <f t="shared" si="152"/>
        <v>410.70328152865409</v>
      </c>
      <c r="BS70" s="197">
        <f t="shared" si="153"/>
        <v>565.94309199863744</v>
      </c>
      <c r="BT70" s="199">
        <f t="shared" si="154"/>
        <v>733.12501090309138</v>
      </c>
      <c r="BU70" s="196">
        <f t="shared" si="172"/>
        <v>10865.405333516435</v>
      </c>
      <c r="BV70" s="197">
        <f t="shared" si="172"/>
        <v>1540.4520273886512</v>
      </c>
      <c r="BW70" s="197">
        <f t="shared" si="172"/>
        <v>4758.9502779481527</v>
      </c>
      <c r="BX70" s="197">
        <f t="shared" si="172"/>
        <v>6106.4550555682827</v>
      </c>
      <c r="BY70" s="199">
        <f t="shared" si="172"/>
        <v>7646.9070829569346</v>
      </c>
      <c r="CB70" s="204">
        <f t="shared" si="185"/>
        <v>8</v>
      </c>
      <c r="CC70" s="219" t="s">
        <v>31</v>
      </c>
      <c r="CD70" s="747">
        <f>'Arable Inputs'!$H$18</f>
        <v>12</v>
      </c>
      <c r="CE70" s="747">
        <f>'Arable Inputs'!$H$25</f>
        <v>107.1</v>
      </c>
      <c r="CH70" s="749">
        <f>CD70*CE70</f>
        <v>1285.1999999999998</v>
      </c>
      <c r="CI70" s="197">
        <f>'Arable NPV'!$E150</f>
        <v>220</v>
      </c>
      <c r="CJ70" s="197">
        <f t="shared" si="173"/>
        <v>1505.1999999999998</v>
      </c>
      <c r="CK70" s="197">
        <f>'Arable NPV'!$G150</f>
        <v>528.51499999999999</v>
      </c>
      <c r="CL70" s="197">
        <f>'Arable NPV'!$H150</f>
        <v>552.40000000000009</v>
      </c>
      <c r="CM70" s="197">
        <f>'Arable NPV'!$I150+'Arable NPV'!$I150</f>
        <v>2161.83</v>
      </c>
      <c r="CN70" s="197">
        <f t="shared" si="174"/>
        <v>-876.63000000000011</v>
      </c>
      <c r="CO70" s="197">
        <f t="shared" si="175"/>
        <v>-656.63000000000011</v>
      </c>
      <c r="CP70" s="196">
        <f t="shared" si="155"/>
        <v>976.64637352729153</v>
      </c>
      <c r="CQ70" s="197">
        <f t="shared" si="156"/>
        <v>167.18191890445391</v>
      </c>
      <c r="CR70" s="197">
        <f t="shared" si="157"/>
        <v>1642.8131261146164</v>
      </c>
      <c r="CS70" s="197">
        <f t="shared" si="158"/>
        <v>-666.16675258732482</v>
      </c>
      <c r="CT70" s="199">
        <f t="shared" si="159"/>
        <v>-498.98483368287089</v>
      </c>
      <c r="CU70" s="196">
        <f t="shared" si="176"/>
        <v>10865.405333516435</v>
      </c>
      <c r="CV70" s="197">
        <f t="shared" si="176"/>
        <v>1540.4520273886512</v>
      </c>
      <c r="CW70" s="197">
        <f t="shared" si="176"/>
        <v>19035.801111792611</v>
      </c>
      <c r="CX70" s="197">
        <f t="shared" si="176"/>
        <v>-8170.3957782761745</v>
      </c>
      <c r="CY70" s="199">
        <f t="shared" si="177"/>
        <v>-6629.9437508875244</v>
      </c>
      <c r="DB70" s="204">
        <f t="shared" si="186"/>
        <v>8</v>
      </c>
      <c r="DC70" s="219" t="s">
        <v>31</v>
      </c>
      <c r="DD70" s="747">
        <f>'Arable Inputs'!$H$18</f>
        <v>12</v>
      </c>
      <c r="DE70" s="747">
        <f>'Arable Inputs'!$H$25</f>
        <v>107.1</v>
      </c>
      <c r="DH70" s="749">
        <f>DD70*DE70</f>
        <v>1285.1999999999998</v>
      </c>
      <c r="DI70" s="197">
        <f>'Arable NPV'!$E150</f>
        <v>220</v>
      </c>
      <c r="DJ70" s="197">
        <f t="shared" si="178"/>
        <v>1505.1999999999998</v>
      </c>
      <c r="DK70" s="197">
        <f>'Arable NPV'!$G150</f>
        <v>528.51499999999999</v>
      </c>
      <c r="DL70" s="197">
        <f>'Arable NPV'!$H150</f>
        <v>552.40000000000009</v>
      </c>
      <c r="DM70" s="197">
        <f>'Arable NPV'!$I150-'Arable NPV'!$I150</f>
        <v>0</v>
      </c>
      <c r="DN70" s="197">
        <f t="shared" si="179"/>
        <v>1285.1999999999998</v>
      </c>
      <c r="DO70" s="197">
        <f t="shared" si="180"/>
        <v>1505.1999999999998</v>
      </c>
      <c r="DP70" s="196">
        <f t="shared" si="160"/>
        <v>976.64637352729153</v>
      </c>
      <c r="DQ70" s="197">
        <f t="shared" si="161"/>
        <v>167.18191890445391</v>
      </c>
      <c r="DR70" s="197">
        <f t="shared" si="162"/>
        <v>0</v>
      </c>
      <c r="DS70" s="197">
        <f t="shared" si="163"/>
        <v>976.64637352729153</v>
      </c>
      <c r="DT70" s="199">
        <f t="shared" si="164"/>
        <v>1143.8282924317455</v>
      </c>
      <c r="DU70" s="196">
        <f t="shared" si="181"/>
        <v>10865.405333516435</v>
      </c>
      <c r="DV70" s="197">
        <f t="shared" si="181"/>
        <v>1540.4520273886512</v>
      </c>
      <c r="DW70" s="197">
        <f t="shared" si="181"/>
        <v>0</v>
      </c>
      <c r="DX70" s="197">
        <f t="shared" si="181"/>
        <v>10865.405333516435</v>
      </c>
      <c r="DY70" s="199">
        <f t="shared" si="181"/>
        <v>12405.857360905087</v>
      </c>
    </row>
    <row r="71" spans="2:129" x14ac:dyDescent="0.3">
      <c r="B71" s="204">
        <f t="shared" si="182"/>
        <v>9</v>
      </c>
      <c r="C71" s="219" t="s">
        <v>6</v>
      </c>
      <c r="D71" s="747">
        <f>'Arable Inputs'!$F$18</f>
        <v>3.5</v>
      </c>
      <c r="E71" s="747">
        <f>'Arable Inputs'!$F$25</f>
        <v>335</v>
      </c>
      <c r="F71" s="747">
        <f>'Arable Inputs'!$F$19</f>
        <v>2.6</v>
      </c>
      <c r="G71" s="747">
        <f>'Arable Inputs'!$F$26</f>
        <v>37.5</v>
      </c>
      <c r="H71" s="749">
        <f>D71*E71+F71*G71</f>
        <v>1270</v>
      </c>
      <c r="I71" s="197">
        <f>'Arable NPV'!$E151</f>
        <v>220</v>
      </c>
      <c r="J71" s="197">
        <f t="shared" si="166"/>
        <v>1490</v>
      </c>
      <c r="K71" s="197">
        <f>'Arable NPV'!$G151</f>
        <v>541.75901992521074</v>
      </c>
      <c r="L71" s="197">
        <f>'Arable NPV'!$H151</f>
        <v>621.47428571428577</v>
      </c>
      <c r="M71" s="197">
        <f t="shared" si="167"/>
        <v>1163.2333056394964</v>
      </c>
      <c r="N71" s="197">
        <f t="shared" si="134"/>
        <v>106.76669436050361</v>
      </c>
      <c r="O71" s="197">
        <f t="shared" si="135"/>
        <v>326.76669436050361</v>
      </c>
      <c r="P71" s="196">
        <f t="shared" si="136"/>
        <v>927.97656035251941</v>
      </c>
      <c r="Q71" s="197">
        <f t="shared" si="137"/>
        <v>160.75184510043644</v>
      </c>
      <c r="R71" s="197">
        <f t="shared" si="138"/>
        <v>849.96318256285883</v>
      </c>
      <c r="S71" s="197">
        <f t="shared" si="139"/>
        <v>78.013377789660524</v>
      </c>
      <c r="T71" s="199">
        <f t="shared" si="140"/>
        <v>238.76522289009696</v>
      </c>
      <c r="U71" s="196">
        <f t="shared" si="168"/>
        <v>11793.381893868955</v>
      </c>
      <c r="V71" s="197">
        <f t="shared" si="168"/>
        <v>1701.2038724890876</v>
      </c>
      <c r="W71" s="197">
        <f t="shared" si="168"/>
        <v>10367.863738459164</v>
      </c>
      <c r="X71" s="197">
        <f t="shared" si="168"/>
        <v>1425.5181554097915</v>
      </c>
      <c r="Y71" s="199">
        <f t="shared" si="168"/>
        <v>3126.7220278988789</v>
      </c>
      <c r="AB71" s="204">
        <f t="shared" si="183"/>
        <v>9</v>
      </c>
      <c r="AC71" s="219" t="s">
        <v>6</v>
      </c>
      <c r="AD71" s="747">
        <f>'Arable Inputs'!$F$18</f>
        <v>3.5</v>
      </c>
      <c r="AE71" s="747">
        <f>'Arable Inputs'!$F$25</f>
        <v>335</v>
      </c>
      <c r="AF71" s="747">
        <f>'Arable Inputs'!$F$19</f>
        <v>2.6</v>
      </c>
      <c r="AG71" s="747">
        <f>'Arable Inputs'!$F$26</f>
        <v>37.5</v>
      </c>
      <c r="AH71" s="749">
        <f>AD71*AE71+AF71*AG71</f>
        <v>1270</v>
      </c>
      <c r="AI71" s="197">
        <f>'Arable NPV'!$E151</f>
        <v>220</v>
      </c>
      <c r="AJ71" s="197">
        <f t="shared" si="141"/>
        <v>1490</v>
      </c>
      <c r="AK71" s="197">
        <f>'Arable NPV'!$G151</f>
        <v>541.75901992521074</v>
      </c>
      <c r="AL71" s="197">
        <f>'Arable NPV'!$H151</f>
        <v>621.47428571428577</v>
      </c>
      <c r="AM71" s="197">
        <f>'Arable NPV'!$I151+0.5*'Arable NPV'!$I151</f>
        <v>1744.8499584592446</v>
      </c>
      <c r="AN71" s="197">
        <f t="shared" si="142"/>
        <v>-474.84995845924459</v>
      </c>
      <c r="AO71" s="197">
        <f t="shared" si="169"/>
        <v>-254.84995845924459</v>
      </c>
      <c r="AP71" s="196">
        <f t="shared" si="143"/>
        <v>927.97656035251941</v>
      </c>
      <c r="AQ71" s="197">
        <f t="shared" si="144"/>
        <v>160.75184510043644</v>
      </c>
      <c r="AR71" s="197">
        <f t="shared" si="145"/>
        <v>1274.9447738442882</v>
      </c>
      <c r="AS71" s="197">
        <f t="shared" si="146"/>
        <v>-346.96821349176889</v>
      </c>
      <c r="AT71" s="199">
        <f t="shared" si="147"/>
        <v>-186.21636839133248</v>
      </c>
      <c r="AU71" s="196">
        <f t="shared" si="170"/>
        <v>11793.381893868955</v>
      </c>
      <c r="AV71" s="197">
        <f t="shared" si="170"/>
        <v>1701.2038724890876</v>
      </c>
      <c r="AW71" s="197">
        <f t="shared" si="170"/>
        <v>15551.795607688748</v>
      </c>
      <c r="AX71" s="197">
        <f t="shared" si="170"/>
        <v>-3758.4137138197907</v>
      </c>
      <c r="AY71" s="199">
        <f t="shared" si="170"/>
        <v>-2057.2098413307031</v>
      </c>
      <c r="BB71" s="204">
        <f t="shared" si="184"/>
        <v>9</v>
      </c>
      <c r="BC71" s="219" t="s">
        <v>6</v>
      </c>
      <c r="BD71" s="747">
        <f>'Arable Inputs'!$F$18</f>
        <v>3.5</v>
      </c>
      <c r="BE71" s="747">
        <f>'Arable Inputs'!$F$25</f>
        <v>335</v>
      </c>
      <c r="BF71" s="747">
        <f>'Arable Inputs'!$F$19</f>
        <v>2.6</v>
      </c>
      <c r="BG71" s="747">
        <f>'Arable Inputs'!$F$26</f>
        <v>37.5</v>
      </c>
      <c r="BH71" s="749">
        <f>BD71*BE71+BF71*BG71</f>
        <v>1270</v>
      </c>
      <c r="BI71" s="197">
        <f>'Arable NPV'!$E151</f>
        <v>220</v>
      </c>
      <c r="BJ71" s="197">
        <f t="shared" si="148"/>
        <v>1490</v>
      </c>
      <c r="BK71" s="197">
        <f>'Arable NPV'!$G151</f>
        <v>541.75901992521074</v>
      </c>
      <c r="BL71" s="197">
        <f>'Arable NPV'!$H151</f>
        <v>621.47428571428577</v>
      </c>
      <c r="BM71" s="197">
        <f>'Arable NPV'!$I151-0.5*'Arable NPV'!$I151</f>
        <v>581.6166528197482</v>
      </c>
      <c r="BN71" s="197">
        <f t="shared" si="149"/>
        <v>688.3833471802518</v>
      </c>
      <c r="BO71" s="197">
        <f t="shared" si="171"/>
        <v>908.3833471802518</v>
      </c>
      <c r="BP71" s="196">
        <f t="shared" si="150"/>
        <v>927.97656035251941</v>
      </c>
      <c r="BQ71" s="197">
        <f t="shared" si="151"/>
        <v>160.75184510043644</v>
      </c>
      <c r="BR71" s="197">
        <f t="shared" si="152"/>
        <v>424.98159128142942</v>
      </c>
      <c r="BS71" s="197">
        <f t="shared" si="153"/>
        <v>502.99496907108994</v>
      </c>
      <c r="BT71" s="199">
        <f t="shared" si="154"/>
        <v>663.74681417152635</v>
      </c>
      <c r="BU71" s="196">
        <f t="shared" si="172"/>
        <v>11793.381893868955</v>
      </c>
      <c r="BV71" s="197">
        <f t="shared" si="172"/>
        <v>1701.2038724890876</v>
      </c>
      <c r="BW71" s="197">
        <f t="shared" si="172"/>
        <v>5183.9318692295819</v>
      </c>
      <c r="BX71" s="197">
        <f t="shared" si="172"/>
        <v>6609.4500246393727</v>
      </c>
      <c r="BY71" s="199">
        <f t="shared" si="172"/>
        <v>8310.6538971284608</v>
      </c>
      <c r="CB71" s="204">
        <f t="shared" si="185"/>
        <v>9</v>
      </c>
      <c r="CC71" s="219" t="s">
        <v>6</v>
      </c>
      <c r="CD71" s="747">
        <f>'Arable Inputs'!$F$18</f>
        <v>3.5</v>
      </c>
      <c r="CE71" s="747">
        <f>'Arable Inputs'!$F$25</f>
        <v>335</v>
      </c>
      <c r="CF71" s="747">
        <f>'Arable Inputs'!$F$19</f>
        <v>2.6</v>
      </c>
      <c r="CG71" s="747">
        <f>'Arable Inputs'!$F$26</f>
        <v>37.5</v>
      </c>
      <c r="CH71" s="749">
        <f>CD71*CE71+CF71*CG71</f>
        <v>1270</v>
      </c>
      <c r="CI71" s="197">
        <f>'Arable NPV'!$E151</f>
        <v>220</v>
      </c>
      <c r="CJ71" s="197">
        <f t="shared" si="173"/>
        <v>1490</v>
      </c>
      <c r="CK71" s="197">
        <f>'Arable NPV'!$G151</f>
        <v>541.75901992521074</v>
      </c>
      <c r="CL71" s="197">
        <f>'Arable NPV'!$H151</f>
        <v>621.47428571428577</v>
      </c>
      <c r="CM71" s="197">
        <f>'Arable NPV'!$I151+'Arable NPV'!$I151</f>
        <v>2326.4666112789928</v>
      </c>
      <c r="CN71" s="197">
        <f t="shared" si="174"/>
        <v>-1056.4666112789928</v>
      </c>
      <c r="CO71" s="197">
        <f t="shared" si="175"/>
        <v>-836.46661127899279</v>
      </c>
      <c r="CP71" s="196">
        <f t="shared" si="155"/>
        <v>927.97656035251941</v>
      </c>
      <c r="CQ71" s="197">
        <f t="shared" si="156"/>
        <v>160.75184510043644</v>
      </c>
      <c r="CR71" s="197">
        <f t="shared" si="157"/>
        <v>1699.9263651257177</v>
      </c>
      <c r="CS71" s="197">
        <f t="shared" si="158"/>
        <v>-771.94980477319837</v>
      </c>
      <c r="CT71" s="199">
        <f t="shared" si="159"/>
        <v>-611.19795967276195</v>
      </c>
      <c r="CU71" s="196">
        <f t="shared" si="176"/>
        <v>11793.381893868955</v>
      </c>
      <c r="CV71" s="197">
        <f t="shared" si="176"/>
        <v>1701.2038724890876</v>
      </c>
      <c r="CW71" s="197">
        <f t="shared" si="176"/>
        <v>20735.727476918328</v>
      </c>
      <c r="CX71" s="197">
        <f t="shared" si="176"/>
        <v>-8942.3455830493731</v>
      </c>
      <c r="CY71" s="199">
        <f t="shared" si="177"/>
        <v>-7241.1417105602868</v>
      </c>
      <c r="DB71" s="204">
        <f t="shared" si="186"/>
        <v>9</v>
      </c>
      <c r="DC71" s="219" t="s">
        <v>6</v>
      </c>
      <c r="DD71" s="747">
        <f>'Arable Inputs'!$F$18</f>
        <v>3.5</v>
      </c>
      <c r="DE71" s="747">
        <f>'Arable Inputs'!$F$25</f>
        <v>335</v>
      </c>
      <c r="DF71" s="747">
        <f>'Arable Inputs'!$F$19</f>
        <v>2.6</v>
      </c>
      <c r="DG71" s="747">
        <f>'Arable Inputs'!$F$26</f>
        <v>37.5</v>
      </c>
      <c r="DH71" s="749">
        <f>DD71*DE71+DF71*DG71</f>
        <v>1270</v>
      </c>
      <c r="DI71" s="197">
        <f>'Arable NPV'!$E151</f>
        <v>220</v>
      </c>
      <c r="DJ71" s="197">
        <f t="shared" si="178"/>
        <v>1490</v>
      </c>
      <c r="DK71" s="197">
        <f>'Arable NPV'!$G151</f>
        <v>541.75901992521074</v>
      </c>
      <c r="DL71" s="197">
        <f>'Arable NPV'!$H151</f>
        <v>621.47428571428577</v>
      </c>
      <c r="DM71" s="197">
        <f>'Arable NPV'!$I151-'Arable NPV'!$I151</f>
        <v>0</v>
      </c>
      <c r="DN71" s="197">
        <f t="shared" si="179"/>
        <v>1270</v>
      </c>
      <c r="DO71" s="197">
        <f t="shared" si="180"/>
        <v>1490</v>
      </c>
      <c r="DP71" s="196">
        <f t="shared" si="160"/>
        <v>927.97656035251941</v>
      </c>
      <c r="DQ71" s="197">
        <f t="shared" si="161"/>
        <v>160.75184510043644</v>
      </c>
      <c r="DR71" s="197">
        <f t="shared" si="162"/>
        <v>0</v>
      </c>
      <c r="DS71" s="197">
        <f t="shared" si="163"/>
        <v>927.97656035251941</v>
      </c>
      <c r="DT71" s="199">
        <f t="shared" si="164"/>
        <v>1088.7284054529557</v>
      </c>
      <c r="DU71" s="196">
        <f t="shared" si="181"/>
        <v>11793.381893868955</v>
      </c>
      <c r="DV71" s="197">
        <f t="shared" si="181"/>
        <v>1701.2038724890876</v>
      </c>
      <c r="DW71" s="197">
        <f t="shared" si="181"/>
        <v>0</v>
      </c>
      <c r="DX71" s="197">
        <f t="shared" si="181"/>
        <v>11793.381893868955</v>
      </c>
      <c r="DY71" s="199">
        <f t="shared" si="181"/>
        <v>13494.585766358043</v>
      </c>
    </row>
    <row r="72" spans="2:129" x14ac:dyDescent="0.3">
      <c r="B72" s="204">
        <f t="shared" si="182"/>
        <v>10</v>
      </c>
      <c r="C72" s="219" t="s">
        <v>5</v>
      </c>
      <c r="D72" s="747">
        <f>'Arable Inputs'!$E$18</f>
        <v>6.3</v>
      </c>
      <c r="E72" s="747">
        <f>'Arable Inputs'!$E$25</f>
        <v>140</v>
      </c>
      <c r="F72" s="747">
        <f>'Arable Inputs'!$E$19</f>
        <v>3.5</v>
      </c>
      <c r="G72" s="747">
        <f>'Arable Inputs'!$E$26</f>
        <v>70</v>
      </c>
      <c r="H72" s="749">
        <f>D72*E72+F72*G72</f>
        <v>1127</v>
      </c>
      <c r="I72" s="197">
        <f>'Arable NPV'!$E152</f>
        <v>220</v>
      </c>
      <c r="J72" s="197">
        <f t="shared" si="166"/>
        <v>1347</v>
      </c>
      <c r="K72" s="197">
        <f>'Arable NPV'!$G152</f>
        <v>418.54877602277168</v>
      </c>
      <c r="L72" s="197">
        <f>'Arable NPV'!$H152</f>
        <v>773.65999999999985</v>
      </c>
      <c r="M72" s="197">
        <f t="shared" si="167"/>
        <v>1192.2087760227714</v>
      </c>
      <c r="N72" s="197">
        <f t="shared" si="134"/>
        <v>-65.208776022771417</v>
      </c>
      <c r="O72" s="197">
        <f t="shared" si="135"/>
        <v>154.79122397722858</v>
      </c>
      <c r="P72" s="196">
        <f t="shared" si="136"/>
        <v>791.81525099734199</v>
      </c>
      <c r="Q72" s="197">
        <f t="shared" si="137"/>
        <v>154.5690818273427</v>
      </c>
      <c r="R72" s="197">
        <f t="shared" si="138"/>
        <v>837.63007207427199</v>
      </c>
      <c r="S72" s="197">
        <f t="shared" si="139"/>
        <v>-45.81482107693008</v>
      </c>
      <c r="T72" s="199">
        <f t="shared" si="140"/>
        <v>108.75426075041263</v>
      </c>
      <c r="U72" s="196">
        <f t="shared" si="168"/>
        <v>12585.197144866297</v>
      </c>
      <c r="V72" s="197">
        <f t="shared" si="168"/>
        <v>1855.7729543164303</v>
      </c>
      <c r="W72" s="197">
        <f t="shared" si="168"/>
        <v>11205.493810533437</v>
      </c>
      <c r="X72" s="197">
        <f t="shared" si="168"/>
        <v>1379.7033343328615</v>
      </c>
      <c r="Y72" s="199">
        <f t="shared" si="168"/>
        <v>3235.4762886492913</v>
      </c>
      <c r="AB72" s="204">
        <f t="shared" si="183"/>
        <v>10</v>
      </c>
      <c r="AC72" s="219" t="s">
        <v>5</v>
      </c>
      <c r="AD72" s="747">
        <f>'Arable Inputs'!$E$18</f>
        <v>6.3</v>
      </c>
      <c r="AE72" s="747">
        <f>'Arable Inputs'!$E$25</f>
        <v>140</v>
      </c>
      <c r="AF72" s="747">
        <f>'Arable Inputs'!$E$19</f>
        <v>3.5</v>
      </c>
      <c r="AG72" s="747">
        <f>'Arable Inputs'!$E$26</f>
        <v>70</v>
      </c>
      <c r="AH72" s="749">
        <f>AD72*AE72+AF72*AG72</f>
        <v>1127</v>
      </c>
      <c r="AI72" s="197">
        <f>'Arable NPV'!$E152</f>
        <v>220</v>
      </c>
      <c r="AJ72" s="197">
        <f t="shared" si="141"/>
        <v>1347</v>
      </c>
      <c r="AK72" s="197">
        <f>'Arable NPV'!$G152</f>
        <v>418.54877602277168</v>
      </c>
      <c r="AL72" s="197">
        <f>'Arable NPV'!$H152</f>
        <v>773.65999999999985</v>
      </c>
      <c r="AM72" s="197">
        <f>'Arable NPV'!$I152+0.5*'Arable NPV'!$I152</f>
        <v>1788.3131640341571</v>
      </c>
      <c r="AN72" s="197">
        <f t="shared" si="142"/>
        <v>-661.31316403415713</v>
      </c>
      <c r="AO72" s="197">
        <f t="shared" si="169"/>
        <v>-441.31316403415713</v>
      </c>
      <c r="AP72" s="196">
        <f t="shared" si="143"/>
        <v>791.81525099734199</v>
      </c>
      <c r="AQ72" s="197">
        <f t="shared" si="144"/>
        <v>154.5690818273427</v>
      </c>
      <c r="AR72" s="197">
        <f t="shared" si="145"/>
        <v>1256.445108111408</v>
      </c>
      <c r="AS72" s="197">
        <f t="shared" si="146"/>
        <v>-464.62985711406611</v>
      </c>
      <c r="AT72" s="199">
        <f t="shared" si="147"/>
        <v>-310.06077528672341</v>
      </c>
      <c r="AU72" s="196">
        <f t="shared" si="170"/>
        <v>12585.197144866297</v>
      </c>
      <c r="AV72" s="197">
        <f t="shared" si="170"/>
        <v>1855.7729543164303</v>
      </c>
      <c r="AW72" s="197">
        <f t="shared" si="170"/>
        <v>16808.240715800155</v>
      </c>
      <c r="AX72" s="197">
        <f t="shared" si="170"/>
        <v>-4223.0435709338572</v>
      </c>
      <c r="AY72" s="199">
        <f t="shared" si="170"/>
        <v>-2367.2706166174266</v>
      </c>
      <c r="BB72" s="204">
        <f t="shared" si="184"/>
        <v>10</v>
      </c>
      <c r="BC72" s="219" t="s">
        <v>5</v>
      </c>
      <c r="BD72" s="747">
        <f>'Arable Inputs'!$E$18</f>
        <v>6.3</v>
      </c>
      <c r="BE72" s="747">
        <f>'Arable Inputs'!$E$25</f>
        <v>140</v>
      </c>
      <c r="BF72" s="747">
        <f>'Arable Inputs'!$E$19</f>
        <v>3.5</v>
      </c>
      <c r="BG72" s="747">
        <f>'Arable Inputs'!$E$26</f>
        <v>70</v>
      </c>
      <c r="BH72" s="749">
        <f>BD72*BE72+BF72*BG72</f>
        <v>1127</v>
      </c>
      <c r="BI72" s="197">
        <f>'Arable NPV'!$E152</f>
        <v>220</v>
      </c>
      <c r="BJ72" s="197">
        <f t="shared" si="148"/>
        <v>1347</v>
      </c>
      <c r="BK72" s="197">
        <f>'Arable NPV'!$G152</f>
        <v>418.54877602277168</v>
      </c>
      <c r="BL72" s="197">
        <f>'Arable NPV'!$H152</f>
        <v>773.65999999999985</v>
      </c>
      <c r="BM72" s="197">
        <f>'Arable NPV'!$I152-0.5*'Arable NPV'!$I152</f>
        <v>596.10438801138571</v>
      </c>
      <c r="BN72" s="197">
        <f t="shared" si="149"/>
        <v>530.89561198861429</v>
      </c>
      <c r="BO72" s="197">
        <f t="shared" si="171"/>
        <v>750.89561198861429</v>
      </c>
      <c r="BP72" s="196">
        <f t="shared" si="150"/>
        <v>791.81525099734199</v>
      </c>
      <c r="BQ72" s="197">
        <f t="shared" si="151"/>
        <v>154.5690818273427</v>
      </c>
      <c r="BR72" s="197">
        <f t="shared" si="152"/>
        <v>418.815036037136</v>
      </c>
      <c r="BS72" s="197">
        <f t="shared" si="153"/>
        <v>373.00021496020594</v>
      </c>
      <c r="BT72" s="199">
        <f t="shared" si="154"/>
        <v>527.56929678754864</v>
      </c>
      <c r="BU72" s="196">
        <f t="shared" si="172"/>
        <v>12585.197144866297</v>
      </c>
      <c r="BV72" s="197">
        <f t="shared" si="172"/>
        <v>1855.7729543164303</v>
      </c>
      <c r="BW72" s="197">
        <f t="shared" si="172"/>
        <v>5602.7469052667184</v>
      </c>
      <c r="BX72" s="197">
        <f t="shared" si="172"/>
        <v>6982.4502395995787</v>
      </c>
      <c r="BY72" s="199">
        <f t="shared" si="172"/>
        <v>8838.2231939160101</v>
      </c>
      <c r="CB72" s="204">
        <f t="shared" si="185"/>
        <v>10</v>
      </c>
      <c r="CC72" s="219" t="s">
        <v>5</v>
      </c>
      <c r="CD72" s="747">
        <f>'Arable Inputs'!$E$18</f>
        <v>6.3</v>
      </c>
      <c r="CE72" s="747">
        <f>'Arable Inputs'!$E$25</f>
        <v>140</v>
      </c>
      <c r="CF72" s="747">
        <f>'Arable Inputs'!$E$19</f>
        <v>3.5</v>
      </c>
      <c r="CG72" s="747">
        <f>'Arable Inputs'!$E$26</f>
        <v>70</v>
      </c>
      <c r="CH72" s="749">
        <f>CD72*CE72+CF72*CG72</f>
        <v>1127</v>
      </c>
      <c r="CI72" s="197">
        <f>'Arable NPV'!$E152</f>
        <v>220</v>
      </c>
      <c r="CJ72" s="197">
        <f t="shared" si="173"/>
        <v>1347</v>
      </c>
      <c r="CK72" s="197">
        <f>'Arable NPV'!$G152</f>
        <v>418.54877602277168</v>
      </c>
      <c r="CL72" s="197">
        <f>'Arable NPV'!$H152</f>
        <v>773.65999999999985</v>
      </c>
      <c r="CM72" s="197">
        <f>'Arable NPV'!$I152+'Arable NPV'!$I152</f>
        <v>2384.4175520455428</v>
      </c>
      <c r="CN72" s="197">
        <f t="shared" si="174"/>
        <v>-1257.4175520455428</v>
      </c>
      <c r="CO72" s="197">
        <f t="shared" si="175"/>
        <v>-1037.4175520455428</v>
      </c>
      <c r="CP72" s="196">
        <f t="shared" si="155"/>
        <v>791.81525099734199</v>
      </c>
      <c r="CQ72" s="197">
        <f t="shared" si="156"/>
        <v>154.5690818273427</v>
      </c>
      <c r="CR72" s="197">
        <f t="shared" si="157"/>
        <v>1675.260144148544</v>
      </c>
      <c r="CS72" s="197">
        <f t="shared" si="158"/>
        <v>-883.44489315120211</v>
      </c>
      <c r="CT72" s="199">
        <f t="shared" si="159"/>
        <v>-728.87581132385947</v>
      </c>
      <c r="CU72" s="196">
        <f t="shared" si="176"/>
        <v>12585.197144866297</v>
      </c>
      <c r="CV72" s="197">
        <f t="shared" si="176"/>
        <v>1855.7729543164303</v>
      </c>
      <c r="CW72" s="197">
        <f t="shared" si="176"/>
        <v>22410.987621066874</v>
      </c>
      <c r="CX72" s="197">
        <f t="shared" si="176"/>
        <v>-9825.7904762005746</v>
      </c>
      <c r="CY72" s="199">
        <f t="shared" si="177"/>
        <v>-7970.0175218841459</v>
      </c>
      <c r="DB72" s="204">
        <f t="shared" si="186"/>
        <v>10</v>
      </c>
      <c r="DC72" s="219" t="s">
        <v>5</v>
      </c>
      <c r="DD72" s="747">
        <f>'Arable Inputs'!$E$18</f>
        <v>6.3</v>
      </c>
      <c r="DE72" s="747">
        <f>'Arable Inputs'!$E$25</f>
        <v>140</v>
      </c>
      <c r="DF72" s="747">
        <f>'Arable Inputs'!$E$19</f>
        <v>3.5</v>
      </c>
      <c r="DG72" s="747">
        <f>'Arable Inputs'!$E$26</f>
        <v>70</v>
      </c>
      <c r="DH72" s="749">
        <f>DD72*DE72+DF72*DG72</f>
        <v>1127</v>
      </c>
      <c r="DI72" s="197">
        <f>'Arable NPV'!$E152</f>
        <v>220</v>
      </c>
      <c r="DJ72" s="197">
        <f t="shared" si="178"/>
        <v>1347</v>
      </c>
      <c r="DK72" s="197">
        <f>'Arable NPV'!$G152</f>
        <v>418.54877602277168</v>
      </c>
      <c r="DL72" s="197">
        <f>'Arable NPV'!$H152</f>
        <v>773.65999999999985</v>
      </c>
      <c r="DM72" s="197">
        <f>'Arable NPV'!$I152-'Arable NPV'!$I152</f>
        <v>0</v>
      </c>
      <c r="DN72" s="197">
        <f t="shared" si="179"/>
        <v>1127</v>
      </c>
      <c r="DO72" s="197">
        <f t="shared" si="180"/>
        <v>1347</v>
      </c>
      <c r="DP72" s="196">
        <f t="shared" si="160"/>
        <v>791.81525099734199</v>
      </c>
      <c r="DQ72" s="197">
        <f t="shared" si="161"/>
        <v>154.5690818273427</v>
      </c>
      <c r="DR72" s="197">
        <f t="shared" si="162"/>
        <v>0</v>
      </c>
      <c r="DS72" s="197">
        <f t="shared" si="163"/>
        <v>791.81525099734199</v>
      </c>
      <c r="DT72" s="199">
        <f t="shared" si="164"/>
        <v>946.38433282468463</v>
      </c>
      <c r="DU72" s="196">
        <f t="shared" si="181"/>
        <v>12585.197144866297</v>
      </c>
      <c r="DV72" s="197">
        <f t="shared" si="181"/>
        <v>1855.7729543164303</v>
      </c>
      <c r="DW72" s="197">
        <f t="shared" si="181"/>
        <v>0</v>
      </c>
      <c r="DX72" s="197">
        <f t="shared" si="181"/>
        <v>12585.197144866297</v>
      </c>
      <c r="DY72" s="199">
        <f t="shared" si="181"/>
        <v>14440.970099182727</v>
      </c>
    </row>
    <row r="73" spans="2:129" x14ac:dyDescent="0.3">
      <c r="B73" s="204">
        <f t="shared" si="182"/>
        <v>11</v>
      </c>
      <c r="C73" s="219" t="s">
        <v>4</v>
      </c>
      <c r="D73" s="747">
        <f>'Arable Inputs'!$D$18</f>
        <v>8.25</v>
      </c>
      <c r="E73" s="747">
        <f>'Arable Inputs'!$D$25</f>
        <v>162</v>
      </c>
      <c r="F73" s="747">
        <f>'Arable Inputs'!$D$19</f>
        <v>3.9</v>
      </c>
      <c r="G73" s="747">
        <f>'Arable Inputs'!$D$26</f>
        <v>65</v>
      </c>
      <c r="H73" s="749">
        <f>D73*E73+F73*G73</f>
        <v>1590</v>
      </c>
      <c r="I73" s="197">
        <f>'Arable NPV'!$E153</f>
        <v>220</v>
      </c>
      <c r="J73" s="197">
        <f t="shared" si="166"/>
        <v>1810</v>
      </c>
      <c r="K73" s="197">
        <f>'Arable NPV'!$G153</f>
        <v>684.46423508399835</v>
      </c>
      <c r="L73" s="197">
        <f>'Arable NPV'!$H153</f>
        <v>841.31999999999994</v>
      </c>
      <c r="M73" s="197">
        <f t="shared" si="167"/>
        <v>1525.7842350839983</v>
      </c>
      <c r="N73" s="197">
        <f t="shared" si="134"/>
        <v>64.215764916001717</v>
      </c>
      <c r="O73" s="197">
        <f t="shared" si="135"/>
        <v>284.21576491600172</v>
      </c>
      <c r="P73" s="196">
        <f t="shared" si="136"/>
        <v>1074.1470284330196</v>
      </c>
      <c r="Q73" s="197">
        <f t="shared" si="137"/>
        <v>148.62411714167567</v>
      </c>
      <c r="R73" s="197">
        <f t="shared" si="138"/>
        <v>1030.7651585820281</v>
      </c>
      <c r="S73" s="197">
        <f t="shared" si="139"/>
        <v>43.381869850991578</v>
      </c>
      <c r="T73" s="199">
        <f t="shared" si="140"/>
        <v>192.00598699266726</v>
      </c>
      <c r="U73" s="196">
        <f t="shared" si="168"/>
        <v>13659.344173299316</v>
      </c>
      <c r="V73" s="197">
        <f t="shared" si="168"/>
        <v>2004.397071458106</v>
      </c>
      <c r="W73" s="197">
        <f t="shared" si="168"/>
        <v>12236.258969115464</v>
      </c>
      <c r="X73" s="197">
        <f t="shared" si="168"/>
        <v>1423.085204183853</v>
      </c>
      <c r="Y73" s="199">
        <f t="shared" si="168"/>
        <v>3427.4822756419585</v>
      </c>
      <c r="AB73" s="204">
        <f t="shared" si="183"/>
        <v>11</v>
      </c>
      <c r="AC73" s="219" t="s">
        <v>4</v>
      </c>
      <c r="AD73" s="747">
        <f>'Arable Inputs'!$D$18</f>
        <v>8.25</v>
      </c>
      <c r="AE73" s="747">
        <f>'Arable Inputs'!$D$25</f>
        <v>162</v>
      </c>
      <c r="AF73" s="747">
        <f>'Arable Inputs'!$D$19</f>
        <v>3.9</v>
      </c>
      <c r="AG73" s="747">
        <f>'Arable Inputs'!$D$26</f>
        <v>65</v>
      </c>
      <c r="AH73" s="749">
        <f>AD73*AE73+AF73*AG73</f>
        <v>1590</v>
      </c>
      <c r="AI73" s="197">
        <f>'Arable NPV'!$E153</f>
        <v>220</v>
      </c>
      <c r="AJ73" s="197">
        <f t="shared" si="141"/>
        <v>1810</v>
      </c>
      <c r="AK73" s="197">
        <f>'Arable NPV'!$G153</f>
        <v>684.46423508399835</v>
      </c>
      <c r="AL73" s="197">
        <f>'Arable NPV'!$H153</f>
        <v>841.31999999999994</v>
      </c>
      <c r="AM73" s="197">
        <f>'Arable NPV'!$I153+0.5*'Arable NPV'!$I153</f>
        <v>2288.6763526259974</v>
      </c>
      <c r="AN73" s="197">
        <f t="shared" si="142"/>
        <v>-698.67635262599742</v>
      </c>
      <c r="AO73" s="197">
        <f t="shared" si="169"/>
        <v>-478.67635262599742</v>
      </c>
      <c r="AP73" s="196">
        <f t="shared" si="143"/>
        <v>1074.1470284330196</v>
      </c>
      <c r="AQ73" s="197">
        <f t="shared" si="144"/>
        <v>148.62411714167567</v>
      </c>
      <c r="AR73" s="197">
        <f t="shared" si="145"/>
        <v>1546.1477378730422</v>
      </c>
      <c r="AS73" s="197">
        <f t="shared" si="146"/>
        <v>-472.00070944002249</v>
      </c>
      <c r="AT73" s="199">
        <f t="shared" si="147"/>
        <v>-323.37659229834679</v>
      </c>
      <c r="AU73" s="196">
        <f t="shared" si="170"/>
        <v>13659.344173299316</v>
      </c>
      <c r="AV73" s="197">
        <f t="shared" si="170"/>
        <v>2004.397071458106</v>
      </c>
      <c r="AW73" s="197">
        <f t="shared" si="170"/>
        <v>18354.388453673197</v>
      </c>
      <c r="AX73" s="197">
        <f t="shared" si="170"/>
        <v>-4695.0442803738797</v>
      </c>
      <c r="AY73" s="199">
        <f t="shared" si="170"/>
        <v>-2690.6472089157733</v>
      </c>
      <c r="BB73" s="204">
        <f t="shared" si="184"/>
        <v>11</v>
      </c>
      <c r="BC73" s="219" t="s">
        <v>4</v>
      </c>
      <c r="BD73" s="747">
        <f>'Arable Inputs'!$D$18</f>
        <v>8.25</v>
      </c>
      <c r="BE73" s="747">
        <f>'Arable Inputs'!$D$25</f>
        <v>162</v>
      </c>
      <c r="BF73" s="747">
        <f>'Arable Inputs'!$D$19</f>
        <v>3.9</v>
      </c>
      <c r="BG73" s="747">
        <f>'Arable Inputs'!$D$26</f>
        <v>65</v>
      </c>
      <c r="BH73" s="749">
        <f>BD73*BE73+BF73*BG73</f>
        <v>1590</v>
      </c>
      <c r="BI73" s="197">
        <f>'Arable NPV'!$E153</f>
        <v>220</v>
      </c>
      <c r="BJ73" s="197">
        <f t="shared" si="148"/>
        <v>1810</v>
      </c>
      <c r="BK73" s="197">
        <f>'Arable NPV'!$G153</f>
        <v>684.46423508399835</v>
      </c>
      <c r="BL73" s="197">
        <f>'Arable NPV'!$H153</f>
        <v>841.31999999999994</v>
      </c>
      <c r="BM73" s="197">
        <f>'Arable NPV'!$I153-0.5*'Arable NPV'!$I153</f>
        <v>762.89211754199914</v>
      </c>
      <c r="BN73" s="197">
        <f t="shared" si="149"/>
        <v>827.10788245800086</v>
      </c>
      <c r="BO73" s="197">
        <f t="shared" si="171"/>
        <v>1047.1078824580009</v>
      </c>
      <c r="BP73" s="196">
        <f t="shared" si="150"/>
        <v>1074.1470284330196</v>
      </c>
      <c r="BQ73" s="197">
        <f t="shared" si="151"/>
        <v>148.62411714167567</v>
      </c>
      <c r="BR73" s="197">
        <f t="shared" si="152"/>
        <v>515.38257929101405</v>
      </c>
      <c r="BS73" s="197">
        <f t="shared" si="153"/>
        <v>558.76444914200567</v>
      </c>
      <c r="BT73" s="199">
        <f t="shared" si="154"/>
        <v>707.38856628368137</v>
      </c>
      <c r="BU73" s="196">
        <f t="shared" si="172"/>
        <v>13659.344173299316</v>
      </c>
      <c r="BV73" s="197">
        <f t="shared" si="172"/>
        <v>2004.397071458106</v>
      </c>
      <c r="BW73" s="197">
        <f t="shared" si="172"/>
        <v>6118.1294845577322</v>
      </c>
      <c r="BX73" s="197">
        <f t="shared" si="172"/>
        <v>7541.2146887415847</v>
      </c>
      <c r="BY73" s="199">
        <f t="shared" si="172"/>
        <v>9545.6117601996921</v>
      </c>
      <c r="CB73" s="204">
        <f t="shared" si="185"/>
        <v>11</v>
      </c>
      <c r="CC73" s="219" t="s">
        <v>4</v>
      </c>
      <c r="CD73" s="747">
        <f>'Arable Inputs'!$D$18</f>
        <v>8.25</v>
      </c>
      <c r="CE73" s="747">
        <f>'Arable Inputs'!$D$25</f>
        <v>162</v>
      </c>
      <c r="CF73" s="747">
        <f>'Arable Inputs'!$D$19</f>
        <v>3.9</v>
      </c>
      <c r="CG73" s="747">
        <f>'Arable Inputs'!$D$26</f>
        <v>65</v>
      </c>
      <c r="CH73" s="749">
        <f>CD73*CE73+CF73*CG73</f>
        <v>1590</v>
      </c>
      <c r="CI73" s="197">
        <f>'Arable NPV'!$E153</f>
        <v>220</v>
      </c>
      <c r="CJ73" s="197">
        <f t="shared" si="173"/>
        <v>1810</v>
      </c>
      <c r="CK73" s="197">
        <f>'Arable NPV'!$G153</f>
        <v>684.46423508399835</v>
      </c>
      <c r="CL73" s="197">
        <f>'Arable NPV'!$H153</f>
        <v>841.31999999999994</v>
      </c>
      <c r="CM73" s="197">
        <f>'Arable NPV'!$I153+'Arable NPV'!$I153</f>
        <v>3051.5684701679966</v>
      </c>
      <c r="CN73" s="197">
        <f t="shared" si="174"/>
        <v>-1461.5684701679966</v>
      </c>
      <c r="CO73" s="197">
        <f t="shared" si="175"/>
        <v>-1241.5684701679966</v>
      </c>
      <c r="CP73" s="196">
        <f t="shared" si="155"/>
        <v>1074.1470284330196</v>
      </c>
      <c r="CQ73" s="197">
        <f t="shared" si="156"/>
        <v>148.62411714167567</v>
      </c>
      <c r="CR73" s="197">
        <f t="shared" si="157"/>
        <v>2061.5303171640562</v>
      </c>
      <c r="CS73" s="197">
        <f t="shared" si="158"/>
        <v>-987.3832887310366</v>
      </c>
      <c r="CT73" s="199">
        <f t="shared" si="159"/>
        <v>-838.7591715893609</v>
      </c>
      <c r="CU73" s="196">
        <f t="shared" si="176"/>
        <v>13659.344173299316</v>
      </c>
      <c r="CV73" s="197">
        <f t="shared" si="176"/>
        <v>2004.397071458106</v>
      </c>
      <c r="CW73" s="197">
        <f t="shared" si="176"/>
        <v>24472.517938230929</v>
      </c>
      <c r="CX73" s="197">
        <f t="shared" si="176"/>
        <v>-10813.173764931611</v>
      </c>
      <c r="CY73" s="199">
        <f t="shared" si="177"/>
        <v>-8808.7766934735064</v>
      </c>
      <c r="DB73" s="204">
        <f t="shared" si="186"/>
        <v>11</v>
      </c>
      <c r="DC73" s="219" t="s">
        <v>4</v>
      </c>
      <c r="DD73" s="747">
        <f>'Arable Inputs'!$D$18</f>
        <v>8.25</v>
      </c>
      <c r="DE73" s="747">
        <f>'Arable Inputs'!$D$25</f>
        <v>162</v>
      </c>
      <c r="DF73" s="747">
        <f>'Arable Inputs'!$D$19</f>
        <v>3.9</v>
      </c>
      <c r="DG73" s="747">
        <f>'Arable Inputs'!$D$26</f>
        <v>65</v>
      </c>
      <c r="DH73" s="749">
        <f>DD73*DE73+DF73*DG73</f>
        <v>1590</v>
      </c>
      <c r="DI73" s="197">
        <f>'Arable NPV'!$E153</f>
        <v>220</v>
      </c>
      <c r="DJ73" s="197">
        <f t="shared" si="178"/>
        <v>1810</v>
      </c>
      <c r="DK73" s="197">
        <f>'Arable NPV'!$G153</f>
        <v>684.46423508399835</v>
      </c>
      <c r="DL73" s="197">
        <f>'Arable NPV'!$H153</f>
        <v>841.31999999999994</v>
      </c>
      <c r="DM73" s="197">
        <f>'Arable NPV'!$I153-'Arable NPV'!$I153</f>
        <v>0</v>
      </c>
      <c r="DN73" s="197">
        <f t="shared" si="179"/>
        <v>1590</v>
      </c>
      <c r="DO73" s="197">
        <f t="shared" si="180"/>
        <v>1810</v>
      </c>
      <c r="DP73" s="196">
        <f t="shared" si="160"/>
        <v>1074.1470284330196</v>
      </c>
      <c r="DQ73" s="197">
        <f t="shared" si="161"/>
        <v>148.62411714167567</v>
      </c>
      <c r="DR73" s="197">
        <f t="shared" si="162"/>
        <v>0</v>
      </c>
      <c r="DS73" s="197">
        <f t="shared" si="163"/>
        <v>1074.1470284330196</v>
      </c>
      <c r="DT73" s="199">
        <f t="shared" si="164"/>
        <v>1222.7711455746953</v>
      </c>
      <c r="DU73" s="196">
        <f t="shared" si="181"/>
        <v>13659.344173299316</v>
      </c>
      <c r="DV73" s="197">
        <f t="shared" si="181"/>
        <v>2004.397071458106</v>
      </c>
      <c r="DW73" s="197">
        <f t="shared" si="181"/>
        <v>0</v>
      </c>
      <c r="DX73" s="197">
        <f t="shared" si="181"/>
        <v>13659.344173299316</v>
      </c>
      <c r="DY73" s="199">
        <f t="shared" si="181"/>
        <v>15663.741244757422</v>
      </c>
    </row>
    <row r="74" spans="2:129" x14ac:dyDescent="0.3">
      <c r="B74" s="204">
        <f t="shared" si="182"/>
        <v>12</v>
      </c>
      <c r="C74" s="219" t="s">
        <v>7</v>
      </c>
      <c r="D74" s="747">
        <f>'Arable Inputs'!$G$18</f>
        <v>78</v>
      </c>
      <c r="E74" s="747">
        <f>'Arable Inputs'!$G$25</f>
        <v>27.16</v>
      </c>
      <c r="H74" s="749">
        <f t="shared" si="165"/>
        <v>2118.48</v>
      </c>
      <c r="I74" s="197">
        <f>'Arable NPV'!$E154</f>
        <v>220</v>
      </c>
      <c r="J74" s="197">
        <f t="shared" si="166"/>
        <v>2338.48</v>
      </c>
      <c r="K74" s="197">
        <f>'Arable NPV'!$G154</f>
        <v>793.83573723279574</v>
      </c>
      <c r="L74" s="197">
        <f>'Arable NPV'!$H154</f>
        <v>841.03</v>
      </c>
      <c r="M74" s="197">
        <f t="shared" si="167"/>
        <v>1634.8657372327957</v>
      </c>
      <c r="N74" s="197">
        <f t="shared" si="134"/>
        <v>483.61426276720431</v>
      </c>
      <c r="O74" s="197">
        <f t="shared" si="135"/>
        <v>703.61426276720431</v>
      </c>
      <c r="P74" s="196">
        <f t="shared" si="136"/>
        <v>1376.1242118981518</v>
      </c>
      <c r="Q74" s="197">
        <f t="shared" si="137"/>
        <v>142.90780494391893</v>
      </c>
      <c r="R74" s="197">
        <f t="shared" si="138"/>
        <v>1061.9776085725482</v>
      </c>
      <c r="S74" s="197">
        <f t="shared" si="139"/>
        <v>314.14660332560362</v>
      </c>
      <c r="T74" s="199">
        <f t="shared" si="140"/>
        <v>457.05440826952253</v>
      </c>
      <c r="U74" s="196">
        <f t="shared" si="168"/>
        <v>15035.468385197468</v>
      </c>
      <c r="V74" s="197">
        <f t="shared" si="168"/>
        <v>2147.304876402025</v>
      </c>
      <c r="W74" s="197">
        <f t="shared" si="168"/>
        <v>13298.236577688012</v>
      </c>
      <c r="X74" s="197">
        <f t="shared" si="168"/>
        <v>1737.2318075094565</v>
      </c>
      <c r="Y74" s="199">
        <f t="shared" si="168"/>
        <v>3884.5366839114808</v>
      </c>
      <c r="AB74" s="204">
        <f t="shared" si="183"/>
        <v>12</v>
      </c>
      <c r="AC74" s="219" t="s">
        <v>7</v>
      </c>
      <c r="AD74" s="747">
        <f>'Arable Inputs'!$G$18</f>
        <v>78</v>
      </c>
      <c r="AE74" s="747">
        <f>'Arable Inputs'!$G$25</f>
        <v>27.16</v>
      </c>
      <c r="AH74" s="749">
        <f>AD74*AE74</f>
        <v>2118.48</v>
      </c>
      <c r="AI74" s="197">
        <f>'Arable NPV'!$E154</f>
        <v>220</v>
      </c>
      <c r="AJ74" s="197">
        <f t="shared" si="141"/>
        <v>2338.48</v>
      </c>
      <c r="AK74" s="197">
        <f>'Arable NPV'!$G154</f>
        <v>793.83573723279574</v>
      </c>
      <c r="AL74" s="197">
        <f>'Arable NPV'!$H154</f>
        <v>841.03</v>
      </c>
      <c r="AM74" s="197">
        <f>'Arable NPV'!$I154+0.5*'Arable NPV'!$I154</f>
        <v>2452.2986058491933</v>
      </c>
      <c r="AN74" s="197">
        <f t="shared" si="142"/>
        <v>-333.81860584919332</v>
      </c>
      <c r="AO74" s="197">
        <f t="shared" si="169"/>
        <v>-113.81860584919332</v>
      </c>
      <c r="AP74" s="196">
        <f t="shared" si="143"/>
        <v>1376.1242118981518</v>
      </c>
      <c r="AQ74" s="197">
        <f t="shared" si="144"/>
        <v>142.90780494391893</v>
      </c>
      <c r="AR74" s="197">
        <f t="shared" si="145"/>
        <v>1592.9664128588222</v>
      </c>
      <c r="AS74" s="197">
        <f t="shared" si="146"/>
        <v>-216.84220096067034</v>
      </c>
      <c r="AT74" s="199">
        <f t="shared" si="147"/>
        <v>-73.934396016751407</v>
      </c>
      <c r="AU74" s="196">
        <f t="shared" si="170"/>
        <v>15035.468385197468</v>
      </c>
      <c r="AV74" s="197">
        <f t="shared" si="170"/>
        <v>2147.304876402025</v>
      </c>
      <c r="AW74" s="197">
        <f t="shared" si="170"/>
        <v>19947.35486653202</v>
      </c>
      <c r="AX74" s="197">
        <f t="shared" si="170"/>
        <v>-4911.8864813345499</v>
      </c>
      <c r="AY74" s="199">
        <f t="shared" si="170"/>
        <v>-2764.5816049325249</v>
      </c>
      <c r="BB74" s="204">
        <f t="shared" si="184"/>
        <v>12</v>
      </c>
      <c r="BC74" s="219" t="s">
        <v>7</v>
      </c>
      <c r="BD74" s="747">
        <f>'Arable Inputs'!$G$18</f>
        <v>78</v>
      </c>
      <c r="BE74" s="747">
        <f>'Arable Inputs'!$G$25</f>
        <v>27.16</v>
      </c>
      <c r="BH74" s="749">
        <f>BD74*BE74</f>
        <v>2118.48</v>
      </c>
      <c r="BI74" s="197">
        <f>'Arable NPV'!$E154</f>
        <v>220</v>
      </c>
      <c r="BJ74" s="197">
        <f t="shared" si="148"/>
        <v>2338.48</v>
      </c>
      <c r="BK74" s="197">
        <f>'Arable NPV'!$G154</f>
        <v>793.83573723279574</v>
      </c>
      <c r="BL74" s="197">
        <f>'Arable NPV'!$H154</f>
        <v>841.03</v>
      </c>
      <c r="BM74" s="197">
        <f>'Arable NPV'!$I154-0.5*'Arable NPV'!$I154</f>
        <v>817.43286861639785</v>
      </c>
      <c r="BN74" s="197">
        <f t="shared" si="149"/>
        <v>1301.0471313836022</v>
      </c>
      <c r="BO74" s="197">
        <f t="shared" si="171"/>
        <v>1521.0471313836022</v>
      </c>
      <c r="BP74" s="196">
        <f t="shared" si="150"/>
        <v>1376.1242118981518</v>
      </c>
      <c r="BQ74" s="197">
        <f t="shared" si="151"/>
        <v>142.90780494391893</v>
      </c>
      <c r="BR74" s="197">
        <f t="shared" si="152"/>
        <v>530.9888042862741</v>
      </c>
      <c r="BS74" s="197">
        <f t="shared" si="153"/>
        <v>845.13540761187767</v>
      </c>
      <c r="BT74" s="199">
        <f t="shared" si="154"/>
        <v>988.04321255579657</v>
      </c>
      <c r="BU74" s="196">
        <f t="shared" si="172"/>
        <v>15035.468385197468</v>
      </c>
      <c r="BV74" s="197">
        <f t="shared" si="172"/>
        <v>2147.304876402025</v>
      </c>
      <c r="BW74" s="197">
        <f t="shared" si="172"/>
        <v>6649.1182888440062</v>
      </c>
      <c r="BX74" s="197">
        <f t="shared" si="172"/>
        <v>8386.3500963534625</v>
      </c>
      <c r="BY74" s="199">
        <f t="shared" si="172"/>
        <v>10533.654972755488</v>
      </c>
      <c r="CB74" s="204">
        <f t="shared" si="185"/>
        <v>12</v>
      </c>
      <c r="CC74" s="219" t="s">
        <v>7</v>
      </c>
      <c r="CD74" s="747">
        <f>'Arable Inputs'!$G$18</f>
        <v>78</v>
      </c>
      <c r="CE74" s="747">
        <f>'Arable Inputs'!$G$25</f>
        <v>27.16</v>
      </c>
      <c r="CH74" s="749">
        <f>CD74*CE74</f>
        <v>2118.48</v>
      </c>
      <c r="CI74" s="197">
        <f>'Arable NPV'!$E154</f>
        <v>220</v>
      </c>
      <c r="CJ74" s="197">
        <f t="shared" si="173"/>
        <v>2338.48</v>
      </c>
      <c r="CK74" s="197">
        <f>'Arable NPV'!$G154</f>
        <v>793.83573723279574</v>
      </c>
      <c r="CL74" s="197">
        <f>'Arable NPV'!$H154</f>
        <v>841.03</v>
      </c>
      <c r="CM74" s="197">
        <f>'Arable NPV'!$I154+'Arable NPV'!$I154</f>
        <v>3269.7314744655914</v>
      </c>
      <c r="CN74" s="197">
        <f t="shared" si="174"/>
        <v>-1151.2514744655914</v>
      </c>
      <c r="CO74" s="197">
        <f t="shared" si="175"/>
        <v>-931.2514744655914</v>
      </c>
      <c r="CP74" s="196">
        <f t="shared" si="155"/>
        <v>1376.1242118981518</v>
      </c>
      <c r="CQ74" s="197">
        <f t="shared" si="156"/>
        <v>142.90780494391893</v>
      </c>
      <c r="CR74" s="197">
        <f t="shared" si="157"/>
        <v>2123.9552171450964</v>
      </c>
      <c r="CS74" s="197">
        <f t="shared" si="158"/>
        <v>-747.83100524694453</v>
      </c>
      <c r="CT74" s="199">
        <f t="shared" si="159"/>
        <v>-604.92320030302562</v>
      </c>
      <c r="CU74" s="196">
        <f t="shared" si="176"/>
        <v>15035.468385197468</v>
      </c>
      <c r="CV74" s="197">
        <f t="shared" si="176"/>
        <v>2147.304876402025</v>
      </c>
      <c r="CW74" s="197">
        <f t="shared" si="176"/>
        <v>26596.473155376025</v>
      </c>
      <c r="CX74" s="197">
        <f t="shared" si="176"/>
        <v>-11561.004770178555</v>
      </c>
      <c r="CY74" s="199">
        <f t="shared" si="177"/>
        <v>-9413.6998937765311</v>
      </c>
      <c r="DB74" s="204">
        <f t="shared" si="186"/>
        <v>12</v>
      </c>
      <c r="DC74" s="219" t="s">
        <v>7</v>
      </c>
      <c r="DD74" s="747">
        <f>'Arable Inputs'!$G$18</f>
        <v>78</v>
      </c>
      <c r="DE74" s="747">
        <f>'Arable Inputs'!$G$25</f>
        <v>27.16</v>
      </c>
      <c r="DH74" s="749">
        <f>DD74*DE74</f>
        <v>2118.48</v>
      </c>
      <c r="DI74" s="197">
        <f>'Arable NPV'!$E154</f>
        <v>220</v>
      </c>
      <c r="DJ74" s="197">
        <f t="shared" si="178"/>
        <v>2338.48</v>
      </c>
      <c r="DK74" s="197">
        <f>'Arable NPV'!$G154</f>
        <v>793.83573723279574</v>
      </c>
      <c r="DL74" s="197">
        <f>'Arable NPV'!$H154</f>
        <v>841.03</v>
      </c>
      <c r="DM74" s="197">
        <f>'Arable NPV'!$I154-'Arable NPV'!$I154</f>
        <v>0</v>
      </c>
      <c r="DN74" s="197">
        <f t="shared" si="179"/>
        <v>2118.48</v>
      </c>
      <c r="DO74" s="197">
        <f t="shared" si="180"/>
        <v>2338.48</v>
      </c>
      <c r="DP74" s="196">
        <f t="shared" si="160"/>
        <v>1376.1242118981518</v>
      </c>
      <c r="DQ74" s="197">
        <f t="shared" si="161"/>
        <v>142.90780494391893</v>
      </c>
      <c r="DR74" s="197">
        <f t="shared" si="162"/>
        <v>0</v>
      </c>
      <c r="DS74" s="197">
        <f t="shared" si="163"/>
        <v>1376.1242118981518</v>
      </c>
      <c r="DT74" s="199">
        <f t="shared" si="164"/>
        <v>1519.0320168420708</v>
      </c>
      <c r="DU74" s="196">
        <f t="shared" si="181"/>
        <v>15035.468385197468</v>
      </c>
      <c r="DV74" s="197">
        <f t="shared" si="181"/>
        <v>2147.304876402025</v>
      </c>
      <c r="DW74" s="197">
        <f t="shared" si="181"/>
        <v>0</v>
      </c>
      <c r="DX74" s="197">
        <f t="shared" si="181"/>
        <v>15035.468385197468</v>
      </c>
      <c r="DY74" s="199">
        <f t="shared" si="181"/>
        <v>17182.773261599494</v>
      </c>
    </row>
    <row r="75" spans="2:129" x14ac:dyDescent="0.3">
      <c r="B75" s="204">
        <f t="shared" si="182"/>
        <v>13</v>
      </c>
      <c r="C75" s="219" t="s">
        <v>31</v>
      </c>
      <c r="D75" s="747">
        <f>'Arable Inputs'!$H$18</f>
        <v>12</v>
      </c>
      <c r="E75" s="747">
        <f>'Arable Inputs'!$H$25</f>
        <v>107.1</v>
      </c>
      <c r="H75" s="749">
        <f t="shared" si="165"/>
        <v>1285.1999999999998</v>
      </c>
      <c r="I75" s="197">
        <f>'Arable NPV'!$E155</f>
        <v>220</v>
      </c>
      <c r="J75" s="197">
        <f t="shared" si="166"/>
        <v>1505.1999999999998</v>
      </c>
      <c r="K75" s="197">
        <f>'Arable NPV'!$G155</f>
        <v>528.51499999999999</v>
      </c>
      <c r="L75" s="197">
        <f>'Arable NPV'!$H155</f>
        <v>552.40000000000009</v>
      </c>
      <c r="M75" s="197">
        <f t="shared" si="167"/>
        <v>1080.915</v>
      </c>
      <c r="N75" s="197">
        <f t="shared" si="134"/>
        <v>204.28499999999985</v>
      </c>
      <c r="O75" s="197">
        <f t="shared" si="135"/>
        <v>424.28499999999985</v>
      </c>
      <c r="P75" s="196">
        <f t="shared" si="136"/>
        <v>802.73212812029965</v>
      </c>
      <c r="Q75" s="197">
        <f t="shared" si="137"/>
        <v>137.41135090761432</v>
      </c>
      <c r="R75" s="197">
        <f t="shared" si="138"/>
        <v>675.13631984683605</v>
      </c>
      <c r="S75" s="197">
        <f t="shared" si="139"/>
        <v>127.59580827346352</v>
      </c>
      <c r="T75" s="199">
        <f t="shared" si="140"/>
        <v>265.00715918107784</v>
      </c>
      <c r="U75" s="196">
        <f t="shared" si="168"/>
        <v>15838.200513317768</v>
      </c>
      <c r="V75" s="197">
        <f t="shared" si="168"/>
        <v>2284.7162273096392</v>
      </c>
      <c r="W75" s="197">
        <f t="shared" si="168"/>
        <v>13973.372897534848</v>
      </c>
      <c r="X75" s="197">
        <f t="shared" si="168"/>
        <v>1864.82761578292</v>
      </c>
      <c r="Y75" s="199">
        <f t="shared" si="168"/>
        <v>4149.5438430925587</v>
      </c>
      <c r="AB75" s="204">
        <f t="shared" si="183"/>
        <v>13</v>
      </c>
      <c r="AC75" s="219" t="s">
        <v>31</v>
      </c>
      <c r="AD75" s="747">
        <f>'Arable Inputs'!$H$18</f>
        <v>12</v>
      </c>
      <c r="AE75" s="747">
        <f>'Arable Inputs'!$H$25</f>
        <v>107.1</v>
      </c>
      <c r="AH75" s="749">
        <f>AD75*AE75</f>
        <v>1285.1999999999998</v>
      </c>
      <c r="AI75" s="197">
        <f>'Arable NPV'!$E155</f>
        <v>220</v>
      </c>
      <c r="AJ75" s="197">
        <f t="shared" si="141"/>
        <v>1505.1999999999998</v>
      </c>
      <c r="AK75" s="197">
        <f>'Arable NPV'!$G155</f>
        <v>528.51499999999999</v>
      </c>
      <c r="AL75" s="197">
        <f>'Arable NPV'!$H155</f>
        <v>552.40000000000009</v>
      </c>
      <c r="AM75" s="197">
        <f>'Arable NPV'!$I155+0.5*'Arable NPV'!$I155</f>
        <v>1621.3724999999999</v>
      </c>
      <c r="AN75" s="197">
        <f t="shared" si="142"/>
        <v>-336.17250000000013</v>
      </c>
      <c r="AO75" s="197">
        <f t="shared" si="169"/>
        <v>-116.17250000000013</v>
      </c>
      <c r="AP75" s="196">
        <f t="shared" si="143"/>
        <v>802.73212812029965</v>
      </c>
      <c r="AQ75" s="197">
        <f t="shared" si="144"/>
        <v>137.41135090761432</v>
      </c>
      <c r="AR75" s="197">
        <f t="shared" si="145"/>
        <v>1012.7044797702541</v>
      </c>
      <c r="AS75" s="197">
        <f t="shared" si="146"/>
        <v>-209.97235164995453</v>
      </c>
      <c r="AT75" s="199">
        <f t="shared" si="147"/>
        <v>-72.561000742340198</v>
      </c>
      <c r="AU75" s="196">
        <f t="shared" si="170"/>
        <v>15838.200513317768</v>
      </c>
      <c r="AV75" s="197">
        <f t="shared" si="170"/>
        <v>2284.7162273096392</v>
      </c>
      <c r="AW75" s="197">
        <f t="shared" si="170"/>
        <v>20960.059346302274</v>
      </c>
      <c r="AX75" s="197">
        <f t="shared" si="170"/>
        <v>-5121.8588329845043</v>
      </c>
      <c r="AY75" s="199">
        <f t="shared" si="170"/>
        <v>-2837.1426056748651</v>
      </c>
      <c r="BB75" s="204">
        <f t="shared" si="184"/>
        <v>13</v>
      </c>
      <c r="BC75" s="219" t="s">
        <v>31</v>
      </c>
      <c r="BD75" s="747">
        <f>'Arable Inputs'!$H$18</f>
        <v>12</v>
      </c>
      <c r="BE75" s="747">
        <f>'Arable Inputs'!$H$25</f>
        <v>107.1</v>
      </c>
      <c r="BH75" s="749">
        <f>BD75*BE75</f>
        <v>1285.1999999999998</v>
      </c>
      <c r="BI75" s="197">
        <f>'Arable NPV'!$E155</f>
        <v>220</v>
      </c>
      <c r="BJ75" s="197">
        <f t="shared" si="148"/>
        <v>1505.1999999999998</v>
      </c>
      <c r="BK75" s="197">
        <f>'Arable NPV'!$G155</f>
        <v>528.51499999999999</v>
      </c>
      <c r="BL75" s="197">
        <f>'Arable NPV'!$H155</f>
        <v>552.40000000000009</v>
      </c>
      <c r="BM75" s="197">
        <f>'Arable NPV'!$I155-0.5*'Arable NPV'!$I155</f>
        <v>540.45749999999998</v>
      </c>
      <c r="BN75" s="197">
        <f t="shared" si="149"/>
        <v>744.74249999999984</v>
      </c>
      <c r="BO75" s="197">
        <f t="shared" si="171"/>
        <v>964.74249999999984</v>
      </c>
      <c r="BP75" s="196">
        <f t="shared" si="150"/>
        <v>802.73212812029965</v>
      </c>
      <c r="BQ75" s="197">
        <f t="shared" si="151"/>
        <v>137.41135090761432</v>
      </c>
      <c r="BR75" s="197">
        <f t="shared" si="152"/>
        <v>337.56815992341802</v>
      </c>
      <c r="BS75" s="197">
        <f t="shared" si="153"/>
        <v>465.16396819688157</v>
      </c>
      <c r="BT75" s="199">
        <f t="shared" si="154"/>
        <v>602.57531910449586</v>
      </c>
      <c r="BU75" s="196">
        <f t="shared" si="172"/>
        <v>15838.200513317768</v>
      </c>
      <c r="BV75" s="197">
        <f t="shared" si="172"/>
        <v>2284.7162273096392</v>
      </c>
      <c r="BW75" s="197">
        <f t="shared" si="172"/>
        <v>6986.6864487674238</v>
      </c>
      <c r="BX75" s="197">
        <f t="shared" si="172"/>
        <v>8851.5140645503434</v>
      </c>
      <c r="BY75" s="199">
        <f t="shared" si="172"/>
        <v>11136.230291859983</v>
      </c>
      <c r="CB75" s="204">
        <f t="shared" si="185"/>
        <v>13</v>
      </c>
      <c r="CC75" s="219" t="s">
        <v>31</v>
      </c>
      <c r="CD75" s="747">
        <f>'Arable Inputs'!$H$18</f>
        <v>12</v>
      </c>
      <c r="CE75" s="747">
        <f>'Arable Inputs'!$H$25</f>
        <v>107.1</v>
      </c>
      <c r="CH75" s="749">
        <f>CD75*CE75</f>
        <v>1285.1999999999998</v>
      </c>
      <c r="CI75" s="197">
        <f>'Arable NPV'!$E155</f>
        <v>220</v>
      </c>
      <c r="CJ75" s="197">
        <f t="shared" si="173"/>
        <v>1505.1999999999998</v>
      </c>
      <c r="CK75" s="197">
        <f>'Arable NPV'!$G155</f>
        <v>528.51499999999999</v>
      </c>
      <c r="CL75" s="197">
        <f>'Arable NPV'!$H155</f>
        <v>552.40000000000009</v>
      </c>
      <c r="CM75" s="197">
        <f>'Arable NPV'!$I155+'Arable NPV'!$I155</f>
        <v>2161.83</v>
      </c>
      <c r="CN75" s="197">
        <f t="shared" si="174"/>
        <v>-876.63000000000011</v>
      </c>
      <c r="CO75" s="197">
        <f t="shared" si="175"/>
        <v>-656.63000000000011</v>
      </c>
      <c r="CP75" s="196">
        <f t="shared" si="155"/>
        <v>802.73212812029965</v>
      </c>
      <c r="CQ75" s="197">
        <f t="shared" si="156"/>
        <v>137.41135090761432</v>
      </c>
      <c r="CR75" s="197">
        <f t="shared" si="157"/>
        <v>1350.2726396936721</v>
      </c>
      <c r="CS75" s="197">
        <f t="shared" si="158"/>
        <v>-547.54051157337256</v>
      </c>
      <c r="CT75" s="199">
        <f t="shared" si="159"/>
        <v>-410.12916066575826</v>
      </c>
      <c r="CU75" s="196">
        <f t="shared" si="176"/>
        <v>15838.200513317768</v>
      </c>
      <c r="CV75" s="197">
        <f t="shared" si="176"/>
        <v>2284.7162273096392</v>
      </c>
      <c r="CW75" s="197">
        <f t="shared" si="176"/>
        <v>27946.745795069695</v>
      </c>
      <c r="CX75" s="197">
        <f t="shared" si="176"/>
        <v>-12108.545281751927</v>
      </c>
      <c r="CY75" s="199">
        <f t="shared" si="177"/>
        <v>-9823.8290544422889</v>
      </c>
      <c r="DB75" s="204">
        <f t="shared" si="186"/>
        <v>13</v>
      </c>
      <c r="DC75" s="219" t="s">
        <v>31</v>
      </c>
      <c r="DD75" s="747">
        <f>'Arable Inputs'!$H$18</f>
        <v>12</v>
      </c>
      <c r="DE75" s="747">
        <f>'Arable Inputs'!$H$25</f>
        <v>107.1</v>
      </c>
      <c r="DH75" s="749">
        <f>DD75*DE75</f>
        <v>1285.1999999999998</v>
      </c>
      <c r="DI75" s="197">
        <f>'Arable NPV'!$E155</f>
        <v>220</v>
      </c>
      <c r="DJ75" s="197">
        <f t="shared" si="178"/>
        <v>1505.1999999999998</v>
      </c>
      <c r="DK75" s="197">
        <f>'Arable NPV'!$G155</f>
        <v>528.51499999999999</v>
      </c>
      <c r="DL75" s="197">
        <f>'Arable NPV'!$H155</f>
        <v>552.40000000000009</v>
      </c>
      <c r="DM75" s="197">
        <f>'Arable NPV'!$I155-'Arable NPV'!$I155</f>
        <v>0</v>
      </c>
      <c r="DN75" s="197">
        <f t="shared" si="179"/>
        <v>1285.1999999999998</v>
      </c>
      <c r="DO75" s="197">
        <f t="shared" si="180"/>
        <v>1505.1999999999998</v>
      </c>
      <c r="DP75" s="196">
        <f t="shared" si="160"/>
        <v>802.73212812029965</v>
      </c>
      <c r="DQ75" s="197">
        <f t="shared" si="161"/>
        <v>137.41135090761432</v>
      </c>
      <c r="DR75" s="197">
        <f t="shared" si="162"/>
        <v>0</v>
      </c>
      <c r="DS75" s="197">
        <f t="shared" si="163"/>
        <v>802.73212812029965</v>
      </c>
      <c r="DT75" s="199">
        <f t="shared" si="164"/>
        <v>940.14347902791394</v>
      </c>
      <c r="DU75" s="196">
        <f t="shared" si="181"/>
        <v>15838.200513317768</v>
      </c>
      <c r="DV75" s="197">
        <f t="shared" si="181"/>
        <v>2284.7162273096392</v>
      </c>
      <c r="DW75" s="197">
        <f t="shared" si="181"/>
        <v>0</v>
      </c>
      <c r="DX75" s="197">
        <f t="shared" si="181"/>
        <v>15838.200513317768</v>
      </c>
      <c r="DY75" s="199">
        <f t="shared" si="181"/>
        <v>18122.916740627406</v>
      </c>
    </row>
    <row r="76" spans="2:129" x14ac:dyDescent="0.3">
      <c r="B76" s="204">
        <f t="shared" si="182"/>
        <v>14</v>
      </c>
      <c r="C76" s="219" t="s">
        <v>6</v>
      </c>
      <c r="D76" s="747">
        <f>'Arable Inputs'!$F$18</f>
        <v>3.5</v>
      </c>
      <c r="E76" s="747">
        <f>'Arable Inputs'!$F$25</f>
        <v>335</v>
      </c>
      <c r="F76" s="747">
        <f>'Arable Inputs'!$F$19</f>
        <v>2.6</v>
      </c>
      <c r="G76" s="747">
        <f>'Arable Inputs'!$F$26</f>
        <v>37.5</v>
      </c>
      <c r="H76" s="749">
        <f>D76*E76+F76*G76</f>
        <v>1270</v>
      </c>
      <c r="I76" s="197">
        <f>'Arable NPV'!$E156</f>
        <v>220</v>
      </c>
      <c r="J76" s="197">
        <f t="shared" si="166"/>
        <v>1490</v>
      </c>
      <c r="K76" s="197">
        <f>'Arable NPV'!$G156</f>
        <v>541.75901992521074</v>
      </c>
      <c r="L76" s="197">
        <f>'Arable NPV'!$H156</f>
        <v>621.47428571428577</v>
      </c>
      <c r="M76" s="197">
        <f t="shared" si="167"/>
        <v>1163.2333056394964</v>
      </c>
      <c r="N76" s="197">
        <f t="shared" si="134"/>
        <v>106.76669436050361</v>
      </c>
      <c r="O76" s="197">
        <f t="shared" si="135"/>
        <v>326.76669436050361</v>
      </c>
      <c r="P76" s="196">
        <f t="shared" si="136"/>
        <v>762.72908939104104</v>
      </c>
      <c r="Q76" s="197">
        <f t="shared" si="137"/>
        <v>132.12629894962916</v>
      </c>
      <c r="R76" s="197">
        <f t="shared" si="138"/>
        <v>698.60777949586111</v>
      </c>
      <c r="S76" s="197">
        <f t="shared" si="139"/>
        <v>64.121309895179934</v>
      </c>
      <c r="T76" s="199">
        <f t="shared" si="140"/>
        <v>196.24760884480909</v>
      </c>
      <c r="U76" s="196">
        <f t="shared" si="168"/>
        <v>16600.929602708809</v>
      </c>
      <c r="V76" s="197">
        <f t="shared" si="168"/>
        <v>2416.8425262592682</v>
      </c>
      <c r="W76" s="197">
        <f t="shared" si="168"/>
        <v>14671.98067703071</v>
      </c>
      <c r="X76" s="197">
        <f t="shared" si="168"/>
        <v>1928.9489256780998</v>
      </c>
      <c r="Y76" s="199">
        <f t="shared" si="168"/>
        <v>4345.791451937368</v>
      </c>
      <c r="AB76" s="204">
        <f t="shared" si="183"/>
        <v>14</v>
      </c>
      <c r="AC76" s="219" t="s">
        <v>6</v>
      </c>
      <c r="AD76" s="747">
        <f>'Arable Inputs'!$F$18</f>
        <v>3.5</v>
      </c>
      <c r="AE76" s="747">
        <f>'Arable Inputs'!$F$25</f>
        <v>335</v>
      </c>
      <c r="AF76" s="747">
        <f>'Arable Inputs'!$F$19</f>
        <v>2.6</v>
      </c>
      <c r="AG76" s="747">
        <f>'Arable Inputs'!$F$26</f>
        <v>37.5</v>
      </c>
      <c r="AH76" s="749">
        <f>AD76*AE76+AF76*AG76</f>
        <v>1270</v>
      </c>
      <c r="AI76" s="197">
        <f>'Arable NPV'!$E156</f>
        <v>220</v>
      </c>
      <c r="AJ76" s="197">
        <f t="shared" si="141"/>
        <v>1490</v>
      </c>
      <c r="AK76" s="197">
        <f>'Arable NPV'!$G156</f>
        <v>541.75901992521074</v>
      </c>
      <c r="AL76" s="197">
        <f>'Arable NPV'!$H156</f>
        <v>621.47428571428577</v>
      </c>
      <c r="AM76" s="197">
        <f>'Arable NPV'!$I156+0.5*'Arable NPV'!$I156</f>
        <v>1744.8499584592446</v>
      </c>
      <c r="AN76" s="197">
        <f t="shared" si="142"/>
        <v>-474.84995845924459</v>
      </c>
      <c r="AO76" s="197">
        <f t="shared" si="169"/>
        <v>-254.84995845924459</v>
      </c>
      <c r="AP76" s="196">
        <f t="shared" si="143"/>
        <v>762.72908939104104</v>
      </c>
      <c r="AQ76" s="197">
        <f t="shared" si="144"/>
        <v>132.12629894962916</v>
      </c>
      <c r="AR76" s="197">
        <f t="shared" si="145"/>
        <v>1047.9116692437917</v>
      </c>
      <c r="AS76" s="197">
        <f t="shared" si="146"/>
        <v>-285.18257985275062</v>
      </c>
      <c r="AT76" s="199">
        <f t="shared" si="147"/>
        <v>-153.05628090312146</v>
      </c>
      <c r="AU76" s="196">
        <f t="shared" si="170"/>
        <v>16600.929602708809</v>
      </c>
      <c r="AV76" s="197">
        <f t="shared" si="170"/>
        <v>2416.8425262592682</v>
      </c>
      <c r="AW76" s="197">
        <f t="shared" si="170"/>
        <v>22007.971015546067</v>
      </c>
      <c r="AX76" s="197">
        <f t="shared" si="170"/>
        <v>-5407.0414128372549</v>
      </c>
      <c r="AY76" s="199">
        <f t="shared" si="170"/>
        <v>-2990.1988865779867</v>
      </c>
      <c r="BB76" s="204">
        <f t="shared" si="184"/>
        <v>14</v>
      </c>
      <c r="BC76" s="219" t="s">
        <v>6</v>
      </c>
      <c r="BD76" s="747">
        <f>'Arable Inputs'!$F$18</f>
        <v>3.5</v>
      </c>
      <c r="BE76" s="747">
        <f>'Arable Inputs'!$F$25</f>
        <v>335</v>
      </c>
      <c r="BF76" s="747">
        <f>'Arable Inputs'!$F$19</f>
        <v>2.6</v>
      </c>
      <c r="BG76" s="747">
        <f>'Arable Inputs'!$F$26</f>
        <v>37.5</v>
      </c>
      <c r="BH76" s="749">
        <f>BD76*BE76+BF76*BG76</f>
        <v>1270</v>
      </c>
      <c r="BI76" s="197">
        <f>'Arable NPV'!$E156</f>
        <v>220</v>
      </c>
      <c r="BJ76" s="197">
        <f t="shared" si="148"/>
        <v>1490</v>
      </c>
      <c r="BK76" s="197">
        <f>'Arable NPV'!$G156</f>
        <v>541.75901992521074</v>
      </c>
      <c r="BL76" s="197">
        <f>'Arable NPV'!$H156</f>
        <v>621.47428571428577</v>
      </c>
      <c r="BM76" s="197">
        <f>'Arable NPV'!$I156-0.5*'Arable NPV'!$I156</f>
        <v>581.6166528197482</v>
      </c>
      <c r="BN76" s="197">
        <f t="shared" si="149"/>
        <v>688.3833471802518</v>
      </c>
      <c r="BO76" s="197">
        <f t="shared" si="171"/>
        <v>908.3833471802518</v>
      </c>
      <c r="BP76" s="196">
        <f t="shared" si="150"/>
        <v>762.72908939104104</v>
      </c>
      <c r="BQ76" s="197">
        <f t="shared" si="151"/>
        <v>132.12629894962916</v>
      </c>
      <c r="BR76" s="197">
        <f t="shared" si="152"/>
        <v>349.30388974793055</v>
      </c>
      <c r="BS76" s="197">
        <f t="shared" si="153"/>
        <v>413.42519964311049</v>
      </c>
      <c r="BT76" s="199">
        <f t="shared" si="154"/>
        <v>545.55149859273968</v>
      </c>
      <c r="BU76" s="196">
        <f t="shared" si="172"/>
        <v>16600.929602708809</v>
      </c>
      <c r="BV76" s="197">
        <f t="shared" si="172"/>
        <v>2416.8425262592682</v>
      </c>
      <c r="BW76" s="197">
        <f t="shared" si="172"/>
        <v>7335.9903385153548</v>
      </c>
      <c r="BX76" s="197">
        <f t="shared" si="172"/>
        <v>9264.9392641934537</v>
      </c>
      <c r="BY76" s="199">
        <f t="shared" si="172"/>
        <v>11681.781790452724</v>
      </c>
      <c r="CB76" s="204">
        <f t="shared" si="185"/>
        <v>14</v>
      </c>
      <c r="CC76" s="219" t="s">
        <v>6</v>
      </c>
      <c r="CD76" s="747">
        <f>'Arable Inputs'!$F$18</f>
        <v>3.5</v>
      </c>
      <c r="CE76" s="747">
        <f>'Arable Inputs'!$F$25</f>
        <v>335</v>
      </c>
      <c r="CF76" s="747">
        <f>'Arable Inputs'!$F$19</f>
        <v>2.6</v>
      </c>
      <c r="CG76" s="747">
        <f>'Arable Inputs'!$F$26</f>
        <v>37.5</v>
      </c>
      <c r="CH76" s="749">
        <f>CD76*CE76+CF76*CG76</f>
        <v>1270</v>
      </c>
      <c r="CI76" s="197">
        <f>'Arable NPV'!$E156</f>
        <v>220</v>
      </c>
      <c r="CJ76" s="197">
        <f t="shared" si="173"/>
        <v>1490</v>
      </c>
      <c r="CK76" s="197">
        <f>'Arable NPV'!$G156</f>
        <v>541.75901992521074</v>
      </c>
      <c r="CL76" s="197">
        <f>'Arable NPV'!$H156</f>
        <v>621.47428571428577</v>
      </c>
      <c r="CM76" s="197">
        <f>'Arable NPV'!$I156+'Arable NPV'!$I156</f>
        <v>2326.4666112789928</v>
      </c>
      <c r="CN76" s="197">
        <f t="shared" si="174"/>
        <v>-1056.4666112789928</v>
      </c>
      <c r="CO76" s="197">
        <f t="shared" si="175"/>
        <v>-836.46661127899279</v>
      </c>
      <c r="CP76" s="196">
        <f t="shared" si="155"/>
        <v>762.72908939104104</v>
      </c>
      <c r="CQ76" s="197">
        <f t="shared" si="156"/>
        <v>132.12629894962916</v>
      </c>
      <c r="CR76" s="197">
        <f t="shared" si="157"/>
        <v>1397.2155589917222</v>
      </c>
      <c r="CS76" s="197">
        <f t="shared" si="158"/>
        <v>-634.48646960068118</v>
      </c>
      <c r="CT76" s="199">
        <f t="shared" si="159"/>
        <v>-502.36017065105204</v>
      </c>
      <c r="CU76" s="196">
        <f t="shared" si="176"/>
        <v>16600.929602708809</v>
      </c>
      <c r="CV76" s="197">
        <f t="shared" si="176"/>
        <v>2416.8425262592682</v>
      </c>
      <c r="CW76" s="197">
        <f t="shared" si="176"/>
        <v>29343.961354061419</v>
      </c>
      <c r="CX76" s="197">
        <f t="shared" si="176"/>
        <v>-12743.031751352608</v>
      </c>
      <c r="CY76" s="199">
        <f t="shared" si="177"/>
        <v>-10326.189225093342</v>
      </c>
      <c r="DB76" s="204">
        <f t="shared" si="186"/>
        <v>14</v>
      </c>
      <c r="DC76" s="219" t="s">
        <v>6</v>
      </c>
      <c r="DD76" s="747">
        <f>'Arable Inputs'!$F$18</f>
        <v>3.5</v>
      </c>
      <c r="DE76" s="747">
        <f>'Arable Inputs'!$F$25</f>
        <v>335</v>
      </c>
      <c r="DF76" s="747">
        <f>'Arable Inputs'!$F$19</f>
        <v>2.6</v>
      </c>
      <c r="DG76" s="747">
        <f>'Arable Inputs'!$F$26</f>
        <v>37.5</v>
      </c>
      <c r="DH76" s="749">
        <f>DD76*DE76+DF76*DG76</f>
        <v>1270</v>
      </c>
      <c r="DI76" s="197">
        <f>'Arable NPV'!$E156</f>
        <v>220</v>
      </c>
      <c r="DJ76" s="197">
        <f t="shared" si="178"/>
        <v>1490</v>
      </c>
      <c r="DK76" s="197">
        <f>'Arable NPV'!$G156</f>
        <v>541.75901992521074</v>
      </c>
      <c r="DL76" s="197">
        <f>'Arable NPV'!$H156</f>
        <v>621.47428571428577</v>
      </c>
      <c r="DM76" s="197">
        <f>'Arable NPV'!$I156-'Arable NPV'!$I156</f>
        <v>0</v>
      </c>
      <c r="DN76" s="197">
        <f t="shared" si="179"/>
        <v>1270</v>
      </c>
      <c r="DO76" s="197">
        <f t="shared" si="180"/>
        <v>1490</v>
      </c>
      <c r="DP76" s="196">
        <f t="shared" si="160"/>
        <v>762.72908939104104</v>
      </c>
      <c r="DQ76" s="197">
        <f t="shared" si="161"/>
        <v>132.12629894962916</v>
      </c>
      <c r="DR76" s="197">
        <f t="shared" si="162"/>
        <v>0</v>
      </c>
      <c r="DS76" s="197">
        <f t="shared" si="163"/>
        <v>762.72908939104104</v>
      </c>
      <c r="DT76" s="199">
        <f t="shared" si="164"/>
        <v>894.85538834067017</v>
      </c>
      <c r="DU76" s="196">
        <f t="shared" si="181"/>
        <v>16600.929602708809</v>
      </c>
      <c r="DV76" s="197">
        <f t="shared" si="181"/>
        <v>2416.8425262592682</v>
      </c>
      <c r="DW76" s="197">
        <f t="shared" si="181"/>
        <v>0</v>
      </c>
      <c r="DX76" s="197">
        <f t="shared" si="181"/>
        <v>16600.929602708809</v>
      </c>
      <c r="DY76" s="199">
        <f t="shared" si="181"/>
        <v>19017.772128968078</v>
      </c>
    </row>
    <row r="77" spans="2:129" x14ac:dyDescent="0.3">
      <c r="B77" s="204">
        <f t="shared" si="182"/>
        <v>15</v>
      </c>
      <c r="C77" s="219" t="s">
        <v>5</v>
      </c>
      <c r="D77" s="747">
        <f>'Arable Inputs'!$E$18</f>
        <v>6.3</v>
      </c>
      <c r="E77" s="747">
        <f>'Arable Inputs'!$E$25</f>
        <v>140</v>
      </c>
      <c r="F77" s="747">
        <f>'Arable Inputs'!$E$19</f>
        <v>3.5</v>
      </c>
      <c r="G77" s="747">
        <f>'Arable Inputs'!$E$26</f>
        <v>70</v>
      </c>
      <c r="H77" s="749">
        <f>D77*E77+F77*G77</f>
        <v>1127</v>
      </c>
      <c r="I77" s="197">
        <f>'Arable NPV'!$E157</f>
        <v>220</v>
      </c>
      <c r="J77" s="197">
        <f t="shared" si="166"/>
        <v>1347</v>
      </c>
      <c r="K77" s="197">
        <f>'Arable NPV'!$G157</f>
        <v>418.54877602277168</v>
      </c>
      <c r="L77" s="197">
        <f>'Arable NPV'!$H157</f>
        <v>773.65999999999985</v>
      </c>
      <c r="M77" s="197">
        <f t="shared" si="167"/>
        <v>1192.2087760227714</v>
      </c>
      <c r="N77" s="197">
        <f t="shared" si="134"/>
        <v>-65.208776022771417</v>
      </c>
      <c r="O77" s="197">
        <f t="shared" si="135"/>
        <v>154.79122397722858</v>
      </c>
      <c r="P77" s="196">
        <f t="shared" si="136"/>
        <v>650.81441834017517</v>
      </c>
      <c r="Q77" s="197">
        <f t="shared" si="137"/>
        <v>127.04451822079727</v>
      </c>
      <c r="R77" s="197">
        <f t="shared" si="138"/>
        <v>688.47086167463362</v>
      </c>
      <c r="S77" s="197">
        <f t="shared" si="139"/>
        <v>-37.656443334458508</v>
      </c>
      <c r="T77" s="199">
        <f t="shared" si="140"/>
        <v>89.388074886338771</v>
      </c>
      <c r="U77" s="196">
        <f t="shared" si="168"/>
        <v>17251.744021048984</v>
      </c>
      <c r="V77" s="197">
        <f t="shared" si="168"/>
        <v>2543.8870444800655</v>
      </c>
      <c r="W77" s="197">
        <f t="shared" si="168"/>
        <v>15360.451538705343</v>
      </c>
      <c r="X77" s="197">
        <f t="shared" si="168"/>
        <v>1891.2924823436413</v>
      </c>
      <c r="Y77" s="199">
        <f t="shared" si="168"/>
        <v>4435.1795268237065</v>
      </c>
      <c r="AB77" s="204">
        <f t="shared" si="183"/>
        <v>15</v>
      </c>
      <c r="AC77" s="219" t="s">
        <v>5</v>
      </c>
      <c r="AD77" s="747">
        <f>'Arable Inputs'!$E$18</f>
        <v>6.3</v>
      </c>
      <c r="AE77" s="747">
        <f>'Arable Inputs'!$E$25</f>
        <v>140</v>
      </c>
      <c r="AF77" s="747">
        <f>'Arable Inputs'!$E$19</f>
        <v>3.5</v>
      </c>
      <c r="AG77" s="747">
        <f>'Arable Inputs'!$E$26</f>
        <v>70</v>
      </c>
      <c r="AH77" s="749">
        <f>AD77*AE77+AF77*AG77</f>
        <v>1127</v>
      </c>
      <c r="AI77" s="197">
        <f>'Arable NPV'!$E157</f>
        <v>220</v>
      </c>
      <c r="AJ77" s="197">
        <f t="shared" si="141"/>
        <v>1347</v>
      </c>
      <c r="AK77" s="197">
        <f>'Arable NPV'!$G157</f>
        <v>418.54877602277168</v>
      </c>
      <c r="AL77" s="197">
        <f>'Arable NPV'!$H157</f>
        <v>773.65999999999985</v>
      </c>
      <c r="AM77" s="197">
        <f>'Arable NPV'!$I157+0.5*'Arable NPV'!$I157</f>
        <v>1788.3131640341571</v>
      </c>
      <c r="AN77" s="197">
        <f t="shared" si="142"/>
        <v>-661.31316403415713</v>
      </c>
      <c r="AO77" s="197">
        <f t="shared" si="169"/>
        <v>-441.31316403415713</v>
      </c>
      <c r="AP77" s="196">
        <f t="shared" si="143"/>
        <v>650.81441834017517</v>
      </c>
      <c r="AQ77" s="197">
        <f t="shared" si="144"/>
        <v>127.04451822079727</v>
      </c>
      <c r="AR77" s="197">
        <f t="shared" si="145"/>
        <v>1032.7062925119503</v>
      </c>
      <c r="AS77" s="197">
        <f t="shared" si="146"/>
        <v>-381.89187417177533</v>
      </c>
      <c r="AT77" s="199">
        <f t="shared" si="147"/>
        <v>-254.84735595097806</v>
      </c>
      <c r="AU77" s="196">
        <f t="shared" si="170"/>
        <v>17251.744021048984</v>
      </c>
      <c r="AV77" s="197">
        <f t="shared" si="170"/>
        <v>2543.8870444800655</v>
      </c>
      <c r="AW77" s="197">
        <f t="shared" si="170"/>
        <v>23040.677308058017</v>
      </c>
      <c r="AX77" s="197">
        <f t="shared" si="170"/>
        <v>-5788.9332870090302</v>
      </c>
      <c r="AY77" s="199">
        <f t="shared" si="170"/>
        <v>-3245.0462425289647</v>
      </c>
      <c r="BB77" s="204">
        <f t="shared" si="184"/>
        <v>15</v>
      </c>
      <c r="BC77" s="219" t="s">
        <v>5</v>
      </c>
      <c r="BD77" s="747">
        <f>'Arable Inputs'!$E$18</f>
        <v>6.3</v>
      </c>
      <c r="BE77" s="747">
        <f>'Arable Inputs'!$E$25</f>
        <v>140</v>
      </c>
      <c r="BF77" s="747">
        <f>'Arable Inputs'!$E$19</f>
        <v>3.5</v>
      </c>
      <c r="BG77" s="747">
        <f>'Arable Inputs'!$E$26</f>
        <v>70</v>
      </c>
      <c r="BH77" s="749">
        <f>BD77*BE77+BF77*BG77</f>
        <v>1127</v>
      </c>
      <c r="BI77" s="197">
        <f>'Arable NPV'!$E157</f>
        <v>220</v>
      </c>
      <c r="BJ77" s="197">
        <f t="shared" si="148"/>
        <v>1347</v>
      </c>
      <c r="BK77" s="197">
        <f>'Arable NPV'!$G157</f>
        <v>418.54877602277168</v>
      </c>
      <c r="BL77" s="197">
        <f>'Arable NPV'!$H157</f>
        <v>773.65999999999985</v>
      </c>
      <c r="BM77" s="197">
        <f>'Arable NPV'!$I157-0.5*'Arable NPV'!$I157</f>
        <v>596.10438801138571</v>
      </c>
      <c r="BN77" s="197">
        <f t="shared" si="149"/>
        <v>530.89561198861429</v>
      </c>
      <c r="BO77" s="197">
        <f t="shared" si="171"/>
        <v>750.89561198861429</v>
      </c>
      <c r="BP77" s="196">
        <f t="shared" si="150"/>
        <v>650.81441834017517</v>
      </c>
      <c r="BQ77" s="197">
        <f t="shared" si="151"/>
        <v>127.04451822079727</v>
      </c>
      <c r="BR77" s="197">
        <f t="shared" si="152"/>
        <v>344.23543083731681</v>
      </c>
      <c r="BS77" s="197">
        <f t="shared" si="153"/>
        <v>306.5789875028583</v>
      </c>
      <c r="BT77" s="199">
        <f t="shared" si="154"/>
        <v>433.62350572365557</v>
      </c>
      <c r="BU77" s="196">
        <f t="shared" si="172"/>
        <v>17251.744021048984</v>
      </c>
      <c r="BV77" s="197">
        <f t="shared" si="172"/>
        <v>2543.8870444800655</v>
      </c>
      <c r="BW77" s="197">
        <f t="shared" si="172"/>
        <v>7680.2257693526717</v>
      </c>
      <c r="BX77" s="197">
        <f t="shared" si="172"/>
        <v>9571.5182516963123</v>
      </c>
      <c r="BY77" s="199">
        <f t="shared" si="172"/>
        <v>12115.405296176379</v>
      </c>
      <c r="CB77" s="204">
        <f t="shared" si="185"/>
        <v>15</v>
      </c>
      <c r="CC77" s="219" t="s">
        <v>5</v>
      </c>
      <c r="CD77" s="747">
        <f>'Arable Inputs'!$E$18</f>
        <v>6.3</v>
      </c>
      <c r="CE77" s="747">
        <f>'Arable Inputs'!$E$25</f>
        <v>140</v>
      </c>
      <c r="CF77" s="747">
        <f>'Arable Inputs'!$E$19</f>
        <v>3.5</v>
      </c>
      <c r="CG77" s="747">
        <f>'Arable Inputs'!$E$26</f>
        <v>70</v>
      </c>
      <c r="CH77" s="749">
        <f>CD77*CE77+CF77*CG77</f>
        <v>1127</v>
      </c>
      <c r="CI77" s="197">
        <f>'Arable NPV'!$E157</f>
        <v>220</v>
      </c>
      <c r="CJ77" s="197">
        <f t="shared" si="173"/>
        <v>1347</v>
      </c>
      <c r="CK77" s="197">
        <f>'Arable NPV'!$G157</f>
        <v>418.54877602277168</v>
      </c>
      <c r="CL77" s="197">
        <f>'Arable NPV'!$H157</f>
        <v>773.65999999999985</v>
      </c>
      <c r="CM77" s="197">
        <f>'Arable NPV'!$I157+'Arable NPV'!$I157</f>
        <v>2384.4175520455428</v>
      </c>
      <c r="CN77" s="197">
        <f t="shared" si="174"/>
        <v>-1257.4175520455428</v>
      </c>
      <c r="CO77" s="197">
        <f t="shared" si="175"/>
        <v>-1037.4175520455428</v>
      </c>
      <c r="CP77" s="196">
        <f t="shared" si="155"/>
        <v>650.81441834017517</v>
      </c>
      <c r="CQ77" s="197">
        <f t="shared" si="156"/>
        <v>127.04451822079727</v>
      </c>
      <c r="CR77" s="197">
        <f t="shared" si="157"/>
        <v>1376.9417233492672</v>
      </c>
      <c r="CS77" s="197">
        <f t="shared" si="158"/>
        <v>-726.12730500909208</v>
      </c>
      <c r="CT77" s="199">
        <f t="shared" si="159"/>
        <v>-599.08278678829481</v>
      </c>
      <c r="CU77" s="196">
        <f t="shared" si="176"/>
        <v>17251.744021048984</v>
      </c>
      <c r="CV77" s="197">
        <f t="shared" si="176"/>
        <v>2543.8870444800655</v>
      </c>
      <c r="CW77" s="197">
        <f t="shared" si="176"/>
        <v>30720.903077410687</v>
      </c>
      <c r="CX77" s="197">
        <f t="shared" si="176"/>
        <v>-13469.159056361699</v>
      </c>
      <c r="CY77" s="199">
        <f t="shared" si="177"/>
        <v>-10925.272011881636</v>
      </c>
      <c r="DB77" s="204">
        <f t="shared" si="186"/>
        <v>15</v>
      </c>
      <c r="DC77" s="219" t="s">
        <v>5</v>
      </c>
      <c r="DD77" s="747">
        <f>'Arable Inputs'!$E$18</f>
        <v>6.3</v>
      </c>
      <c r="DE77" s="747">
        <f>'Arable Inputs'!$E$25</f>
        <v>140</v>
      </c>
      <c r="DF77" s="747">
        <f>'Arable Inputs'!$E$19</f>
        <v>3.5</v>
      </c>
      <c r="DG77" s="747">
        <f>'Arable Inputs'!$E$26</f>
        <v>70</v>
      </c>
      <c r="DH77" s="749">
        <f>DD77*DE77+DF77*DG77</f>
        <v>1127</v>
      </c>
      <c r="DI77" s="197">
        <f>'Arable NPV'!$E157</f>
        <v>220</v>
      </c>
      <c r="DJ77" s="197">
        <f t="shared" si="178"/>
        <v>1347</v>
      </c>
      <c r="DK77" s="197">
        <f>'Arable NPV'!$G157</f>
        <v>418.54877602277168</v>
      </c>
      <c r="DL77" s="197">
        <f>'Arable NPV'!$H157</f>
        <v>773.65999999999985</v>
      </c>
      <c r="DM77" s="197">
        <f>'Arable NPV'!$I157-'Arable NPV'!$I157</f>
        <v>0</v>
      </c>
      <c r="DN77" s="197">
        <f t="shared" si="179"/>
        <v>1127</v>
      </c>
      <c r="DO77" s="197">
        <f t="shared" si="180"/>
        <v>1347</v>
      </c>
      <c r="DP77" s="196">
        <f t="shared" si="160"/>
        <v>650.81441834017517</v>
      </c>
      <c r="DQ77" s="197">
        <f t="shared" si="161"/>
        <v>127.04451822079727</v>
      </c>
      <c r="DR77" s="197">
        <f t="shared" si="162"/>
        <v>0</v>
      </c>
      <c r="DS77" s="197">
        <f t="shared" si="163"/>
        <v>650.81441834017517</v>
      </c>
      <c r="DT77" s="199">
        <f t="shared" si="164"/>
        <v>777.85893656097244</v>
      </c>
      <c r="DU77" s="196">
        <f t="shared" si="181"/>
        <v>17251.744021048984</v>
      </c>
      <c r="DV77" s="197">
        <f t="shared" si="181"/>
        <v>2543.8870444800655</v>
      </c>
      <c r="DW77" s="197">
        <f t="shared" si="181"/>
        <v>0</v>
      </c>
      <c r="DX77" s="197">
        <f t="shared" si="181"/>
        <v>17251.744021048984</v>
      </c>
      <c r="DY77" s="199">
        <f t="shared" si="181"/>
        <v>19795.631065529051</v>
      </c>
    </row>
    <row r="78" spans="2:129" x14ac:dyDescent="0.3">
      <c r="B78" s="206">
        <f t="shared" si="182"/>
        <v>16</v>
      </c>
      <c r="C78" s="220" t="s">
        <v>4</v>
      </c>
      <c r="D78" s="748">
        <f>'Arable Inputs'!$D$18</f>
        <v>8.25</v>
      </c>
      <c r="E78" s="748">
        <f>'Arable Inputs'!$D$25</f>
        <v>162</v>
      </c>
      <c r="F78" s="748">
        <f>'Arable Inputs'!$D$19</f>
        <v>3.9</v>
      </c>
      <c r="G78" s="748">
        <f>'Arable Inputs'!$D$26</f>
        <v>65</v>
      </c>
      <c r="H78" s="749">
        <f>D78*E78+F78*G78</f>
        <v>1590</v>
      </c>
      <c r="I78" s="207">
        <f>'Arable NPV'!$E158</f>
        <v>220</v>
      </c>
      <c r="J78" s="207">
        <f t="shared" si="166"/>
        <v>1810</v>
      </c>
      <c r="K78" s="207">
        <f>'Arable NPV'!$G158</f>
        <v>684.46423508399835</v>
      </c>
      <c r="L78" s="207">
        <f>'Arable NPV'!$H158</f>
        <v>841.31999999999994</v>
      </c>
      <c r="M78" s="207">
        <f t="shared" si="167"/>
        <v>1525.7842350839983</v>
      </c>
      <c r="N78" s="207">
        <f t="shared" si="134"/>
        <v>64.215764916001717</v>
      </c>
      <c r="O78" s="207">
        <f t="shared" si="135"/>
        <v>284.21576491600172</v>
      </c>
      <c r="P78" s="208">
        <f t="shared" si="136"/>
        <v>882.87055931410691</v>
      </c>
      <c r="Q78" s="207">
        <f t="shared" si="137"/>
        <v>122.15819059692046</v>
      </c>
      <c r="R78" s="207">
        <f t="shared" si="138"/>
        <v>847.21382454167065</v>
      </c>
      <c r="S78" s="207">
        <f t="shared" si="139"/>
        <v>35.656734772436252</v>
      </c>
      <c r="T78" s="209">
        <f t="shared" si="140"/>
        <v>157.8149253693567</v>
      </c>
      <c r="U78" s="208">
        <f t="shared" si="168"/>
        <v>18134.61458036309</v>
      </c>
      <c r="V78" s="207">
        <f t="shared" si="168"/>
        <v>2666.045235076986</v>
      </c>
      <c r="W78" s="207">
        <f t="shared" si="168"/>
        <v>16207.665363247013</v>
      </c>
      <c r="X78" s="207">
        <f t="shared" si="168"/>
        <v>1926.9492171160775</v>
      </c>
      <c r="Y78" s="209">
        <f t="shared" si="168"/>
        <v>4592.9944521930629</v>
      </c>
      <c r="AB78" s="206">
        <f t="shared" si="183"/>
        <v>16</v>
      </c>
      <c r="AC78" s="220" t="s">
        <v>4</v>
      </c>
      <c r="AD78" s="748">
        <f>'Arable Inputs'!$D$18</f>
        <v>8.25</v>
      </c>
      <c r="AE78" s="748">
        <f>'Arable Inputs'!$D$25</f>
        <v>162</v>
      </c>
      <c r="AF78" s="748">
        <f>'Arable Inputs'!$D$19</f>
        <v>3.9</v>
      </c>
      <c r="AG78" s="748">
        <f>'Arable Inputs'!$D$26</f>
        <v>65</v>
      </c>
      <c r="AH78" s="207">
        <f>AD78*AE78+AF78*AG78</f>
        <v>1590</v>
      </c>
      <c r="AI78" s="207">
        <f>'Arable NPV'!$E158</f>
        <v>220</v>
      </c>
      <c r="AJ78" s="207">
        <f t="shared" si="141"/>
        <v>1810</v>
      </c>
      <c r="AK78" s="207">
        <f>'Arable NPV'!$G158</f>
        <v>684.46423508399835</v>
      </c>
      <c r="AL78" s="207">
        <f>'Arable NPV'!$H158</f>
        <v>841.31999999999994</v>
      </c>
      <c r="AM78" s="207">
        <f>'Arable NPV'!$I158+0.5*'Arable NPV'!$I158</f>
        <v>2288.6763526259974</v>
      </c>
      <c r="AN78" s="207">
        <f t="shared" si="142"/>
        <v>-698.67635262599742</v>
      </c>
      <c r="AO78" s="207">
        <f t="shared" si="169"/>
        <v>-478.67635262599742</v>
      </c>
      <c r="AP78" s="208">
        <f t="shared" si="143"/>
        <v>882.87055931410691</v>
      </c>
      <c r="AQ78" s="207">
        <f t="shared" si="144"/>
        <v>122.15819059692046</v>
      </c>
      <c r="AR78" s="207">
        <f t="shared" si="145"/>
        <v>1270.8207368125061</v>
      </c>
      <c r="AS78" s="207">
        <f t="shared" si="146"/>
        <v>-387.95017749839911</v>
      </c>
      <c r="AT78" s="209">
        <f t="shared" si="147"/>
        <v>-265.79198690147865</v>
      </c>
      <c r="AU78" s="208">
        <f t="shared" si="170"/>
        <v>18134.61458036309</v>
      </c>
      <c r="AV78" s="207">
        <f t="shared" si="170"/>
        <v>2666.045235076986</v>
      </c>
      <c r="AW78" s="207">
        <f t="shared" si="170"/>
        <v>24311.498044870525</v>
      </c>
      <c r="AX78" s="207">
        <f t="shared" si="170"/>
        <v>-6176.8834645074294</v>
      </c>
      <c r="AY78" s="209">
        <f t="shared" si="170"/>
        <v>-3510.8382294304433</v>
      </c>
      <c r="BB78" s="206">
        <f t="shared" si="184"/>
        <v>16</v>
      </c>
      <c r="BC78" s="220" t="s">
        <v>4</v>
      </c>
      <c r="BD78" s="748">
        <f>'Arable Inputs'!$D$18</f>
        <v>8.25</v>
      </c>
      <c r="BE78" s="748">
        <f>'Arable Inputs'!$D$25</f>
        <v>162</v>
      </c>
      <c r="BF78" s="748">
        <f>'Arable Inputs'!$D$19</f>
        <v>3.9</v>
      </c>
      <c r="BG78" s="748">
        <f>'Arable Inputs'!$D$26</f>
        <v>65</v>
      </c>
      <c r="BH78" s="207">
        <f>BD78*BE78+BF78*BG78</f>
        <v>1590</v>
      </c>
      <c r="BI78" s="207">
        <f>'Arable NPV'!$E158</f>
        <v>220</v>
      </c>
      <c r="BJ78" s="207">
        <f t="shared" si="148"/>
        <v>1810</v>
      </c>
      <c r="BK78" s="207">
        <f>'Arable NPV'!$G158</f>
        <v>684.46423508399835</v>
      </c>
      <c r="BL78" s="207">
        <f>'Arable NPV'!$H158</f>
        <v>841.31999999999994</v>
      </c>
      <c r="BM78" s="207">
        <f>'Arable NPV'!$I158-0.5*'Arable NPV'!$I158</f>
        <v>762.89211754199914</v>
      </c>
      <c r="BN78" s="207">
        <f t="shared" si="149"/>
        <v>827.10788245800086</v>
      </c>
      <c r="BO78" s="207">
        <f t="shared" si="171"/>
        <v>1047.1078824580009</v>
      </c>
      <c r="BP78" s="208">
        <f t="shared" si="150"/>
        <v>882.87055931410691</v>
      </c>
      <c r="BQ78" s="207">
        <f t="shared" si="151"/>
        <v>122.15819059692046</v>
      </c>
      <c r="BR78" s="207">
        <f t="shared" si="152"/>
        <v>423.60691227083532</v>
      </c>
      <c r="BS78" s="207">
        <f t="shared" si="153"/>
        <v>459.26364704327159</v>
      </c>
      <c r="BT78" s="209">
        <f t="shared" si="154"/>
        <v>581.42183764019205</v>
      </c>
      <c r="BU78" s="208">
        <f t="shared" si="172"/>
        <v>18134.61458036309</v>
      </c>
      <c r="BV78" s="207">
        <f t="shared" si="172"/>
        <v>2666.045235076986</v>
      </c>
      <c r="BW78" s="207">
        <f t="shared" si="172"/>
        <v>8103.8326816235067</v>
      </c>
      <c r="BX78" s="207">
        <f t="shared" si="172"/>
        <v>10030.781898739584</v>
      </c>
      <c r="BY78" s="209">
        <f t="shared" si="172"/>
        <v>12696.82713381657</v>
      </c>
      <c r="CB78" s="206">
        <f t="shared" si="185"/>
        <v>16</v>
      </c>
      <c r="CC78" s="220" t="s">
        <v>4</v>
      </c>
      <c r="CD78" s="748">
        <f>'Arable Inputs'!$D$18</f>
        <v>8.25</v>
      </c>
      <c r="CE78" s="748">
        <f>'Arable Inputs'!$D$25</f>
        <v>162</v>
      </c>
      <c r="CF78" s="748">
        <f>'Arable Inputs'!$D$19</f>
        <v>3.9</v>
      </c>
      <c r="CG78" s="748">
        <f>'Arable Inputs'!$D$26</f>
        <v>65</v>
      </c>
      <c r="CH78" s="207">
        <f>CD78*CE78+CF78*CG78</f>
        <v>1590</v>
      </c>
      <c r="CI78" s="207">
        <f>'Arable NPV'!$E158</f>
        <v>220</v>
      </c>
      <c r="CJ78" s="207">
        <f t="shared" si="173"/>
        <v>1810</v>
      </c>
      <c r="CK78" s="207">
        <f>'Arable NPV'!$G158</f>
        <v>684.46423508399835</v>
      </c>
      <c r="CL78" s="207">
        <f>'Arable NPV'!$H158</f>
        <v>841.31999999999994</v>
      </c>
      <c r="CM78" s="207">
        <f>'Arable NPV'!$I158+'Arable NPV'!$I158</f>
        <v>3051.5684701679966</v>
      </c>
      <c r="CN78" s="207">
        <f t="shared" si="174"/>
        <v>-1461.5684701679966</v>
      </c>
      <c r="CO78" s="207">
        <f t="shared" si="175"/>
        <v>-1241.5684701679966</v>
      </c>
      <c r="CP78" s="208">
        <f t="shared" si="155"/>
        <v>882.87055931410691</v>
      </c>
      <c r="CQ78" s="207">
        <f t="shared" si="156"/>
        <v>122.15819059692046</v>
      </c>
      <c r="CR78" s="207">
        <f t="shared" si="157"/>
        <v>1694.4276490833413</v>
      </c>
      <c r="CS78" s="207">
        <f t="shared" si="158"/>
        <v>-811.55708976923438</v>
      </c>
      <c r="CT78" s="209">
        <f t="shared" si="159"/>
        <v>-689.39889917231403</v>
      </c>
      <c r="CU78" s="208">
        <f t="shared" si="176"/>
        <v>18134.61458036309</v>
      </c>
      <c r="CV78" s="207">
        <f t="shared" si="176"/>
        <v>2666.045235076986</v>
      </c>
      <c r="CW78" s="207">
        <f t="shared" si="176"/>
        <v>32415.330726494027</v>
      </c>
      <c r="CX78" s="207">
        <f t="shared" si="176"/>
        <v>-14280.716146130933</v>
      </c>
      <c r="CY78" s="209">
        <f t="shared" si="177"/>
        <v>-11614.67091105395</v>
      </c>
      <c r="DB78" s="206">
        <f t="shared" si="186"/>
        <v>16</v>
      </c>
      <c r="DC78" s="220" t="s">
        <v>4</v>
      </c>
      <c r="DD78" s="748">
        <f>'Arable Inputs'!$D$18</f>
        <v>8.25</v>
      </c>
      <c r="DE78" s="748">
        <f>'Arable Inputs'!$D$25</f>
        <v>162</v>
      </c>
      <c r="DF78" s="748">
        <f>'Arable Inputs'!$D$19</f>
        <v>3.9</v>
      </c>
      <c r="DG78" s="748">
        <f>'Arable Inputs'!$D$26</f>
        <v>65</v>
      </c>
      <c r="DH78" s="207">
        <f>DD78*DE78+DF78*DG78</f>
        <v>1590</v>
      </c>
      <c r="DI78" s="207">
        <f>'Arable NPV'!$E158</f>
        <v>220</v>
      </c>
      <c r="DJ78" s="207">
        <f t="shared" si="178"/>
        <v>1810</v>
      </c>
      <c r="DK78" s="207">
        <f>'Arable NPV'!$G158</f>
        <v>684.46423508399835</v>
      </c>
      <c r="DL78" s="207">
        <f>'Arable NPV'!$H158</f>
        <v>841.31999999999994</v>
      </c>
      <c r="DM78" s="207">
        <f>'Arable NPV'!$I158-'Arable NPV'!$I158</f>
        <v>0</v>
      </c>
      <c r="DN78" s="207">
        <f t="shared" si="179"/>
        <v>1590</v>
      </c>
      <c r="DO78" s="207">
        <f t="shared" si="180"/>
        <v>1810</v>
      </c>
      <c r="DP78" s="208">
        <f t="shared" si="160"/>
        <v>882.87055931410691</v>
      </c>
      <c r="DQ78" s="207">
        <f t="shared" si="161"/>
        <v>122.15819059692046</v>
      </c>
      <c r="DR78" s="207">
        <f t="shared" si="162"/>
        <v>0</v>
      </c>
      <c r="DS78" s="207">
        <f t="shared" si="163"/>
        <v>882.87055931410691</v>
      </c>
      <c r="DT78" s="209">
        <f t="shared" si="164"/>
        <v>1005.0287499110274</v>
      </c>
      <c r="DU78" s="208">
        <f t="shared" si="181"/>
        <v>18134.61458036309</v>
      </c>
      <c r="DV78" s="207">
        <f t="shared" si="181"/>
        <v>2666.045235076986</v>
      </c>
      <c r="DW78" s="207">
        <f t="shared" si="181"/>
        <v>0</v>
      </c>
      <c r="DX78" s="207">
        <f t="shared" si="181"/>
        <v>18134.61458036309</v>
      </c>
      <c r="DY78" s="209">
        <f t="shared" si="181"/>
        <v>20800.659815440078</v>
      </c>
    </row>
    <row r="84" spans="2:175" x14ac:dyDescent="0.3">
      <c r="B84" s="211" t="s">
        <v>94</v>
      </c>
      <c r="C84" s="750" t="s">
        <v>427</v>
      </c>
      <c r="D84" s="269" t="s">
        <v>418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Y84" s="102"/>
      <c r="Z84" s="211" t="s">
        <v>94</v>
      </c>
      <c r="AA84" s="211" t="s">
        <v>340</v>
      </c>
      <c r="AB84" s="756"/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94</v>
      </c>
      <c r="AY84" s="211" t="s">
        <v>341</v>
      </c>
      <c r="AZ84" s="231"/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94</v>
      </c>
      <c r="BW84" s="211" t="s">
        <v>342</v>
      </c>
      <c r="BX84" s="231"/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94</v>
      </c>
      <c r="CU84" s="211" t="s">
        <v>343</v>
      </c>
      <c r="CV84" s="231"/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Z84" s="102"/>
      <c r="EA84" s="102"/>
      <c r="EB84" s="102"/>
      <c r="EC84" s="102"/>
      <c r="ED84" s="102"/>
      <c r="EE84" s="102"/>
      <c r="EF84" s="102"/>
      <c r="EG84" s="102"/>
      <c r="EH84" s="102"/>
      <c r="EI84" s="102"/>
      <c r="EJ84" s="102"/>
      <c r="FI84" s="102"/>
      <c r="FJ84" s="102"/>
      <c r="FK84" s="102"/>
      <c r="FL84" s="102"/>
      <c r="FM84" s="102"/>
      <c r="FN84" s="102"/>
      <c r="FO84" s="102"/>
      <c r="FP84" s="102"/>
      <c r="FQ84" s="102"/>
      <c r="FR84" s="102"/>
      <c r="FS84" s="102"/>
    </row>
    <row r="85" spans="2:175" x14ac:dyDescent="0.3">
      <c r="B85" s="203"/>
      <c r="C85" s="148"/>
      <c r="D85" s="148"/>
      <c r="E85" s="970"/>
      <c r="F85" s="970"/>
      <c r="G85" s="970"/>
      <c r="H85" s="148"/>
      <c r="I85" s="910"/>
      <c r="J85" s="970"/>
      <c r="K85" s="970"/>
      <c r="L85" s="148"/>
      <c r="M85" s="148"/>
      <c r="N85" s="971" t="s">
        <v>279</v>
      </c>
      <c r="O85" s="972"/>
      <c r="P85" s="972"/>
      <c r="Q85" s="972"/>
      <c r="R85" s="973"/>
      <c r="S85" s="971" t="s">
        <v>280</v>
      </c>
      <c r="T85" s="972"/>
      <c r="U85" s="972"/>
      <c r="V85" s="972"/>
      <c r="W85" s="973"/>
      <c r="Z85" s="203"/>
      <c r="AA85" s="148"/>
      <c r="AB85" s="148"/>
      <c r="AC85" s="970"/>
      <c r="AD85" s="970"/>
      <c r="AE85" s="970"/>
      <c r="AF85" s="148"/>
      <c r="AG85" s="910"/>
      <c r="AH85" s="970"/>
      <c r="AI85" s="970"/>
      <c r="AJ85" s="148"/>
      <c r="AK85" s="148"/>
      <c r="AL85" s="971" t="s">
        <v>279</v>
      </c>
      <c r="AM85" s="972"/>
      <c r="AN85" s="972"/>
      <c r="AO85" s="972"/>
      <c r="AP85" s="973"/>
      <c r="AQ85" s="971" t="s">
        <v>280</v>
      </c>
      <c r="AR85" s="972"/>
      <c r="AS85" s="972"/>
      <c r="AT85" s="972"/>
      <c r="AU85" s="973"/>
      <c r="AX85" s="203"/>
      <c r="AY85" s="148"/>
      <c r="AZ85" s="148"/>
      <c r="BA85" s="970"/>
      <c r="BB85" s="970"/>
      <c r="BC85" s="970"/>
      <c r="BD85" s="148"/>
      <c r="BE85" s="910"/>
      <c r="BF85" s="970"/>
      <c r="BG85" s="970"/>
      <c r="BH85" s="148"/>
      <c r="BI85" s="148"/>
      <c r="BJ85" s="971" t="s">
        <v>279</v>
      </c>
      <c r="BK85" s="972"/>
      <c r="BL85" s="972"/>
      <c r="BM85" s="972"/>
      <c r="BN85" s="973"/>
      <c r="BO85" s="971" t="s">
        <v>280</v>
      </c>
      <c r="BP85" s="972"/>
      <c r="BQ85" s="972"/>
      <c r="BR85" s="972"/>
      <c r="BS85" s="973"/>
      <c r="BV85" s="203"/>
      <c r="BW85" s="148"/>
      <c r="BX85" s="148"/>
      <c r="BY85" s="970"/>
      <c r="BZ85" s="970"/>
      <c r="CA85" s="970"/>
      <c r="CB85" s="148"/>
      <c r="CC85" s="910"/>
      <c r="CD85" s="970"/>
      <c r="CE85" s="970"/>
      <c r="CF85" s="148"/>
      <c r="CG85" s="148"/>
      <c r="CH85" s="971" t="s">
        <v>279</v>
      </c>
      <c r="CI85" s="972"/>
      <c r="CJ85" s="972"/>
      <c r="CK85" s="972"/>
      <c r="CL85" s="973"/>
      <c r="CM85" s="971" t="s">
        <v>280</v>
      </c>
      <c r="CN85" s="972"/>
      <c r="CO85" s="972"/>
      <c r="CP85" s="972"/>
      <c r="CQ85" s="973"/>
      <c r="CT85" s="203"/>
      <c r="CU85" s="148"/>
      <c r="CV85" s="148"/>
      <c r="CW85" s="970"/>
      <c r="CX85" s="970"/>
      <c r="CY85" s="970"/>
      <c r="CZ85" s="148"/>
      <c r="DA85" s="910"/>
      <c r="DB85" s="970"/>
      <c r="DC85" s="970"/>
      <c r="DD85" s="148"/>
      <c r="DE85" s="148"/>
      <c r="DF85" s="971" t="s">
        <v>279</v>
      </c>
      <c r="DG85" s="972"/>
      <c r="DH85" s="972"/>
      <c r="DI85" s="972"/>
      <c r="DJ85" s="973"/>
      <c r="DK85" s="971" t="s">
        <v>280</v>
      </c>
      <c r="DL85" s="972"/>
      <c r="DM85" s="972"/>
      <c r="DN85" s="972"/>
      <c r="DO85" s="973"/>
    </row>
    <row r="86" spans="2:175" ht="51" x14ac:dyDescent="0.3">
      <c r="B86" s="204" t="s">
        <v>281</v>
      </c>
      <c r="C86" s="205" t="s">
        <v>307</v>
      </c>
      <c r="D86" s="205" t="s">
        <v>308</v>
      </c>
      <c r="E86" s="171" t="s">
        <v>283</v>
      </c>
      <c r="F86" s="171" t="s">
        <v>10</v>
      </c>
      <c r="G86" s="171" t="s">
        <v>284</v>
      </c>
      <c r="H86" s="205" t="s">
        <v>305</v>
      </c>
      <c r="I86" s="914" t="str">
        <f>'Energy NPV'!U11</f>
        <v>Total Recurring Costs</v>
      </c>
      <c r="J86" s="205" t="s">
        <v>309</v>
      </c>
      <c r="K86" s="171" t="s">
        <v>287</v>
      </c>
      <c r="L86" s="171" t="s">
        <v>288</v>
      </c>
      <c r="M86" s="171" t="s">
        <v>289</v>
      </c>
      <c r="N86" s="195" t="s">
        <v>290</v>
      </c>
      <c r="O86" s="171" t="s">
        <v>291</v>
      </c>
      <c r="P86" s="171" t="s">
        <v>292</v>
      </c>
      <c r="Q86" s="171" t="s">
        <v>293</v>
      </c>
      <c r="R86" s="198" t="s">
        <v>294</v>
      </c>
      <c r="S86" s="195" t="s">
        <v>295</v>
      </c>
      <c r="T86" s="171" t="s">
        <v>296</v>
      </c>
      <c r="U86" s="171" t="s">
        <v>297</v>
      </c>
      <c r="V86" s="171" t="s">
        <v>298</v>
      </c>
      <c r="W86" s="198" t="s">
        <v>299</v>
      </c>
      <c r="Z86" s="204" t="s">
        <v>281</v>
      </c>
      <c r="AA86" s="205" t="s">
        <v>307</v>
      </c>
      <c r="AB86" s="205" t="s">
        <v>308</v>
      </c>
      <c r="AC86" s="171" t="s">
        <v>283</v>
      </c>
      <c r="AD86" s="171" t="s">
        <v>10</v>
      </c>
      <c r="AE86" s="171" t="s">
        <v>284</v>
      </c>
      <c r="AF86" s="205" t="s">
        <v>305</v>
      </c>
      <c r="AG86" s="914" t="str">
        <f>'Energy NPV'!U11</f>
        <v>Total Recurring Costs</v>
      </c>
      <c r="AH86" s="205" t="s">
        <v>309</v>
      </c>
      <c r="AI86" s="171" t="s">
        <v>287</v>
      </c>
      <c r="AJ86" s="171" t="s">
        <v>288</v>
      </c>
      <c r="AK86" s="171" t="s">
        <v>289</v>
      </c>
      <c r="AL86" s="195" t="s">
        <v>290</v>
      </c>
      <c r="AM86" s="171" t="s">
        <v>291</v>
      </c>
      <c r="AN86" s="171" t="s">
        <v>292</v>
      </c>
      <c r="AO86" s="171" t="s">
        <v>293</v>
      </c>
      <c r="AP86" s="198" t="s">
        <v>294</v>
      </c>
      <c r="AQ86" s="195" t="s">
        <v>295</v>
      </c>
      <c r="AR86" s="171" t="s">
        <v>296</v>
      </c>
      <c r="AS86" s="171" t="s">
        <v>297</v>
      </c>
      <c r="AT86" s="171" t="s">
        <v>298</v>
      </c>
      <c r="AU86" s="198" t="s">
        <v>299</v>
      </c>
      <c r="AX86" s="204" t="s">
        <v>281</v>
      </c>
      <c r="AY86" s="205" t="s">
        <v>307</v>
      </c>
      <c r="AZ86" s="205" t="s">
        <v>308</v>
      </c>
      <c r="BA86" s="171" t="s">
        <v>283</v>
      </c>
      <c r="BB86" s="171" t="s">
        <v>10</v>
      </c>
      <c r="BC86" s="171" t="s">
        <v>284</v>
      </c>
      <c r="BD86" s="205" t="s">
        <v>305</v>
      </c>
      <c r="BE86" s="914" t="str">
        <f>'Energy NPV'!U11</f>
        <v>Total Recurring Costs</v>
      </c>
      <c r="BF86" s="205" t="s">
        <v>309</v>
      </c>
      <c r="BG86" s="171" t="s">
        <v>287</v>
      </c>
      <c r="BH86" s="171" t="s">
        <v>288</v>
      </c>
      <c r="BI86" s="171" t="s">
        <v>289</v>
      </c>
      <c r="BJ86" s="195" t="s">
        <v>290</v>
      </c>
      <c r="BK86" s="171" t="s">
        <v>291</v>
      </c>
      <c r="BL86" s="171" t="s">
        <v>292</v>
      </c>
      <c r="BM86" s="171" t="s">
        <v>293</v>
      </c>
      <c r="BN86" s="198" t="s">
        <v>294</v>
      </c>
      <c r="BO86" s="195" t="s">
        <v>295</v>
      </c>
      <c r="BP86" s="171" t="s">
        <v>296</v>
      </c>
      <c r="BQ86" s="171" t="s">
        <v>297</v>
      </c>
      <c r="BR86" s="171" t="s">
        <v>298</v>
      </c>
      <c r="BS86" s="198" t="s">
        <v>299</v>
      </c>
      <c r="BV86" s="204" t="s">
        <v>281</v>
      </c>
      <c r="BW86" s="205" t="s">
        <v>307</v>
      </c>
      <c r="BX86" s="205" t="s">
        <v>308</v>
      </c>
      <c r="BY86" s="171" t="s">
        <v>283</v>
      </c>
      <c r="BZ86" s="171" t="s">
        <v>10</v>
      </c>
      <c r="CA86" s="171" t="s">
        <v>284</v>
      </c>
      <c r="CB86" s="205" t="s">
        <v>305</v>
      </c>
      <c r="CC86" s="914" t="str">
        <f>'Energy NPV'!U11</f>
        <v>Total Recurring Costs</v>
      </c>
      <c r="CD86" s="205" t="s">
        <v>309</v>
      </c>
      <c r="CE86" s="171" t="s">
        <v>287</v>
      </c>
      <c r="CF86" s="171" t="s">
        <v>288</v>
      </c>
      <c r="CG86" s="171" t="s">
        <v>289</v>
      </c>
      <c r="CH86" s="195" t="s">
        <v>290</v>
      </c>
      <c r="CI86" s="171" t="s">
        <v>291</v>
      </c>
      <c r="CJ86" s="171" t="s">
        <v>292</v>
      </c>
      <c r="CK86" s="171" t="s">
        <v>293</v>
      </c>
      <c r="CL86" s="198" t="s">
        <v>294</v>
      </c>
      <c r="CM86" s="195" t="s">
        <v>295</v>
      </c>
      <c r="CN86" s="171" t="s">
        <v>296</v>
      </c>
      <c r="CO86" s="171" t="s">
        <v>297</v>
      </c>
      <c r="CP86" s="171" t="s">
        <v>298</v>
      </c>
      <c r="CQ86" s="198" t="s">
        <v>299</v>
      </c>
      <c r="CT86" s="204" t="s">
        <v>281</v>
      </c>
      <c r="CU86" s="205" t="s">
        <v>307</v>
      </c>
      <c r="CV86" s="205" t="s">
        <v>308</v>
      </c>
      <c r="CW86" s="171" t="s">
        <v>283</v>
      </c>
      <c r="CX86" s="171" t="s">
        <v>10</v>
      </c>
      <c r="CY86" s="171" t="s">
        <v>284</v>
      </c>
      <c r="CZ86" s="205" t="s">
        <v>305</v>
      </c>
      <c r="DA86" s="914" t="str">
        <f>'Energy NPV'!U11</f>
        <v>Total Recurring Costs</v>
      </c>
      <c r="DB86" s="205" t="s">
        <v>309</v>
      </c>
      <c r="DC86" s="171" t="s">
        <v>287</v>
      </c>
      <c r="DD86" s="171" t="s">
        <v>288</v>
      </c>
      <c r="DE86" s="171" t="s">
        <v>289</v>
      </c>
      <c r="DF86" s="195" t="s">
        <v>290</v>
      </c>
      <c r="DG86" s="171" t="s">
        <v>291</v>
      </c>
      <c r="DH86" s="171" t="s">
        <v>292</v>
      </c>
      <c r="DI86" s="171" t="s">
        <v>293</v>
      </c>
      <c r="DJ86" s="198" t="s">
        <v>294</v>
      </c>
      <c r="DK86" s="195" t="s">
        <v>295</v>
      </c>
      <c r="DL86" s="171" t="s">
        <v>296</v>
      </c>
      <c r="DM86" s="171" t="s">
        <v>297</v>
      </c>
      <c r="DN86" s="171" t="s">
        <v>298</v>
      </c>
      <c r="DO86" s="198" t="s">
        <v>299</v>
      </c>
    </row>
    <row r="87" spans="2:175" x14ac:dyDescent="0.3">
      <c r="B87" s="173"/>
      <c r="C87" s="226" t="s">
        <v>356</v>
      </c>
      <c r="D87" s="226" t="s">
        <v>476</v>
      </c>
      <c r="E87" s="201" t="s">
        <v>474</v>
      </c>
      <c r="F87" s="201" t="s">
        <v>474</v>
      </c>
      <c r="G87" s="201" t="s">
        <v>474</v>
      </c>
      <c r="H87" s="201" t="s">
        <v>474</v>
      </c>
      <c r="I87" s="948" t="str">
        <f>'Energy NPV'!U12</f>
        <v>(£ ha-1)</v>
      </c>
      <c r="J87" s="201" t="s">
        <v>474</v>
      </c>
      <c r="K87" s="201" t="s">
        <v>474</v>
      </c>
      <c r="L87" s="201" t="s">
        <v>474</v>
      </c>
      <c r="M87" s="202" t="s">
        <v>474</v>
      </c>
      <c r="N87" s="201" t="s">
        <v>474</v>
      </c>
      <c r="O87" s="201" t="s">
        <v>474</v>
      </c>
      <c r="P87" s="201" t="s">
        <v>474</v>
      </c>
      <c r="Q87" s="201" t="s">
        <v>474</v>
      </c>
      <c r="R87" s="202" t="s">
        <v>474</v>
      </c>
      <c r="S87" s="201" t="s">
        <v>474</v>
      </c>
      <c r="T87" s="201" t="s">
        <v>474</v>
      </c>
      <c r="U87" s="201" t="s">
        <v>474</v>
      </c>
      <c r="V87" s="201" t="s">
        <v>474</v>
      </c>
      <c r="W87" s="202" t="s">
        <v>474</v>
      </c>
      <c r="Z87" s="173"/>
      <c r="AA87" s="226" t="s">
        <v>356</v>
      </c>
      <c r="AB87" s="226" t="s">
        <v>476</v>
      </c>
      <c r="AC87" s="201" t="s">
        <v>474</v>
      </c>
      <c r="AD87" s="201" t="s">
        <v>474</v>
      </c>
      <c r="AE87" s="201" t="s">
        <v>474</v>
      </c>
      <c r="AF87" s="201" t="s">
        <v>474</v>
      </c>
      <c r="AG87" s="948" t="str">
        <f>'Energy NPV'!U12</f>
        <v>(£ ha-1)</v>
      </c>
      <c r="AH87" s="201" t="s">
        <v>474</v>
      </c>
      <c r="AI87" s="201" t="s">
        <v>474</v>
      </c>
      <c r="AJ87" s="201" t="s">
        <v>474</v>
      </c>
      <c r="AK87" s="202" t="s">
        <v>474</v>
      </c>
      <c r="AL87" s="201" t="s">
        <v>474</v>
      </c>
      <c r="AM87" s="201" t="s">
        <v>474</v>
      </c>
      <c r="AN87" s="201" t="s">
        <v>474</v>
      </c>
      <c r="AO87" s="201" t="s">
        <v>474</v>
      </c>
      <c r="AP87" s="202" t="s">
        <v>474</v>
      </c>
      <c r="AQ87" s="201" t="s">
        <v>474</v>
      </c>
      <c r="AR87" s="201" t="s">
        <v>474</v>
      </c>
      <c r="AS87" s="201" t="s">
        <v>474</v>
      </c>
      <c r="AT87" s="201" t="s">
        <v>474</v>
      </c>
      <c r="AU87" s="202" t="s">
        <v>474</v>
      </c>
      <c r="AX87" s="173"/>
      <c r="AY87" s="226" t="s">
        <v>356</v>
      </c>
      <c r="AZ87" s="226" t="s">
        <v>476</v>
      </c>
      <c r="BA87" s="201" t="s">
        <v>474</v>
      </c>
      <c r="BB87" s="201" t="s">
        <v>474</v>
      </c>
      <c r="BC87" s="201" t="s">
        <v>474</v>
      </c>
      <c r="BD87" s="201" t="s">
        <v>474</v>
      </c>
      <c r="BE87" s="948" t="str">
        <f>'Energy NPV'!U12</f>
        <v>(£ ha-1)</v>
      </c>
      <c r="BF87" s="201" t="s">
        <v>474</v>
      </c>
      <c r="BG87" s="201" t="s">
        <v>474</v>
      </c>
      <c r="BH87" s="201" t="s">
        <v>474</v>
      </c>
      <c r="BI87" s="202" t="s">
        <v>474</v>
      </c>
      <c r="BJ87" s="201" t="s">
        <v>474</v>
      </c>
      <c r="BK87" s="201" t="s">
        <v>474</v>
      </c>
      <c r="BL87" s="201" t="s">
        <v>474</v>
      </c>
      <c r="BM87" s="201" t="s">
        <v>474</v>
      </c>
      <c r="BN87" s="202" t="s">
        <v>474</v>
      </c>
      <c r="BO87" s="201" t="s">
        <v>474</v>
      </c>
      <c r="BP87" s="201" t="s">
        <v>474</v>
      </c>
      <c r="BQ87" s="201" t="s">
        <v>474</v>
      </c>
      <c r="BR87" s="201" t="s">
        <v>474</v>
      </c>
      <c r="BS87" s="202" t="s">
        <v>474</v>
      </c>
      <c r="BV87" s="173"/>
      <c r="BW87" s="226" t="s">
        <v>356</v>
      </c>
      <c r="BX87" s="226" t="s">
        <v>476</v>
      </c>
      <c r="BY87" s="201" t="s">
        <v>474</v>
      </c>
      <c r="BZ87" s="201" t="s">
        <v>474</v>
      </c>
      <c r="CA87" s="201" t="s">
        <v>474</v>
      </c>
      <c r="CB87" s="201" t="s">
        <v>474</v>
      </c>
      <c r="CC87" s="948" t="str">
        <f>'Energy NPV'!U12</f>
        <v>(£ ha-1)</v>
      </c>
      <c r="CD87" s="201" t="s">
        <v>474</v>
      </c>
      <c r="CE87" s="201" t="s">
        <v>474</v>
      </c>
      <c r="CF87" s="201" t="s">
        <v>474</v>
      </c>
      <c r="CG87" s="202" t="s">
        <v>474</v>
      </c>
      <c r="CH87" s="201" t="s">
        <v>474</v>
      </c>
      <c r="CI87" s="201" t="s">
        <v>474</v>
      </c>
      <c r="CJ87" s="201" t="s">
        <v>474</v>
      </c>
      <c r="CK87" s="201" t="s">
        <v>474</v>
      </c>
      <c r="CL87" s="202" t="s">
        <v>474</v>
      </c>
      <c r="CM87" s="201" t="s">
        <v>474</v>
      </c>
      <c r="CN87" s="201" t="s">
        <v>474</v>
      </c>
      <c r="CO87" s="201" t="s">
        <v>474</v>
      </c>
      <c r="CP87" s="201" t="s">
        <v>474</v>
      </c>
      <c r="CQ87" s="202" t="s">
        <v>474</v>
      </c>
      <c r="CT87" s="173"/>
      <c r="CU87" s="226" t="s">
        <v>356</v>
      </c>
      <c r="CV87" s="226" t="s">
        <v>476</v>
      </c>
      <c r="CW87" s="201" t="s">
        <v>474</v>
      </c>
      <c r="CX87" s="201" t="s">
        <v>474</v>
      </c>
      <c r="CY87" s="201" t="s">
        <v>474</v>
      </c>
      <c r="CZ87" s="201" t="s">
        <v>474</v>
      </c>
      <c r="DA87" s="948" t="str">
        <f>'Energy NPV'!U12</f>
        <v>(£ ha-1)</v>
      </c>
      <c r="DB87" s="201" t="s">
        <v>474</v>
      </c>
      <c r="DC87" s="201" t="s">
        <v>474</v>
      </c>
      <c r="DD87" s="201" t="s">
        <v>474</v>
      </c>
      <c r="DE87" s="202" t="s">
        <v>474</v>
      </c>
      <c r="DF87" s="201" t="s">
        <v>474</v>
      </c>
      <c r="DG87" s="201" t="s">
        <v>474</v>
      </c>
      <c r="DH87" s="201" t="s">
        <v>474</v>
      </c>
      <c r="DI87" s="201" t="s">
        <v>474</v>
      </c>
      <c r="DJ87" s="202" t="s">
        <v>474</v>
      </c>
      <c r="DK87" s="201" t="s">
        <v>474</v>
      </c>
      <c r="DL87" s="201" t="s">
        <v>474</v>
      </c>
      <c r="DM87" s="201" t="s">
        <v>474</v>
      </c>
      <c r="DN87" s="201" t="s">
        <v>474</v>
      </c>
      <c r="DO87" s="202" t="s">
        <v>474</v>
      </c>
    </row>
    <row r="88" spans="2:175" x14ac:dyDescent="0.3">
      <c r="B88" s="204">
        <v>1</v>
      </c>
      <c r="C88" s="746">
        <f>'Energy NPV'!$D13</f>
        <v>0</v>
      </c>
      <c r="D88" s="197">
        <f>'Energy margins'!$E$12</f>
        <v>55</v>
      </c>
      <c r="E88" s="197">
        <f>C88*D88</f>
        <v>0</v>
      </c>
      <c r="F88" s="197">
        <f>'Margins summary'!$Q$14</f>
        <v>220</v>
      </c>
      <c r="G88" s="197">
        <f>E88+F88</f>
        <v>220</v>
      </c>
      <c r="H88" s="197">
        <f>'Margins summary'!$P$20</f>
        <v>1642.4049999999997</v>
      </c>
      <c r="I88" s="897">
        <f>'Energy NPV'!U13</f>
        <v>0</v>
      </c>
      <c r="J88" s="197"/>
      <c r="K88" s="197">
        <f t="shared" ref="K88:K103" si="187">H88+I88+J88</f>
        <v>1642.4049999999997</v>
      </c>
      <c r="L88" s="197">
        <f t="shared" ref="L88:L103" si="188">E88-K88</f>
        <v>-1642.4049999999997</v>
      </c>
      <c r="M88" s="197">
        <f t="shared" ref="M88:M103" si="189">G88-K88</f>
        <v>-1422.4049999999997</v>
      </c>
      <c r="N88" s="1007">
        <f>E88/((1+$B$4)^($B88-1))</f>
        <v>0</v>
      </c>
      <c r="O88" s="1010">
        <f>F88/((1+$B$4)^($B88-1))</f>
        <v>220</v>
      </c>
      <c r="P88" s="1010">
        <f>K88/((1+$B$4)^($B88-1))</f>
        <v>1642.4049999999997</v>
      </c>
      <c r="Q88" s="1010">
        <f>L88/((1+$B$4)^($B88-1))</f>
        <v>-1642.4049999999997</v>
      </c>
      <c r="R88" s="1012">
        <f>M88/((1+$B$4)^($B88-1))</f>
        <v>-1422.4049999999997</v>
      </c>
      <c r="S88" s="196">
        <f>N88</f>
        <v>0</v>
      </c>
      <c r="T88" s="197">
        <f>O88</f>
        <v>220</v>
      </c>
      <c r="U88" s="197">
        <f>P88</f>
        <v>1642.4049999999997</v>
      </c>
      <c r="V88" s="197">
        <f>Q88</f>
        <v>-1642.4049999999997</v>
      </c>
      <c r="W88" s="199">
        <f>R88</f>
        <v>-1422.4049999999997</v>
      </c>
      <c r="Z88" s="204">
        <v>1</v>
      </c>
      <c r="AA88" s="746">
        <f>'Energy NPV'!$D13</f>
        <v>0</v>
      </c>
      <c r="AB88" s="197">
        <f>'Energy margins'!$E$12</f>
        <v>55</v>
      </c>
      <c r="AC88" s="197">
        <f>AA88*AB88</f>
        <v>0</v>
      </c>
      <c r="AD88" s="197">
        <f>'Margins summary'!$Q$14</f>
        <v>220</v>
      </c>
      <c r="AE88" s="197">
        <f>AC88+AD88</f>
        <v>220</v>
      </c>
      <c r="AF88" s="197">
        <f>'Margins summary'!$P$20</f>
        <v>1642.4049999999997</v>
      </c>
      <c r="AG88" s="897">
        <f>'Energy NPV'!U13</f>
        <v>0</v>
      </c>
      <c r="AH88" s="197"/>
      <c r="AI88" s="197">
        <f t="shared" ref="AI88:AI103" si="190">(AF88+AG88+AH88)+0.5*(AF88+AG88+AH88)</f>
        <v>2463.6074999999996</v>
      </c>
      <c r="AJ88" s="197">
        <f t="shared" ref="AJ88:AJ103" si="191">AC88-AI88</f>
        <v>-2463.6074999999996</v>
      </c>
      <c r="AK88" s="197">
        <f t="shared" ref="AK88:AK103" si="192">AE88-AI88</f>
        <v>-2243.6074999999996</v>
      </c>
      <c r="AL88" s="1007">
        <f>AC88/((1+$B$4)^($Z88-1))</f>
        <v>0</v>
      </c>
      <c r="AM88" s="1010">
        <f>AD88/((1+$B$4)^($Z88-1))</f>
        <v>220</v>
      </c>
      <c r="AN88" s="1010">
        <f>AI88/((1+$B$4)^($Z88-1))</f>
        <v>2463.6074999999996</v>
      </c>
      <c r="AO88" s="1010">
        <f>AJ88/((1+$B$4)^($Z88-1))</f>
        <v>-2463.6074999999996</v>
      </c>
      <c r="AP88" s="1012">
        <f>AK88/((1+$B$4)^($Z88-1))</f>
        <v>-2243.6074999999996</v>
      </c>
      <c r="AQ88" s="196">
        <f>AL88</f>
        <v>0</v>
      </c>
      <c r="AR88" s="197">
        <f>AM88</f>
        <v>220</v>
      </c>
      <c r="AS88" s="197">
        <f>AN88</f>
        <v>2463.6074999999996</v>
      </c>
      <c r="AT88" s="197">
        <f>AO88</f>
        <v>-2463.6074999999996</v>
      </c>
      <c r="AU88" s="199">
        <f>AP88</f>
        <v>-2243.6074999999996</v>
      </c>
      <c r="AX88" s="204">
        <v>1</v>
      </c>
      <c r="AY88" s="746">
        <f>'Energy NPV'!$D13</f>
        <v>0</v>
      </c>
      <c r="AZ88" s="197">
        <f>'Energy margins'!$E$12</f>
        <v>55</v>
      </c>
      <c r="BA88" s="197">
        <f t="shared" ref="BA88:BA103" si="193">AY88*AZ88</f>
        <v>0</v>
      </c>
      <c r="BB88" s="197">
        <f>'Margins summary'!$Q$14</f>
        <v>220</v>
      </c>
      <c r="BC88" s="197">
        <f t="shared" ref="BC88:BC103" si="194">BA88+BB88</f>
        <v>220</v>
      </c>
      <c r="BD88" s="197">
        <f>'Margins summary'!$P$20</f>
        <v>1642.4049999999997</v>
      </c>
      <c r="BE88" s="897">
        <f>'Energy NPV'!U13</f>
        <v>0</v>
      </c>
      <c r="BF88" s="197"/>
      <c r="BG88" s="197">
        <f t="shared" ref="BG88:BG103" si="195">(BD88+BE88+BF88)-0.5*(BD88+BE88+BF88)</f>
        <v>821.20249999999987</v>
      </c>
      <c r="BH88" s="197">
        <f t="shared" ref="BH88:BH103" si="196">BA88-BG88</f>
        <v>-821.20249999999987</v>
      </c>
      <c r="BI88" s="197">
        <f t="shared" ref="BI88:BI103" si="197">BC88-BG88</f>
        <v>-601.20249999999987</v>
      </c>
      <c r="BJ88" s="1007">
        <f>BA88/((1+$B$4)^($AX88-1))</f>
        <v>0</v>
      </c>
      <c r="BK88" s="1010">
        <f>BB88/((1+$B$4)^($AX88-1))</f>
        <v>220</v>
      </c>
      <c r="BL88" s="1010">
        <f>BG88/((1+$B$4)^($AX88-1))</f>
        <v>821.20249999999987</v>
      </c>
      <c r="BM88" s="1010">
        <f>BH88/((1+$B$4)^($AX88-1))</f>
        <v>-821.20249999999987</v>
      </c>
      <c r="BN88" s="1012">
        <f>BI88/((1+$B$4)^($AX88-1))</f>
        <v>-601.20249999999987</v>
      </c>
      <c r="BO88" s="196">
        <f>BJ88</f>
        <v>0</v>
      </c>
      <c r="BP88" s="197">
        <f>BK88</f>
        <v>220</v>
      </c>
      <c r="BQ88" s="197">
        <f>BL88</f>
        <v>821.20249999999987</v>
      </c>
      <c r="BR88" s="197">
        <f>BM88</f>
        <v>-821.20249999999987</v>
      </c>
      <c r="BS88" s="199">
        <f>BN88</f>
        <v>-601.20249999999987</v>
      </c>
      <c r="BV88" s="204">
        <v>1</v>
      </c>
      <c r="BW88" s="746">
        <f>'Energy NPV'!$D13</f>
        <v>0</v>
      </c>
      <c r="BX88" s="197">
        <f>'Energy margins'!$E$12</f>
        <v>55</v>
      </c>
      <c r="BY88" s="197">
        <f>BW88*BX88</f>
        <v>0</v>
      </c>
      <c r="BZ88" s="197">
        <f>'Margins summary'!$Q$14</f>
        <v>220</v>
      </c>
      <c r="CA88" s="197">
        <f>BY88+BZ88</f>
        <v>220</v>
      </c>
      <c r="CB88" s="197">
        <f>'Margins summary'!$P$20</f>
        <v>1642.4049999999997</v>
      </c>
      <c r="CC88" s="897">
        <f>'Energy NPV'!U13</f>
        <v>0</v>
      </c>
      <c r="CD88" s="197"/>
      <c r="CE88" s="197">
        <f t="shared" ref="CE88:CE103" si="198">CB88+CC88+CD88+CB88+CC88+CD88</f>
        <v>3284.8099999999995</v>
      </c>
      <c r="CF88" s="197">
        <f t="shared" ref="CF88:CF103" si="199">BY88-CE88</f>
        <v>-3284.8099999999995</v>
      </c>
      <c r="CG88" s="197">
        <f t="shared" ref="CG88:CG103" si="200">CA88-CE88</f>
        <v>-3064.8099999999995</v>
      </c>
      <c r="CH88" s="1007">
        <f>BY88/((1+$B$4)^($BV88-1))</f>
        <v>0</v>
      </c>
      <c r="CI88" s="1010">
        <f>BZ88/((1+$B$4)^($BV88-1))</f>
        <v>220</v>
      </c>
      <c r="CJ88" s="1010">
        <f>CE88/((1+$B$4)^($BV88-1))</f>
        <v>3284.8099999999995</v>
      </c>
      <c r="CK88" s="1010">
        <f>CF88/((1+$B$4)^($BV88-1))</f>
        <v>-3284.8099999999995</v>
      </c>
      <c r="CL88" s="1012">
        <f>CG88/((1+$B$4)^($BV88-1))</f>
        <v>-3064.8099999999995</v>
      </c>
      <c r="CM88" s="196">
        <f>CH88</f>
        <v>0</v>
      </c>
      <c r="CN88" s="197">
        <f>CI88</f>
        <v>220</v>
      </c>
      <c r="CO88" s="197">
        <f>CJ88</f>
        <v>3284.8099999999995</v>
      </c>
      <c r="CP88" s="197">
        <f>CK88</f>
        <v>-3284.8099999999995</v>
      </c>
      <c r="CQ88" s="199">
        <f>CL88</f>
        <v>-3064.8099999999995</v>
      </c>
      <c r="CT88" s="204">
        <v>1</v>
      </c>
      <c r="CU88" s="746">
        <f>'Energy NPV'!$D13</f>
        <v>0</v>
      </c>
      <c r="CV88" s="197">
        <f>'Energy margins'!$E$12</f>
        <v>55</v>
      </c>
      <c r="CW88" s="197">
        <f t="shared" ref="CW88:CW103" si="201">CU88*CV88</f>
        <v>0</v>
      </c>
      <c r="CX88" s="197">
        <f>'Margins summary'!$Q$14</f>
        <v>220</v>
      </c>
      <c r="CY88" s="197">
        <f>CW88+CX88</f>
        <v>220</v>
      </c>
      <c r="CZ88" s="197">
        <f>'Margins summary'!$P$20</f>
        <v>1642.4049999999997</v>
      </c>
      <c r="DA88" s="897">
        <f>'Energy NPV'!U13</f>
        <v>0</v>
      </c>
      <c r="DB88" s="197"/>
      <c r="DC88" s="197">
        <f t="shared" ref="DC88:DC103" si="202">CZ88+DA88+DB88-(CZ88+DA88+DB88)</f>
        <v>0</v>
      </c>
      <c r="DD88" s="197">
        <f t="shared" ref="DD88:DD103" si="203">CW88-DC88</f>
        <v>0</v>
      </c>
      <c r="DE88" s="197">
        <f t="shared" ref="DE88:DE103" si="204">CY88-DC88</f>
        <v>220</v>
      </c>
      <c r="DF88" s="1007">
        <f>CW88/((1+$B$4)^($CT88-1))</f>
        <v>0</v>
      </c>
      <c r="DG88" s="1010">
        <f>CX88/((1+$B$4)^($CT88-1))</f>
        <v>220</v>
      </c>
      <c r="DH88" s="1010">
        <f>DC88/((1+$B$4)^($CT88-1))</f>
        <v>0</v>
      </c>
      <c r="DI88" s="1010">
        <f>DD88/((1+$B$4)^($CT88-1))</f>
        <v>0</v>
      </c>
      <c r="DJ88" s="1012">
        <f>DE88/((1+$B$4)^($CT88-1))</f>
        <v>220</v>
      </c>
      <c r="DK88" s="196">
        <f>DF88</f>
        <v>0</v>
      </c>
      <c r="DL88" s="197">
        <f>DG88</f>
        <v>220</v>
      </c>
      <c r="DM88" s="197">
        <f>DH88</f>
        <v>0</v>
      </c>
      <c r="DN88" s="197">
        <f>DI88</f>
        <v>0</v>
      </c>
      <c r="DO88" s="199">
        <f>DJ88</f>
        <v>220</v>
      </c>
    </row>
    <row r="89" spans="2:175" x14ac:dyDescent="0.3">
      <c r="B89" s="204">
        <v>2</v>
      </c>
      <c r="C89" s="746">
        <f>'Energy NPV'!$D14</f>
        <v>0</v>
      </c>
      <c r="D89" s="197">
        <f>'Energy margins'!$E$12</f>
        <v>55</v>
      </c>
      <c r="E89" s="197">
        <f>C89*D89</f>
        <v>0</v>
      </c>
      <c r="F89" s="197">
        <f>'Margins summary'!$Q$14</f>
        <v>220</v>
      </c>
      <c r="G89" s="197">
        <f t="shared" ref="G89:G103" si="205">E89+F89</f>
        <v>220</v>
      </c>
      <c r="H89" s="197"/>
      <c r="I89" s="897">
        <f>'Energy NPV'!U14</f>
        <v>140.30000000000001</v>
      </c>
      <c r="J89" s="197"/>
      <c r="K89" s="197">
        <f t="shared" si="187"/>
        <v>140.30000000000001</v>
      </c>
      <c r="L89" s="197">
        <f t="shared" si="188"/>
        <v>-140.30000000000001</v>
      </c>
      <c r="M89" s="197">
        <f t="shared" si="189"/>
        <v>79.699999999999989</v>
      </c>
      <c r="N89" s="1008">
        <f t="shared" ref="N89:O103" si="206">E89/((1+$B$4)^($B89-1))</f>
        <v>0</v>
      </c>
      <c r="O89" s="1011">
        <f t="shared" si="206"/>
        <v>211.53846153846152</v>
      </c>
      <c r="P89" s="1011">
        <f t="shared" ref="P89:R103" si="207">K89/((1+$B$4)^($B89-1))</f>
        <v>134.90384615384616</v>
      </c>
      <c r="Q89" s="1011">
        <f t="shared" si="207"/>
        <v>-134.90384615384616</v>
      </c>
      <c r="R89" s="1013">
        <f t="shared" si="207"/>
        <v>76.634615384615373</v>
      </c>
      <c r="S89" s="196">
        <f>S88+N89</f>
        <v>0</v>
      </c>
      <c r="T89" s="197">
        <f t="shared" ref="T89:W103" si="208">T88+O89</f>
        <v>431.53846153846155</v>
      </c>
      <c r="U89" s="197">
        <f t="shared" si="208"/>
        <v>1777.3088461538459</v>
      </c>
      <c r="V89" s="197">
        <f t="shared" si="208"/>
        <v>-1777.3088461538459</v>
      </c>
      <c r="W89" s="199">
        <f t="shared" si="208"/>
        <v>-1345.7703846153843</v>
      </c>
      <c r="Z89" s="204">
        <v>2</v>
      </c>
      <c r="AA89" s="746">
        <f>'Energy NPV'!$D14</f>
        <v>0</v>
      </c>
      <c r="AB89" s="197">
        <f>'Energy margins'!$E$12</f>
        <v>55</v>
      </c>
      <c r="AC89" s="197">
        <f>AA89*AB89</f>
        <v>0</v>
      </c>
      <c r="AD89" s="197">
        <f>'Margins summary'!$Q$14</f>
        <v>220</v>
      </c>
      <c r="AE89" s="197">
        <f t="shared" ref="AE89:AE103" si="209">AC89+AD89</f>
        <v>220</v>
      </c>
      <c r="AF89" s="197"/>
      <c r="AG89" s="897">
        <f>'Energy NPV'!U14</f>
        <v>140.30000000000001</v>
      </c>
      <c r="AH89" s="197"/>
      <c r="AI89" s="197">
        <f t="shared" si="190"/>
        <v>210.45000000000002</v>
      </c>
      <c r="AJ89" s="197">
        <f t="shared" si="191"/>
        <v>-210.45000000000002</v>
      </c>
      <c r="AK89" s="197">
        <f t="shared" si="192"/>
        <v>9.5499999999999829</v>
      </c>
      <c r="AL89" s="1008">
        <f t="shared" ref="AL89:AL103" si="210">AC89/((1+$B$4)^($Z89-1))</f>
        <v>0</v>
      </c>
      <c r="AM89" s="1011">
        <f t="shared" ref="AM89:AM103" si="211">AD89/((1+$B$4)^($Z89-1))</f>
        <v>211.53846153846152</v>
      </c>
      <c r="AN89" s="1011">
        <f t="shared" ref="AN89:AN103" si="212">AI89/((1+$B$4)^($Z89-1))</f>
        <v>202.35576923076923</v>
      </c>
      <c r="AO89" s="1011">
        <f t="shared" ref="AO89:AO103" si="213">AJ89/((1+$B$4)^($Z89-1))</f>
        <v>-202.35576923076923</v>
      </c>
      <c r="AP89" s="1013">
        <f t="shared" ref="AP89:AP102" si="214">AK89/((1+$B$4)^($Z89-1))</f>
        <v>9.1826923076922906</v>
      </c>
      <c r="AQ89" s="196">
        <f>AQ88+AL89</f>
        <v>0</v>
      </c>
      <c r="AR89" s="197">
        <f t="shared" ref="AR89:AU103" si="215">AR88+AM89</f>
        <v>431.53846153846155</v>
      </c>
      <c r="AS89" s="197">
        <f t="shared" si="215"/>
        <v>2665.9632692307687</v>
      </c>
      <c r="AT89" s="197">
        <f t="shared" si="215"/>
        <v>-2665.9632692307687</v>
      </c>
      <c r="AU89" s="199">
        <f t="shared" si="215"/>
        <v>-2234.4248076923072</v>
      </c>
      <c r="AX89" s="204">
        <v>2</v>
      </c>
      <c r="AY89" s="746">
        <f>'Energy NPV'!$D14</f>
        <v>0</v>
      </c>
      <c r="AZ89" s="197">
        <f>'Energy margins'!$E$12</f>
        <v>55</v>
      </c>
      <c r="BA89" s="197">
        <f t="shared" si="193"/>
        <v>0</v>
      </c>
      <c r="BB89" s="197">
        <f>'Margins summary'!$Q$14</f>
        <v>220</v>
      </c>
      <c r="BC89" s="197">
        <f t="shared" si="194"/>
        <v>220</v>
      </c>
      <c r="BD89" s="197"/>
      <c r="BE89" s="897">
        <f>'Energy NPV'!U14</f>
        <v>140.30000000000001</v>
      </c>
      <c r="BF89" s="197"/>
      <c r="BG89" s="197">
        <f t="shared" si="195"/>
        <v>70.150000000000006</v>
      </c>
      <c r="BH89" s="197">
        <f t="shared" si="196"/>
        <v>-70.150000000000006</v>
      </c>
      <c r="BI89" s="197">
        <f t="shared" si="197"/>
        <v>149.85</v>
      </c>
      <c r="BJ89" s="1008">
        <f t="shared" ref="BJ89:BJ103" si="216">BA89/((1+$B$4)^($AX89-1))</f>
        <v>0</v>
      </c>
      <c r="BK89" s="1011">
        <f t="shared" ref="BK89:BK103" si="217">BB89/((1+$B$4)^($AX89-1))</f>
        <v>211.53846153846152</v>
      </c>
      <c r="BL89" s="1011">
        <f t="shared" ref="BL89:BL103" si="218">BG89/((1+$B$4)^($AX89-1))</f>
        <v>67.45192307692308</v>
      </c>
      <c r="BM89" s="1011">
        <f t="shared" ref="BM89:BM103" si="219">BH89/((1+$B$4)^($AX89-1))</f>
        <v>-67.45192307692308</v>
      </c>
      <c r="BN89" s="1013">
        <f t="shared" ref="BN89:BN103" si="220">BI89/((1+$B$4)^($AX89-1))</f>
        <v>144.08653846153845</v>
      </c>
      <c r="BO89" s="196">
        <f t="shared" ref="BO89:BO103" si="221">BO88+BJ89</f>
        <v>0</v>
      </c>
      <c r="BP89" s="197">
        <f t="shared" ref="BP89:BP103" si="222">BP88+BK89</f>
        <v>431.53846153846155</v>
      </c>
      <c r="BQ89" s="197">
        <f t="shared" ref="BQ89:BQ103" si="223">BQ88+BL89</f>
        <v>888.65442307692297</v>
      </c>
      <c r="BR89" s="197">
        <f t="shared" ref="BR89:BR103" si="224">BR88+BM89</f>
        <v>-888.65442307692297</v>
      </c>
      <c r="BS89" s="199">
        <f t="shared" ref="BS89:BS103" si="225">BS88+BN89</f>
        <v>-457.11596153846142</v>
      </c>
      <c r="BV89" s="204">
        <v>2</v>
      </c>
      <c r="BW89" s="746">
        <f>'Energy NPV'!$D14</f>
        <v>0</v>
      </c>
      <c r="BX89" s="197">
        <f>'Energy margins'!$E$12</f>
        <v>55</v>
      </c>
      <c r="BY89" s="197">
        <f>BW89*BX89</f>
        <v>0</v>
      </c>
      <c r="BZ89" s="197">
        <f>'Margins summary'!$Q$14</f>
        <v>220</v>
      </c>
      <c r="CA89" s="197">
        <f t="shared" ref="CA89:CA103" si="226">BY89+BZ89</f>
        <v>220</v>
      </c>
      <c r="CB89" s="197"/>
      <c r="CC89" s="897">
        <f>'Energy NPV'!U14</f>
        <v>140.30000000000001</v>
      </c>
      <c r="CD89" s="197"/>
      <c r="CE89" s="197">
        <f t="shared" si="198"/>
        <v>280.60000000000002</v>
      </c>
      <c r="CF89" s="197">
        <f t="shared" si="199"/>
        <v>-280.60000000000002</v>
      </c>
      <c r="CG89" s="197">
        <f t="shared" si="200"/>
        <v>-60.600000000000023</v>
      </c>
      <c r="CH89" s="1008">
        <f t="shared" ref="CH89:CH103" si="227">BY89/((1+$B$4)^($BV89-1))</f>
        <v>0</v>
      </c>
      <c r="CI89" s="1011">
        <f t="shared" ref="CI89:CI103" si="228">BZ89/((1+$B$4)^($BV89-1))</f>
        <v>211.53846153846152</v>
      </c>
      <c r="CJ89" s="1011">
        <f t="shared" ref="CJ89:CJ103" si="229">CE89/((1+$B$4)^($BV89-1))</f>
        <v>269.80769230769232</v>
      </c>
      <c r="CK89" s="1011">
        <f t="shared" ref="CK89:CK103" si="230">CF89/((1+$B$4)^($BV89-1))</f>
        <v>-269.80769230769232</v>
      </c>
      <c r="CL89" s="1013">
        <f t="shared" ref="CL89:CL102" si="231">CG89/((1+$B$4)^($BV89-1))</f>
        <v>-58.269230769230788</v>
      </c>
      <c r="CM89" s="196">
        <f>CM88+CH89</f>
        <v>0</v>
      </c>
      <c r="CN89" s="197">
        <f t="shared" ref="CN89:CQ103" si="232">CN88+CI89</f>
        <v>431.53846153846155</v>
      </c>
      <c r="CO89" s="197">
        <f t="shared" si="232"/>
        <v>3554.6176923076919</v>
      </c>
      <c r="CP89" s="197">
        <f t="shared" si="232"/>
        <v>-3554.6176923076919</v>
      </c>
      <c r="CQ89" s="199">
        <f t="shared" si="232"/>
        <v>-3123.0792307692304</v>
      </c>
      <c r="CT89" s="204">
        <v>2</v>
      </c>
      <c r="CU89" s="746">
        <f>'Energy NPV'!$D14</f>
        <v>0</v>
      </c>
      <c r="CV89" s="197">
        <f>'Energy margins'!$E$12</f>
        <v>55</v>
      </c>
      <c r="CW89" s="197">
        <f t="shared" si="201"/>
        <v>0</v>
      </c>
      <c r="CX89" s="197">
        <f>'Margins summary'!$Q$14</f>
        <v>220</v>
      </c>
      <c r="CY89" s="197">
        <f t="shared" ref="CY89:CY103" si="233">CW89+CX89</f>
        <v>220</v>
      </c>
      <c r="CZ89" s="197"/>
      <c r="DA89" s="897">
        <f>'Energy NPV'!U14</f>
        <v>140.30000000000001</v>
      </c>
      <c r="DB89" s="197"/>
      <c r="DC89" s="197">
        <f t="shared" si="202"/>
        <v>0</v>
      </c>
      <c r="DD89" s="197">
        <f t="shared" si="203"/>
        <v>0</v>
      </c>
      <c r="DE89" s="197">
        <f t="shared" si="204"/>
        <v>220</v>
      </c>
      <c r="DF89" s="1008">
        <f t="shared" ref="DF89:DF103" si="234">CW89/((1+$B$4)^($CT89-1))</f>
        <v>0</v>
      </c>
      <c r="DG89" s="1011">
        <f t="shared" ref="DG89:DG103" si="235">CX89/((1+$B$4)^($CT89-1))</f>
        <v>211.53846153846152</v>
      </c>
      <c r="DH89" s="1011">
        <f t="shared" ref="DH89:DH103" si="236">DC89/((1+$B$4)^($CT89-1))</f>
        <v>0</v>
      </c>
      <c r="DI89" s="1011">
        <f t="shared" ref="DI89:DI103" si="237">DD89/((1+$B$4)^($CT89-1))</f>
        <v>0</v>
      </c>
      <c r="DJ89" s="1013">
        <f t="shared" ref="DJ89:DJ102" si="238">DE89/((1+$B$4)^($CT89-1))</f>
        <v>211.53846153846152</v>
      </c>
      <c r="DK89" s="196">
        <f>DK88+DF89</f>
        <v>0</v>
      </c>
      <c r="DL89" s="197">
        <f t="shared" ref="DL89:DO103" si="239">DL88+DG89</f>
        <v>431.53846153846155</v>
      </c>
      <c r="DM89" s="197">
        <f t="shared" si="239"/>
        <v>0</v>
      </c>
      <c r="DN89" s="197">
        <f t="shared" si="239"/>
        <v>0</v>
      </c>
      <c r="DO89" s="199">
        <f t="shared" si="239"/>
        <v>431.53846153846155</v>
      </c>
    </row>
    <row r="90" spans="2:175" x14ac:dyDescent="0.3">
      <c r="B90" s="204">
        <f t="shared" ref="B90:B103" si="240">B89+1</f>
        <v>3</v>
      </c>
      <c r="C90" s="746">
        <f>'Energy NPV'!$D15</f>
        <v>0</v>
      </c>
      <c r="D90" s="197">
        <f>'Energy margins'!$E$12</f>
        <v>55</v>
      </c>
      <c r="E90" s="197">
        <f t="shared" ref="E90:E103" si="241">C90*D90</f>
        <v>0</v>
      </c>
      <c r="F90" s="197">
        <f>'Margins summary'!$Q$14</f>
        <v>220</v>
      </c>
      <c r="G90" s="197">
        <f t="shared" si="205"/>
        <v>220</v>
      </c>
      <c r="H90" s="197"/>
      <c r="I90" s="897">
        <f>'Energy NPV'!U15</f>
        <v>140.30000000000001</v>
      </c>
      <c r="J90" s="197"/>
      <c r="K90" s="197">
        <f t="shared" si="187"/>
        <v>140.30000000000001</v>
      </c>
      <c r="L90" s="197">
        <f t="shared" si="188"/>
        <v>-140.30000000000001</v>
      </c>
      <c r="M90" s="197">
        <f t="shared" si="189"/>
        <v>79.699999999999989</v>
      </c>
      <c r="N90" s="1008">
        <f t="shared" si="206"/>
        <v>0</v>
      </c>
      <c r="O90" s="1011">
        <f t="shared" si="206"/>
        <v>203.40236686390531</v>
      </c>
      <c r="P90" s="1011">
        <f t="shared" si="207"/>
        <v>129.71523668639054</v>
      </c>
      <c r="Q90" s="1011">
        <f t="shared" si="207"/>
        <v>-129.71523668639054</v>
      </c>
      <c r="R90" s="1013">
        <f t="shared" si="207"/>
        <v>73.687130177514774</v>
      </c>
      <c r="S90" s="196">
        <f t="shared" ref="S90:S103" si="242">S89+N90</f>
        <v>0</v>
      </c>
      <c r="T90" s="197">
        <f t="shared" si="208"/>
        <v>634.94082840236683</v>
      </c>
      <c r="U90" s="197">
        <f t="shared" si="208"/>
        <v>1907.0240828402366</v>
      </c>
      <c r="V90" s="197">
        <f t="shared" si="208"/>
        <v>-1907.0240828402366</v>
      </c>
      <c r="W90" s="199">
        <f t="shared" si="208"/>
        <v>-1272.0832544378695</v>
      </c>
      <c r="Z90" s="204">
        <f t="shared" ref="Z90:Z103" si="243">Z89+1</f>
        <v>3</v>
      </c>
      <c r="AA90" s="746">
        <f>'Energy NPV'!$D15</f>
        <v>0</v>
      </c>
      <c r="AB90" s="197">
        <f>'Energy margins'!$E$12</f>
        <v>55</v>
      </c>
      <c r="AC90" s="197">
        <f t="shared" ref="AC90:AC103" si="244">AA90*AB90</f>
        <v>0</v>
      </c>
      <c r="AD90" s="197">
        <f>'Margins summary'!$Q$14</f>
        <v>220</v>
      </c>
      <c r="AE90" s="197">
        <f t="shared" si="209"/>
        <v>220</v>
      </c>
      <c r="AF90" s="197"/>
      <c r="AG90" s="897">
        <f>'Energy NPV'!U15</f>
        <v>140.30000000000001</v>
      </c>
      <c r="AH90" s="197"/>
      <c r="AI90" s="197">
        <f t="shared" si="190"/>
        <v>210.45000000000002</v>
      </c>
      <c r="AJ90" s="197">
        <f t="shared" si="191"/>
        <v>-210.45000000000002</v>
      </c>
      <c r="AK90" s="197">
        <f t="shared" si="192"/>
        <v>9.5499999999999829</v>
      </c>
      <c r="AL90" s="1008">
        <f t="shared" si="210"/>
        <v>0</v>
      </c>
      <c r="AM90" s="1011">
        <f t="shared" si="211"/>
        <v>203.40236686390531</v>
      </c>
      <c r="AN90" s="1011">
        <f t="shared" si="212"/>
        <v>194.57285502958578</v>
      </c>
      <c r="AO90" s="1011">
        <f t="shared" si="213"/>
        <v>-194.57285502958578</v>
      </c>
      <c r="AP90" s="1013">
        <f t="shared" si="214"/>
        <v>8.8295118343195096</v>
      </c>
      <c r="AQ90" s="196">
        <f t="shared" ref="AQ90:AQ102" si="245">AQ89+AL90</f>
        <v>0</v>
      </c>
      <c r="AR90" s="197">
        <f t="shared" si="215"/>
        <v>634.94082840236683</v>
      </c>
      <c r="AS90" s="197">
        <f t="shared" si="215"/>
        <v>2860.5361242603544</v>
      </c>
      <c r="AT90" s="197">
        <f t="shared" si="215"/>
        <v>-2860.5361242603544</v>
      </c>
      <c r="AU90" s="199">
        <f t="shared" si="215"/>
        <v>-2225.5952958579878</v>
      </c>
      <c r="AX90" s="204">
        <f t="shared" ref="AX90:AX103" si="246">AX89+1</f>
        <v>3</v>
      </c>
      <c r="AY90" s="746">
        <f>'Energy NPV'!$D15</f>
        <v>0</v>
      </c>
      <c r="AZ90" s="197">
        <f>'Energy margins'!$E$12</f>
        <v>55</v>
      </c>
      <c r="BA90" s="197">
        <f t="shared" si="193"/>
        <v>0</v>
      </c>
      <c r="BB90" s="197">
        <f>'Margins summary'!$Q$14</f>
        <v>220</v>
      </c>
      <c r="BC90" s="197">
        <f t="shared" si="194"/>
        <v>220</v>
      </c>
      <c r="BD90" s="197"/>
      <c r="BE90" s="897">
        <f>'Energy NPV'!U15</f>
        <v>140.30000000000001</v>
      </c>
      <c r="BF90" s="197"/>
      <c r="BG90" s="197">
        <f t="shared" si="195"/>
        <v>70.150000000000006</v>
      </c>
      <c r="BH90" s="197">
        <f t="shared" si="196"/>
        <v>-70.150000000000006</v>
      </c>
      <c r="BI90" s="197">
        <f t="shared" si="197"/>
        <v>149.85</v>
      </c>
      <c r="BJ90" s="1008">
        <f t="shared" si="216"/>
        <v>0</v>
      </c>
      <c r="BK90" s="1011">
        <f t="shared" si="217"/>
        <v>203.40236686390531</v>
      </c>
      <c r="BL90" s="1011">
        <f t="shared" si="218"/>
        <v>64.85761834319527</v>
      </c>
      <c r="BM90" s="1011">
        <f t="shared" si="219"/>
        <v>-64.85761834319527</v>
      </c>
      <c r="BN90" s="1013">
        <f t="shared" si="220"/>
        <v>138.54474852071004</v>
      </c>
      <c r="BO90" s="196">
        <f t="shared" si="221"/>
        <v>0</v>
      </c>
      <c r="BP90" s="197">
        <f t="shared" si="222"/>
        <v>634.94082840236683</v>
      </c>
      <c r="BQ90" s="197">
        <f t="shared" si="223"/>
        <v>953.51204142011829</v>
      </c>
      <c r="BR90" s="197">
        <f t="shared" si="224"/>
        <v>-953.51204142011829</v>
      </c>
      <c r="BS90" s="199">
        <f t="shared" si="225"/>
        <v>-318.57121301775135</v>
      </c>
      <c r="BV90" s="204">
        <f t="shared" ref="BV90:BV103" si="247">BV89+1</f>
        <v>3</v>
      </c>
      <c r="BW90" s="746">
        <f>'Energy NPV'!$D15</f>
        <v>0</v>
      </c>
      <c r="BX90" s="197">
        <f>'Energy margins'!$E$12</f>
        <v>55</v>
      </c>
      <c r="BY90" s="197">
        <f t="shared" ref="BY90:BY103" si="248">BW90*BX90</f>
        <v>0</v>
      </c>
      <c r="BZ90" s="197">
        <f>'Margins summary'!$Q$14</f>
        <v>220</v>
      </c>
      <c r="CA90" s="197">
        <f t="shared" si="226"/>
        <v>220</v>
      </c>
      <c r="CB90" s="197"/>
      <c r="CC90" s="897">
        <f>'Energy NPV'!U15</f>
        <v>140.30000000000001</v>
      </c>
      <c r="CD90" s="197"/>
      <c r="CE90" s="197">
        <f t="shared" si="198"/>
        <v>280.60000000000002</v>
      </c>
      <c r="CF90" s="197">
        <f t="shared" si="199"/>
        <v>-280.60000000000002</v>
      </c>
      <c r="CG90" s="197">
        <f t="shared" si="200"/>
        <v>-60.600000000000023</v>
      </c>
      <c r="CH90" s="1008">
        <f t="shared" si="227"/>
        <v>0</v>
      </c>
      <c r="CI90" s="1011">
        <f t="shared" si="228"/>
        <v>203.40236686390531</v>
      </c>
      <c r="CJ90" s="1011">
        <f t="shared" si="229"/>
        <v>259.43047337278108</v>
      </c>
      <c r="CK90" s="1011">
        <f t="shared" si="230"/>
        <v>-259.43047337278108</v>
      </c>
      <c r="CL90" s="1013">
        <f t="shared" si="231"/>
        <v>-56.028106508875752</v>
      </c>
      <c r="CM90" s="196">
        <f t="shared" ref="CM90:CM103" si="249">CM89+CH90</f>
        <v>0</v>
      </c>
      <c r="CN90" s="197">
        <f t="shared" si="232"/>
        <v>634.94082840236683</v>
      </c>
      <c r="CO90" s="197">
        <f t="shared" si="232"/>
        <v>3814.0481656804732</v>
      </c>
      <c r="CP90" s="197">
        <f t="shared" si="232"/>
        <v>-3814.0481656804732</v>
      </c>
      <c r="CQ90" s="199">
        <f t="shared" si="232"/>
        <v>-3179.1073372781061</v>
      </c>
      <c r="CT90" s="204">
        <f t="shared" ref="CT90:CT103" si="250">CT89+1</f>
        <v>3</v>
      </c>
      <c r="CU90" s="746">
        <f>'Energy NPV'!$D15</f>
        <v>0</v>
      </c>
      <c r="CV90" s="197">
        <f>'Energy margins'!$E$12</f>
        <v>55</v>
      </c>
      <c r="CW90" s="197">
        <f t="shared" si="201"/>
        <v>0</v>
      </c>
      <c r="CX90" s="197">
        <f>'Margins summary'!$Q$14</f>
        <v>220</v>
      </c>
      <c r="CY90" s="197">
        <f t="shared" si="233"/>
        <v>220</v>
      </c>
      <c r="CZ90" s="197"/>
      <c r="DA90" s="897">
        <f>'Energy NPV'!U15</f>
        <v>140.30000000000001</v>
      </c>
      <c r="DB90" s="197"/>
      <c r="DC90" s="197">
        <f t="shared" si="202"/>
        <v>0</v>
      </c>
      <c r="DD90" s="197">
        <f t="shared" si="203"/>
        <v>0</v>
      </c>
      <c r="DE90" s="197">
        <f t="shared" si="204"/>
        <v>220</v>
      </c>
      <c r="DF90" s="1008">
        <f t="shared" si="234"/>
        <v>0</v>
      </c>
      <c r="DG90" s="1011">
        <f t="shared" si="235"/>
        <v>203.40236686390531</v>
      </c>
      <c r="DH90" s="1011">
        <f t="shared" si="236"/>
        <v>0</v>
      </c>
      <c r="DI90" s="1011">
        <f t="shared" si="237"/>
        <v>0</v>
      </c>
      <c r="DJ90" s="1013">
        <f t="shared" si="238"/>
        <v>203.40236686390531</v>
      </c>
      <c r="DK90" s="196">
        <f t="shared" ref="DK90:DK103" si="251">DK89+DF90</f>
        <v>0</v>
      </c>
      <c r="DL90" s="197">
        <f t="shared" si="239"/>
        <v>634.94082840236683</v>
      </c>
      <c r="DM90" s="197">
        <f t="shared" si="239"/>
        <v>0</v>
      </c>
      <c r="DN90" s="197">
        <f t="shared" si="239"/>
        <v>0</v>
      </c>
      <c r="DO90" s="199">
        <f t="shared" si="239"/>
        <v>634.94082840236683</v>
      </c>
    </row>
    <row r="91" spans="2:175" x14ac:dyDescent="0.3">
      <c r="B91" s="204">
        <f t="shared" si="240"/>
        <v>4</v>
      </c>
      <c r="C91" s="746">
        <f>'Energy NPV'!$D16</f>
        <v>30</v>
      </c>
      <c r="D91" s="197">
        <f>'Energy margins'!$E$12</f>
        <v>55</v>
      </c>
      <c r="E91" s="197">
        <f t="shared" si="241"/>
        <v>1650</v>
      </c>
      <c r="F91" s="197">
        <f>'Margins summary'!$Q$14</f>
        <v>220</v>
      </c>
      <c r="G91" s="197">
        <f t="shared" si="205"/>
        <v>1870</v>
      </c>
      <c r="H91" s="197"/>
      <c r="I91" s="897">
        <f>'Energy NPV'!U16</f>
        <v>592.40499999999997</v>
      </c>
      <c r="J91" s="197"/>
      <c r="K91" s="197">
        <f t="shared" si="187"/>
        <v>592.40499999999997</v>
      </c>
      <c r="L91" s="197">
        <f t="shared" si="188"/>
        <v>1057.595</v>
      </c>
      <c r="M91" s="197">
        <f t="shared" si="189"/>
        <v>1277.595</v>
      </c>
      <c r="N91" s="1008">
        <f t="shared" si="206"/>
        <v>1466.8439918070094</v>
      </c>
      <c r="O91" s="1011">
        <f t="shared" si="206"/>
        <v>195.57919890760127</v>
      </c>
      <c r="P91" s="1011">
        <f t="shared" si="207"/>
        <v>526.6458878584433</v>
      </c>
      <c r="Q91" s="1011">
        <f t="shared" si="207"/>
        <v>940.1981039485662</v>
      </c>
      <c r="R91" s="1013">
        <f t="shared" si="207"/>
        <v>1135.7773028561674</v>
      </c>
      <c r="S91" s="196">
        <f t="shared" si="242"/>
        <v>1466.8439918070094</v>
      </c>
      <c r="T91" s="197">
        <f t="shared" si="208"/>
        <v>830.5200273099681</v>
      </c>
      <c r="U91" s="197">
        <f t="shared" si="208"/>
        <v>2433.6699706986801</v>
      </c>
      <c r="V91" s="197">
        <f t="shared" si="208"/>
        <v>-966.82597889167039</v>
      </c>
      <c r="W91" s="199">
        <f t="shared" si="208"/>
        <v>-136.30595158170217</v>
      </c>
      <c r="Z91" s="204">
        <f t="shared" si="243"/>
        <v>4</v>
      </c>
      <c r="AA91" s="746">
        <f>'Energy NPV'!$D16</f>
        <v>30</v>
      </c>
      <c r="AB91" s="197">
        <f>'Energy margins'!$E$12</f>
        <v>55</v>
      </c>
      <c r="AC91" s="197">
        <f t="shared" si="244"/>
        <v>1650</v>
      </c>
      <c r="AD91" s="197">
        <f>'Margins summary'!$Q$14</f>
        <v>220</v>
      </c>
      <c r="AE91" s="197">
        <f t="shared" si="209"/>
        <v>1870</v>
      </c>
      <c r="AF91" s="197"/>
      <c r="AG91" s="897">
        <f>'Energy NPV'!U16</f>
        <v>592.40499999999997</v>
      </c>
      <c r="AH91" s="197"/>
      <c r="AI91" s="197">
        <f t="shared" si="190"/>
        <v>888.60749999999996</v>
      </c>
      <c r="AJ91" s="197">
        <f t="shared" si="191"/>
        <v>761.39250000000004</v>
      </c>
      <c r="AK91" s="197">
        <f t="shared" si="192"/>
        <v>981.39250000000004</v>
      </c>
      <c r="AL91" s="1008">
        <f t="shared" si="210"/>
        <v>1466.8439918070094</v>
      </c>
      <c r="AM91" s="1011">
        <f t="shared" si="211"/>
        <v>195.57919890760127</v>
      </c>
      <c r="AN91" s="1011">
        <f t="shared" si="212"/>
        <v>789.96883178766495</v>
      </c>
      <c r="AO91" s="1011">
        <f t="shared" si="213"/>
        <v>676.87516001934455</v>
      </c>
      <c r="AP91" s="1013">
        <f t="shared" si="214"/>
        <v>872.45435892694582</v>
      </c>
      <c r="AQ91" s="196">
        <f t="shared" si="245"/>
        <v>1466.8439918070094</v>
      </c>
      <c r="AR91" s="197">
        <f t="shared" si="215"/>
        <v>830.5200273099681</v>
      </c>
      <c r="AS91" s="197">
        <f t="shared" si="215"/>
        <v>3650.5049560480193</v>
      </c>
      <c r="AT91" s="197">
        <f t="shared" si="215"/>
        <v>-2183.6609642410099</v>
      </c>
      <c r="AU91" s="199">
        <f t="shared" si="215"/>
        <v>-1353.140936931042</v>
      </c>
      <c r="AX91" s="204">
        <f t="shared" si="246"/>
        <v>4</v>
      </c>
      <c r="AY91" s="746">
        <f>'Energy NPV'!$D16</f>
        <v>30</v>
      </c>
      <c r="AZ91" s="197">
        <f>'Energy margins'!$E$12</f>
        <v>55</v>
      </c>
      <c r="BA91" s="197">
        <f t="shared" si="193"/>
        <v>1650</v>
      </c>
      <c r="BB91" s="197">
        <f>'Margins summary'!$Q$14</f>
        <v>220</v>
      </c>
      <c r="BC91" s="197">
        <f t="shared" si="194"/>
        <v>1870</v>
      </c>
      <c r="BD91" s="197"/>
      <c r="BE91" s="897">
        <f>'Energy NPV'!U16</f>
        <v>592.40499999999997</v>
      </c>
      <c r="BF91" s="197"/>
      <c r="BG91" s="197">
        <f t="shared" si="195"/>
        <v>296.20249999999999</v>
      </c>
      <c r="BH91" s="197">
        <f t="shared" si="196"/>
        <v>1353.7975000000001</v>
      </c>
      <c r="BI91" s="197">
        <f t="shared" si="197"/>
        <v>1573.7975000000001</v>
      </c>
      <c r="BJ91" s="1008">
        <f t="shared" si="216"/>
        <v>1466.8439918070094</v>
      </c>
      <c r="BK91" s="1011">
        <f t="shared" si="217"/>
        <v>195.57919890760127</v>
      </c>
      <c r="BL91" s="1011">
        <f t="shared" si="218"/>
        <v>263.32294392922165</v>
      </c>
      <c r="BM91" s="1011">
        <f t="shared" si="219"/>
        <v>1203.5210478777879</v>
      </c>
      <c r="BN91" s="1013">
        <f t="shared" si="220"/>
        <v>1399.1002467853891</v>
      </c>
      <c r="BO91" s="196">
        <f t="shared" si="221"/>
        <v>1466.8439918070094</v>
      </c>
      <c r="BP91" s="197">
        <f t="shared" si="222"/>
        <v>830.5200273099681</v>
      </c>
      <c r="BQ91" s="197">
        <f t="shared" si="223"/>
        <v>1216.8349853493401</v>
      </c>
      <c r="BR91" s="197">
        <f t="shared" si="224"/>
        <v>250.00900645766956</v>
      </c>
      <c r="BS91" s="199">
        <f t="shared" si="225"/>
        <v>1080.5290337676379</v>
      </c>
      <c r="BV91" s="204">
        <f t="shared" si="247"/>
        <v>4</v>
      </c>
      <c r="BW91" s="746">
        <f>'Energy NPV'!$D16</f>
        <v>30</v>
      </c>
      <c r="BX91" s="197">
        <f>'Energy margins'!$E$12</f>
        <v>55</v>
      </c>
      <c r="BY91" s="197">
        <f t="shared" si="248"/>
        <v>1650</v>
      </c>
      <c r="BZ91" s="197">
        <f>'Margins summary'!$Q$14</f>
        <v>220</v>
      </c>
      <c r="CA91" s="197">
        <f t="shared" si="226"/>
        <v>1870</v>
      </c>
      <c r="CB91" s="197"/>
      <c r="CC91" s="897">
        <f>'Energy NPV'!U16</f>
        <v>592.40499999999997</v>
      </c>
      <c r="CD91" s="197"/>
      <c r="CE91" s="197">
        <f t="shared" si="198"/>
        <v>1184.81</v>
      </c>
      <c r="CF91" s="197">
        <f t="shared" si="199"/>
        <v>465.19000000000005</v>
      </c>
      <c r="CG91" s="197">
        <f t="shared" si="200"/>
        <v>685.19</v>
      </c>
      <c r="CH91" s="1008">
        <f t="shared" si="227"/>
        <v>1466.8439918070094</v>
      </c>
      <c r="CI91" s="1011">
        <f t="shared" si="228"/>
        <v>195.57919890760127</v>
      </c>
      <c r="CJ91" s="1011">
        <f t="shared" si="229"/>
        <v>1053.2917757168866</v>
      </c>
      <c r="CK91" s="1011">
        <f t="shared" si="230"/>
        <v>413.5522160901229</v>
      </c>
      <c r="CL91" s="1013">
        <f t="shared" si="231"/>
        <v>609.13141499772416</v>
      </c>
      <c r="CM91" s="196">
        <f t="shared" si="249"/>
        <v>1466.8439918070094</v>
      </c>
      <c r="CN91" s="197">
        <f t="shared" si="232"/>
        <v>830.5200273099681</v>
      </c>
      <c r="CO91" s="197">
        <f t="shared" si="232"/>
        <v>4867.3399413973602</v>
      </c>
      <c r="CP91" s="197">
        <f t="shared" si="232"/>
        <v>-3400.4959495903504</v>
      </c>
      <c r="CQ91" s="199">
        <f t="shared" si="232"/>
        <v>-2569.9759222803818</v>
      </c>
      <c r="CT91" s="204">
        <f t="shared" si="250"/>
        <v>4</v>
      </c>
      <c r="CU91" s="746">
        <f>'Energy NPV'!$D16</f>
        <v>30</v>
      </c>
      <c r="CV91" s="197">
        <f>'Energy margins'!$E$12</f>
        <v>55</v>
      </c>
      <c r="CW91" s="197">
        <f t="shared" si="201"/>
        <v>1650</v>
      </c>
      <c r="CX91" s="197">
        <f>'Margins summary'!$Q$14</f>
        <v>220</v>
      </c>
      <c r="CY91" s="197">
        <f t="shared" si="233"/>
        <v>1870</v>
      </c>
      <c r="CZ91" s="197"/>
      <c r="DA91" s="897">
        <f>'Energy NPV'!U16</f>
        <v>592.40499999999997</v>
      </c>
      <c r="DB91" s="197"/>
      <c r="DC91" s="197">
        <f t="shared" si="202"/>
        <v>0</v>
      </c>
      <c r="DD91" s="197">
        <f t="shared" si="203"/>
        <v>1650</v>
      </c>
      <c r="DE91" s="197">
        <f t="shared" si="204"/>
        <v>1870</v>
      </c>
      <c r="DF91" s="1008">
        <f t="shared" si="234"/>
        <v>1466.8439918070094</v>
      </c>
      <c r="DG91" s="1011">
        <f t="shared" si="235"/>
        <v>195.57919890760127</v>
      </c>
      <c r="DH91" s="1011">
        <f t="shared" si="236"/>
        <v>0</v>
      </c>
      <c r="DI91" s="1011">
        <f t="shared" si="237"/>
        <v>1466.8439918070094</v>
      </c>
      <c r="DJ91" s="1013">
        <f t="shared" si="238"/>
        <v>1662.4231907146107</v>
      </c>
      <c r="DK91" s="196">
        <f t="shared" si="251"/>
        <v>1466.8439918070094</v>
      </c>
      <c r="DL91" s="197">
        <f t="shared" si="239"/>
        <v>830.5200273099681</v>
      </c>
      <c r="DM91" s="197">
        <f t="shared" si="239"/>
        <v>0</v>
      </c>
      <c r="DN91" s="197">
        <f t="shared" si="239"/>
        <v>1466.8439918070094</v>
      </c>
      <c r="DO91" s="199">
        <f t="shared" si="239"/>
        <v>2297.3640191169775</v>
      </c>
    </row>
    <row r="92" spans="2:175" x14ac:dyDescent="0.3">
      <c r="B92" s="204">
        <f t="shared" si="240"/>
        <v>5</v>
      </c>
      <c r="C92" s="746">
        <f>'Energy NPV'!$D17</f>
        <v>0</v>
      </c>
      <c r="D92" s="197">
        <f>'Energy margins'!$E$12</f>
        <v>55</v>
      </c>
      <c r="E92" s="197">
        <f t="shared" si="241"/>
        <v>0</v>
      </c>
      <c r="F92" s="197">
        <f>'Margins summary'!$Q$14</f>
        <v>220</v>
      </c>
      <c r="G92" s="197">
        <f t="shared" si="205"/>
        <v>220</v>
      </c>
      <c r="H92" s="197"/>
      <c r="I92" s="897">
        <f>'Energy NPV'!U17</f>
        <v>0</v>
      </c>
      <c r="J92" s="197"/>
      <c r="K92" s="197">
        <f t="shared" si="187"/>
        <v>0</v>
      </c>
      <c r="L92" s="197">
        <f t="shared" si="188"/>
        <v>0</v>
      </c>
      <c r="M92" s="197">
        <f t="shared" si="189"/>
        <v>220</v>
      </c>
      <c r="N92" s="1008">
        <f t="shared" si="206"/>
        <v>0</v>
      </c>
      <c r="O92" s="1011">
        <f t="shared" si="206"/>
        <v>188.05692202653967</v>
      </c>
      <c r="P92" s="1011">
        <f t="shared" si="207"/>
        <v>0</v>
      </c>
      <c r="Q92" s="1011">
        <f t="shared" si="207"/>
        <v>0</v>
      </c>
      <c r="R92" s="1013">
        <f t="shared" si="207"/>
        <v>188.05692202653967</v>
      </c>
      <c r="S92" s="196">
        <f t="shared" si="242"/>
        <v>1466.8439918070094</v>
      </c>
      <c r="T92" s="197">
        <f t="shared" si="208"/>
        <v>1018.5769493365078</v>
      </c>
      <c r="U92" s="197">
        <f t="shared" si="208"/>
        <v>2433.6699706986801</v>
      </c>
      <c r="V92" s="197">
        <f t="shared" si="208"/>
        <v>-966.82597889167039</v>
      </c>
      <c r="W92" s="199">
        <f t="shared" si="208"/>
        <v>51.750970444837492</v>
      </c>
      <c r="Z92" s="204">
        <f t="shared" si="243"/>
        <v>5</v>
      </c>
      <c r="AA92" s="746">
        <f>'Energy NPV'!$D17</f>
        <v>0</v>
      </c>
      <c r="AB92" s="197">
        <f>'Energy margins'!$E$12</f>
        <v>55</v>
      </c>
      <c r="AC92" s="197">
        <f t="shared" si="244"/>
        <v>0</v>
      </c>
      <c r="AD92" s="197">
        <f>'Margins summary'!$Q$14</f>
        <v>220</v>
      </c>
      <c r="AE92" s="197">
        <f t="shared" si="209"/>
        <v>220</v>
      </c>
      <c r="AF92" s="197"/>
      <c r="AG92" s="897">
        <f>'Energy NPV'!U17</f>
        <v>0</v>
      </c>
      <c r="AH92" s="197"/>
      <c r="AI92" s="197">
        <f t="shared" si="190"/>
        <v>0</v>
      </c>
      <c r="AJ92" s="197">
        <f t="shared" si="191"/>
        <v>0</v>
      </c>
      <c r="AK92" s="197">
        <f t="shared" si="192"/>
        <v>220</v>
      </c>
      <c r="AL92" s="1008">
        <f t="shared" si="210"/>
        <v>0</v>
      </c>
      <c r="AM92" s="1011">
        <f t="shared" si="211"/>
        <v>188.05692202653967</v>
      </c>
      <c r="AN92" s="1011">
        <f t="shared" si="212"/>
        <v>0</v>
      </c>
      <c r="AO92" s="1011">
        <f t="shared" si="213"/>
        <v>0</v>
      </c>
      <c r="AP92" s="1013">
        <f t="shared" si="214"/>
        <v>188.05692202653967</v>
      </c>
      <c r="AQ92" s="196">
        <f t="shared" si="245"/>
        <v>1466.8439918070094</v>
      </c>
      <c r="AR92" s="197">
        <f t="shared" si="215"/>
        <v>1018.5769493365078</v>
      </c>
      <c r="AS92" s="197">
        <f t="shared" si="215"/>
        <v>3650.5049560480193</v>
      </c>
      <c r="AT92" s="197">
        <f t="shared" si="215"/>
        <v>-2183.6609642410099</v>
      </c>
      <c r="AU92" s="199">
        <f t="shared" si="215"/>
        <v>-1165.0840149045023</v>
      </c>
      <c r="AX92" s="204">
        <f t="shared" si="246"/>
        <v>5</v>
      </c>
      <c r="AY92" s="746">
        <f>'Energy NPV'!$D17</f>
        <v>0</v>
      </c>
      <c r="AZ92" s="197">
        <f>'Energy margins'!$E$12</f>
        <v>55</v>
      </c>
      <c r="BA92" s="197">
        <f t="shared" si="193"/>
        <v>0</v>
      </c>
      <c r="BB92" s="197">
        <f>'Margins summary'!$Q$14</f>
        <v>220</v>
      </c>
      <c r="BC92" s="197">
        <f t="shared" si="194"/>
        <v>220</v>
      </c>
      <c r="BD92" s="197"/>
      <c r="BE92" s="897">
        <f>'Energy NPV'!U17</f>
        <v>0</v>
      </c>
      <c r="BF92" s="197"/>
      <c r="BG92" s="197">
        <f t="shared" si="195"/>
        <v>0</v>
      </c>
      <c r="BH92" s="197">
        <f t="shared" si="196"/>
        <v>0</v>
      </c>
      <c r="BI92" s="197">
        <f t="shared" si="197"/>
        <v>220</v>
      </c>
      <c r="BJ92" s="1008">
        <f t="shared" si="216"/>
        <v>0</v>
      </c>
      <c r="BK92" s="1011">
        <f t="shared" si="217"/>
        <v>188.05692202653967</v>
      </c>
      <c r="BL92" s="1011">
        <f t="shared" si="218"/>
        <v>0</v>
      </c>
      <c r="BM92" s="1011">
        <f t="shared" si="219"/>
        <v>0</v>
      </c>
      <c r="BN92" s="1013">
        <f t="shared" si="220"/>
        <v>188.05692202653967</v>
      </c>
      <c r="BO92" s="196">
        <f t="shared" si="221"/>
        <v>1466.8439918070094</v>
      </c>
      <c r="BP92" s="197">
        <f t="shared" si="222"/>
        <v>1018.5769493365078</v>
      </c>
      <c r="BQ92" s="197">
        <f t="shared" si="223"/>
        <v>1216.8349853493401</v>
      </c>
      <c r="BR92" s="197">
        <f t="shared" si="224"/>
        <v>250.00900645766956</v>
      </c>
      <c r="BS92" s="199">
        <f t="shared" si="225"/>
        <v>1268.5859557941776</v>
      </c>
      <c r="BV92" s="204">
        <f t="shared" si="247"/>
        <v>5</v>
      </c>
      <c r="BW92" s="746">
        <f>'Energy NPV'!$D17</f>
        <v>0</v>
      </c>
      <c r="BX92" s="197">
        <f>'Energy margins'!$E$12</f>
        <v>55</v>
      </c>
      <c r="BY92" s="197">
        <f t="shared" si="248"/>
        <v>0</v>
      </c>
      <c r="BZ92" s="197">
        <f>'Margins summary'!$Q$14</f>
        <v>220</v>
      </c>
      <c r="CA92" s="197">
        <f t="shared" si="226"/>
        <v>220</v>
      </c>
      <c r="CB92" s="197"/>
      <c r="CC92" s="897">
        <f>'Energy NPV'!U17</f>
        <v>0</v>
      </c>
      <c r="CD92" s="197"/>
      <c r="CE92" s="197">
        <f t="shared" si="198"/>
        <v>0</v>
      </c>
      <c r="CF92" s="197">
        <f t="shared" si="199"/>
        <v>0</v>
      </c>
      <c r="CG92" s="197">
        <f t="shared" si="200"/>
        <v>220</v>
      </c>
      <c r="CH92" s="1008">
        <f t="shared" si="227"/>
        <v>0</v>
      </c>
      <c r="CI92" s="1011">
        <f t="shared" si="228"/>
        <v>188.05692202653967</v>
      </c>
      <c r="CJ92" s="1011">
        <f t="shared" si="229"/>
        <v>0</v>
      </c>
      <c r="CK92" s="1011">
        <f t="shared" si="230"/>
        <v>0</v>
      </c>
      <c r="CL92" s="1013">
        <f t="shared" si="231"/>
        <v>188.05692202653967</v>
      </c>
      <c r="CM92" s="196">
        <f t="shared" si="249"/>
        <v>1466.8439918070094</v>
      </c>
      <c r="CN92" s="197">
        <f t="shared" si="232"/>
        <v>1018.5769493365078</v>
      </c>
      <c r="CO92" s="197">
        <f t="shared" si="232"/>
        <v>4867.3399413973602</v>
      </c>
      <c r="CP92" s="197">
        <f t="shared" si="232"/>
        <v>-3400.4959495903504</v>
      </c>
      <c r="CQ92" s="199">
        <f t="shared" si="232"/>
        <v>-2381.9190002538421</v>
      </c>
      <c r="CT92" s="204">
        <f t="shared" si="250"/>
        <v>5</v>
      </c>
      <c r="CU92" s="746">
        <f>'Energy NPV'!$D17</f>
        <v>0</v>
      </c>
      <c r="CV92" s="197">
        <f>'Energy margins'!$E$12</f>
        <v>55</v>
      </c>
      <c r="CW92" s="197">
        <f t="shared" si="201"/>
        <v>0</v>
      </c>
      <c r="CX92" s="197">
        <f>'Margins summary'!$Q$14</f>
        <v>220</v>
      </c>
      <c r="CY92" s="197">
        <f t="shared" si="233"/>
        <v>220</v>
      </c>
      <c r="CZ92" s="197"/>
      <c r="DA92" s="897">
        <f>'Energy NPV'!U17</f>
        <v>0</v>
      </c>
      <c r="DB92" s="197"/>
      <c r="DC92" s="197">
        <f t="shared" si="202"/>
        <v>0</v>
      </c>
      <c r="DD92" s="197">
        <f t="shared" si="203"/>
        <v>0</v>
      </c>
      <c r="DE92" s="197">
        <f t="shared" si="204"/>
        <v>220</v>
      </c>
      <c r="DF92" s="1008">
        <f t="shared" si="234"/>
        <v>0</v>
      </c>
      <c r="DG92" s="1011">
        <f t="shared" si="235"/>
        <v>188.05692202653967</v>
      </c>
      <c r="DH92" s="1011">
        <f t="shared" si="236"/>
        <v>0</v>
      </c>
      <c r="DI92" s="1011">
        <f t="shared" si="237"/>
        <v>0</v>
      </c>
      <c r="DJ92" s="1013">
        <f t="shared" si="238"/>
        <v>188.05692202653967</v>
      </c>
      <c r="DK92" s="196">
        <f t="shared" si="251"/>
        <v>1466.8439918070094</v>
      </c>
      <c r="DL92" s="197">
        <f t="shared" si="239"/>
        <v>1018.5769493365078</v>
      </c>
      <c r="DM92" s="197">
        <f t="shared" si="239"/>
        <v>0</v>
      </c>
      <c r="DN92" s="197">
        <f t="shared" si="239"/>
        <v>1466.8439918070094</v>
      </c>
      <c r="DO92" s="199">
        <f t="shared" si="239"/>
        <v>2485.4209411435172</v>
      </c>
    </row>
    <row r="93" spans="2:175" x14ac:dyDescent="0.3">
      <c r="B93" s="204">
        <f t="shared" si="240"/>
        <v>6</v>
      </c>
      <c r="C93" s="746">
        <f>'Energy NPV'!$D18</f>
        <v>0</v>
      </c>
      <c r="D93" s="197">
        <f>'Energy margins'!$E$12</f>
        <v>55</v>
      </c>
      <c r="E93" s="197">
        <f t="shared" si="241"/>
        <v>0</v>
      </c>
      <c r="F93" s="197">
        <f>'Margins summary'!$Q$14</f>
        <v>220</v>
      </c>
      <c r="G93" s="197">
        <f t="shared" si="205"/>
        <v>220</v>
      </c>
      <c r="H93" s="197"/>
      <c r="I93" s="897">
        <f>'Energy NPV'!U18</f>
        <v>0</v>
      </c>
      <c r="J93" s="197"/>
      <c r="K93" s="197">
        <f t="shared" si="187"/>
        <v>0</v>
      </c>
      <c r="L93" s="197">
        <f t="shared" si="188"/>
        <v>0</v>
      </c>
      <c r="M93" s="197">
        <f t="shared" si="189"/>
        <v>220</v>
      </c>
      <c r="N93" s="1008">
        <f t="shared" si="206"/>
        <v>0</v>
      </c>
      <c r="O93" s="1011">
        <f t="shared" si="206"/>
        <v>180.82396348705734</v>
      </c>
      <c r="P93" s="1011">
        <f t="shared" si="207"/>
        <v>0</v>
      </c>
      <c r="Q93" s="1011">
        <f t="shared" si="207"/>
        <v>0</v>
      </c>
      <c r="R93" s="1013">
        <f t="shared" si="207"/>
        <v>180.82396348705734</v>
      </c>
      <c r="S93" s="196">
        <f t="shared" si="242"/>
        <v>1466.8439918070094</v>
      </c>
      <c r="T93" s="197">
        <f t="shared" si="208"/>
        <v>1199.4009128235652</v>
      </c>
      <c r="U93" s="197">
        <f t="shared" si="208"/>
        <v>2433.6699706986801</v>
      </c>
      <c r="V93" s="197">
        <f t="shared" si="208"/>
        <v>-966.82597889167039</v>
      </c>
      <c r="W93" s="199">
        <f t="shared" si="208"/>
        <v>232.57493393189483</v>
      </c>
      <c r="Z93" s="204">
        <f t="shared" si="243"/>
        <v>6</v>
      </c>
      <c r="AA93" s="746">
        <f>'Energy NPV'!$D18</f>
        <v>0</v>
      </c>
      <c r="AB93" s="197">
        <f>'Energy margins'!$E$12</f>
        <v>55</v>
      </c>
      <c r="AC93" s="197">
        <f t="shared" si="244"/>
        <v>0</v>
      </c>
      <c r="AD93" s="197">
        <f>'Margins summary'!$Q$14</f>
        <v>220</v>
      </c>
      <c r="AE93" s="197">
        <f t="shared" si="209"/>
        <v>220</v>
      </c>
      <c r="AF93" s="197"/>
      <c r="AG93" s="897">
        <f>'Energy NPV'!U18</f>
        <v>0</v>
      </c>
      <c r="AH93" s="197"/>
      <c r="AI93" s="197">
        <f t="shared" si="190"/>
        <v>0</v>
      </c>
      <c r="AJ93" s="197">
        <f t="shared" si="191"/>
        <v>0</v>
      </c>
      <c r="AK93" s="197">
        <f t="shared" si="192"/>
        <v>220</v>
      </c>
      <c r="AL93" s="1008">
        <f t="shared" si="210"/>
        <v>0</v>
      </c>
      <c r="AM93" s="1011">
        <f t="shared" si="211"/>
        <v>180.82396348705734</v>
      </c>
      <c r="AN93" s="1011">
        <f t="shared" si="212"/>
        <v>0</v>
      </c>
      <c r="AO93" s="1011">
        <f t="shared" si="213"/>
        <v>0</v>
      </c>
      <c r="AP93" s="1013">
        <f t="shared" si="214"/>
        <v>180.82396348705734</v>
      </c>
      <c r="AQ93" s="196">
        <f t="shared" si="245"/>
        <v>1466.8439918070094</v>
      </c>
      <c r="AR93" s="197">
        <f t="shared" si="215"/>
        <v>1199.4009128235652</v>
      </c>
      <c r="AS93" s="197">
        <f t="shared" si="215"/>
        <v>3650.5049560480193</v>
      </c>
      <c r="AT93" s="197">
        <f t="shared" si="215"/>
        <v>-2183.6609642410099</v>
      </c>
      <c r="AU93" s="199">
        <f t="shared" si="215"/>
        <v>-984.26005141744497</v>
      </c>
      <c r="AX93" s="204">
        <f t="shared" si="246"/>
        <v>6</v>
      </c>
      <c r="AY93" s="746">
        <f>'Energy NPV'!$D18</f>
        <v>0</v>
      </c>
      <c r="AZ93" s="197">
        <f>'Energy margins'!$E$12</f>
        <v>55</v>
      </c>
      <c r="BA93" s="197">
        <f t="shared" si="193"/>
        <v>0</v>
      </c>
      <c r="BB93" s="197">
        <f>'Margins summary'!$Q$14</f>
        <v>220</v>
      </c>
      <c r="BC93" s="197">
        <f t="shared" si="194"/>
        <v>220</v>
      </c>
      <c r="BD93" s="197"/>
      <c r="BE93" s="897">
        <f>'Energy NPV'!U18</f>
        <v>0</v>
      </c>
      <c r="BF93" s="197"/>
      <c r="BG93" s="197">
        <f t="shared" si="195"/>
        <v>0</v>
      </c>
      <c r="BH93" s="197">
        <f t="shared" si="196"/>
        <v>0</v>
      </c>
      <c r="BI93" s="197">
        <f t="shared" si="197"/>
        <v>220</v>
      </c>
      <c r="BJ93" s="1008">
        <f t="shared" si="216"/>
        <v>0</v>
      </c>
      <c r="BK93" s="1011">
        <f t="shared" si="217"/>
        <v>180.82396348705734</v>
      </c>
      <c r="BL93" s="1011">
        <f t="shared" si="218"/>
        <v>0</v>
      </c>
      <c r="BM93" s="1011">
        <f t="shared" si="219"/>
        <v>0</v>
      </c>
      <c r="BN93" s="1013">
        <f t="shared" si="220"/>
        <v>180.82396348705734</v>
      </c>
      <c r="BO93" s="196">
        <f t="shared" si="221"/>
        <v>1466.8439918070094</v>
      </c>
      <c r="BP93" s="197">
        <f t="shared" si="222"/>
        <v>1199.4009128235652</v>
      </c>
      <c r="BQ93" s="197">
        <f t="shared" si="223"/>
        <v>1216.8349853493401</v>
      </c>
      <c r="BR93" s="197">
        <f t="shared" si="224"/>
        <v>250.00900645766956</v>
      </c>
      <c r="BS93" s="199">
        <f t="shared" si="225"/>
        <v>1449.409919281235</v>
      </c>
      <c r="BV93" s="204">
        <f t="shared" si="247"/>
        <v>6</v>
      </c>
      <c r="BW93" s="746">
        <f>'Energy NPV'!$D18</f>
        <v>0</v>
      </c>
      <c r="BX93" s="197">
        <f>'Energy margins'!$E$12</f>
        <v>55</v>
      </c>
      <c r="BY93" s="197">
        <f t="shared" si="248"/>
        <v>0</v>
      </c>
      <c r="BZ93" s="197">
        <f>'Margins summary'!$Q$14</f>
        <v>220</v>
      </c>
      <c r="CA93" s="197">
        <f t="shared" si="226"/>
        <v>220</v>
      </c>
      <c r="CB93" s="197"/>
      <c r="CC93" s="897">
        <f>'Energy NPV'!U18</f>
        <v>0</v>
      </c>
      <c r="CD93" s="197"/>
      <c r="CE93" s="197">
        <f t="shared" si="198"/>
        <v>0</v>
      </c>
      <c r="CF93" s="197">
        <f t="shared" si="199"/>
        <v>0</v>
      </c>
      <c r="CG93" s="197">
        <f t="shared" si="200"/>
        <v>220</v>
      </c>
      <c r="CH93" s="1008">
        <f t="shared" si="227"/>
        <v>0</v>
      </c>
      <c r="CI93" s="1011">
        <f t="shared" si="228"/>
        <v>180.82396348705734</v>
      </c>
      <c r="CJ93" s="1011">
        <f t="shared" si="229"/>
        <v>0</v>
      </c>
      <c r="CK93" s="1011">
        <f t="shared" si="230"/>
        <v>0</v>
      </c>
      <c r="CL93" s="1013">
        <f t="shared" si="231"/>
        <v>180.82396348705734</v>
      </c>
      <c r="CM93" s="196">
        <f t="shared" si="249"/>
        <v>1466.8439918070094</v>
      </c>
      <c r="CN93" s="197">
        <f t="shared" si="232"/>
        <v>1199.4009128235652</v>
      </c>
      <c r="CO93" s="197">
        <f t="shared" si="232"/>
        <v>4867.3399413973602</v>
      </c>
      <c r="CP93" s="197">
        <f t="shared" si="232"/>
        <v>-3400.4959495903504</v>
      </c>
      <c r="CQ93" s="199">
        <f t="shared" si="232"/>
        <v>-2201.0950367667847</v>
      </c>
      <c r="CT93" s="204">
        <f t="shared" si="250"/>
        <v>6</v>
      </c>
      <c r="CU93" s="746">
        <f>'Energy NPV'!$D18</f>
        <v>0</v>
      </c>
      <c r="CV93" s="197">
        <f>'Energy margins'!$E$12</f>
        <v>55</v>
      </c>
      <c r="CW93" s="197">
        <f t="shared" si="201"/>
        <v>0</v>
      </c>
      <c r="CX93" s="197">
        <f>'Margins summary'!$Q$14</f>
        <v>220</v>
      </c>
      <c r="CY93" s="197">
        <f t="shared" si="233"/>
        <v>220</v>
      </c>
      <c r="CZ93" s="197"/>
      <c r="DA93" s="897">
        <f>'Energy NPV'!U18</f>
        <v>0</v>
      </c>
      <c r="DB93" s="197"/>
      <c r="DC93" s="197">
        <f t="shared" si="202"/>
        <v>0</v>
      </c>
      <c r="DD93" s="197">
        <f t="shared" si="203"/>
        <v>0</v>
      </c>
      <c r="DE93" s="197">
        <f t="shared" si="204"/>
        <v>220</v>
      </c>
      <c r="DF93" s="1008">
        <f t="shared" si="234"/>
        <v>0</v>
      </c>
      <c r="DG93" s="1011">
        <f t="shared" si="235"/>
        <v>180.82396348705734</v>
      </c>
      <c r="DH93" s="1011">
        <f t="shared" si="236"/>
        <v>0</v>
      </c>
      <c r="DI93" s="1011">
        <f t="shared" si="237"/>
        <v>0</v>
      </c>
      <c r="DJ93" s="1013">
        <f t="shared" si="238"/>
        <v>180.82396348705734</v>
      </c>
      <c r="DK93" s="196">
        <f t="shared" si="251"/>
        <v>1466.8439918070094</v>
      </c>
      <c r="DL93" s="197">
        <f t="shared" si="239"/>
        <v>1199.4009128235652</v>
      </c>
      <c r="DM93" s="197">
        <f t="shared" si="239"/>
        <v>0</v>
      </c>
      <c r="DN93" s="197">
        <f t="shared" si="239"/>
        <v>1466.8439918070094</v>
      </c>
      <c r="DO93" s="199">
        <f t="shared" si="239"/>
        <v>2666.2449046305746</v>
      </c>
    </row>
    <row r="94" spans="2:175" x14ac:dyDescent="0.3">
      <c r="B94" s="204">
        <f t="shared" si="240"/>
        <v>7</v>
      </c>
      <c r="C94" s="746">
        <f>'Energy NPV'!$D19</f>
        <v>30</v>
      </c>
      <c r="D94" s="197">
        <f>'Energy margins'!$E$12</f>
        <v>55</v>
      </c>
      <c r="E94" s="197">
        <f t="shared" si="241"/>
        <v>1650</v>
      </c>
      <c r="F94" s="197">
        <f>'Margins summary'!$Q$14</f>
        <v>220</v>
      </c>
      <c r="G94" s="197">
        <f t="shared" si="205"/>
        <v>1870</v>
      </c>
      <c r="H94" s="197"/>
      <c r="I94" s="897">
        <f>'Energy NPV'!U19</f>
        <v>592.40499999999997</v>
      </c>
      <c r="J94" s="197"/>
      <c r="K94" s="197">
        <f t="shared" si="187"/>
        <v>592.40499999999997</v>
      </c>
      <c r="L94" s="197">
        <f t="shared" si="188"/>
        <v>1057.595</v>
      </c>
      <c r="M94" s="197">
        <f t="shared" si="189"/>
        <v>1277.595</v>
      </c>
      <c r="N94" s="1008">
        <f t="shared" si="206"/>
        <v>1304.0189674547405</v>
      </c>
      <c r="O94" s="1011">
        <f t="shared" si="206"/>
        <v>173.86919566063204</v>
      </c>
      <c r="P94" s="1011">
        <f t="shared" si="207"/>
        <v>468.18627661516695</v>
      </c>
      <c r="Q94" s="1011">
        <f t="shared" si="207"/>
        <v>835.8326908395735</v>
      </c>
      <c r="R94" s="1013">
        <f t="shared" si="207"/>
        <v>1009.7018865002055</v>
      </c>
      <c r="S94" s="196">
        <f t="shared" si="242"/>
        <v>2770.8629592617499</v>
      </c>
      <c r="T94" s="197">
        <f t="shared" si="208"/>
        <v>1373.2701084841974</v>
      </c>
      <c r="U94" s="197">
        <f t="shared" si="208"/>
        <v>2901.8562473138472</v>
      </c>
      <c r="V94" s="197">
        <f t="shared" si="208"/>
        <v>-130.99328805209689</v>
      </c>
      <c r="W94" s="199">
        <f t="shared" si="208"/>
        <v>1242.2768204321003</v>
      </c>
      <c r="Z94" s="204">
        <f t="shared" si="243"/>
        <v>7</v>
      </c>
      <c r="AA94" s="746">
        <f>'Energy NPV'!$D19</f>
        <v>30</v>
      </c>
      <c r="AB94" s="197">
        <f>'Energy margins'!$E$12</f>
        <v>55</v>
      </c>
      <c r="AC94" s="197">
        <f t="shared" si="244"/>
        <v>1650</v>
      </c>
      <c r="AD94" s="197">
        <f>'Margins summary'!$Q$14</f>
        <v>220</v>
      </c>
      <c r="AE94" s="197">
        <f t="shared" si="209"/>
        <v>1870</v>
      </c>
      <c r="AF94" s="197"/>
      <c r="AG94" s="897">
        <f>'Energy NPV'!U19</f>
        <v>592.40499999999997</v>
      </c>
      <c r="AH94" s="197"/>
      <c r="AI94" s="197">
        <f t="shared" si="190"/>
        <v>888.60749999999996</v>
      </c>
      <c r="AJ94" s="197">
        <f t="shared" si="191"/>
        <v>761.39250000000004</v>
      </c>
      <c r="AK94" s="197">
        <f t="shared" si="192"/>
        <v>981.39250000000004</v>
      </c>
      <c r="AL94" s="1008">
        <f t="shared" si="210"/>
        <v>1304.0189674547405</v>
      </c>
      <c r="AM94" s="1011">
        <f t="shared" si="211"/>
        <v>173.86919566063204</v>
      </c>
      <c r="AN94" s="1011">
        <f t="shared" si="212"/>
        <v>702.27941492275045</v>
      </c>
      <c r="AO94" s="1011">
        <f t="shared" si="213"/>
        <v>601.73955253198994</v>
      </c>
      <c r="AP94" s="1013">
        <f t="shared" si="214"/>
        <v>775.6087481926221</v>
      </c>
      <c r="AQ94" s="196">
        <f t="shared" si="245"/>
        <v>2770.8629592617499</v>
      </c>
      <c r="AR94" s="197">
        <f t="shared" si="215"/>
        <v>1373.2701084841974</v>
      </c>
      <c r="AS94" s="197">
        <f t="shared" si="215"/>
        <v>4352.7843709707695</v>
      </c>
      <c r="AT94" s="197">
        <f t="shared" si="215"/>
        <v>-1581.92141170902</v>
      </c>
      <c r="AU94" s="199">
        <f t="shared" si="215"/>
        <v>-208.65130322482287</v>
      </c>
      <c r="AX94" s="204">
        <f t="shared" si="246"/>
        <v>7</v>
      </c>
      <c r="AY94" s="746">
        <f>'Energy NPV'!$D19</f>
        <v>30</v>
      </c>
      <c r="AZ94" s="197">
        <f>'Energy margins'!$E$12</f>
        <v>55</v>
      </c>
      <c r="BA94" s="197">
        <f t="shared" si="193"/>
        <v>1650</v>
      </c>
      <c r="BB94" s="197">
        <f>'Margins summary'!$Q$14</f>
        <v>220</v>
      </c>
      <c r="BC94" s="197">
        <f t="shared" si="194"/>
        <v>1870</v>
      </c>
      <c r="BD94" s="197"/>
      <c r="BE94" s="897">
        <f>'Energy NPV'!U19</f>
        <v>592.40499999999997</v>
      </c>
      <c r="BF94" s="197"/>
      <c r="BG94" s="197">
        <f t="shared" si="195"/>
        <v>296.20249999999999</v>
      </c>
      <c r="BH94" s="197">
        <f t="shared" si="196"/>
        <v>1353.7975000000001</v>
      </c>
      <c r="BI94" s="197">
        <f t="shared" si="197"/>
        <v>1573.7975000000001</v>
      </c>
      <c r="BJ94" s="1008">
        <f t="shared" si="216"/>
        <v>1304.0189674547405</v>
      </c>
      <c r="BK94" s="1011">
        <f t="shared" si="217"/>
        <v>173.86919566063204</v>
      </c>
      <c r="BL94" s="1011">
        <f t="shared" si="218"/>
        <v>234.09313830758347</v>
      </c>
      <c r="BM94" s="1011">
        <f t="shared" si="219"/>
        <v>1069.9258291471569</v>
      </c>
      <c r="BN94" s="1013">
        <f t="shared" si="220"/>
        <v>1243.7950248077891</v>
      </c>
      <c r="BO94" s="196">
        <f t="shared" si="221"/>
        <v>2770.8629592617499</v>
      </c>
      <c r="BP94" s="197">
        <f t="shared" si="222"/>
        <v>1373.2701084841974</v>
      </c>
      <c r="BQ94" s="197">
        <f t="shared" si="223"/>
        <v>1450.9281236569236</v>
      </c>
      <c r="BR94" s="197">
        <f t="shared" si="224"/>
        <v>1319.9348356048265</v>
      </c>
      <c r="BS94" s="199">
        <f t="shared" si="225"/>
        <v>2693.2049440890241</v>
      </c>
      <c r="BV94" s="204">
        <f t="shared" si="247"/>
        <v>7</v>
      </c>
      <c r="BW94" s="746">
        <f>'Energy NPV'!$D19</f>
        <v>30</v>
      </c>
      <c r="BX94" s="197">
        <f>'Energy margins'!$E$12</f>
        <v>55</v>
      </c>
      <c r="BY94" s="197">
        <f t="shared" si="248"/>
        <v>1650</v>
      </c>
      <c r="BZ94" s="197">
        <f>'Margins summary'!$Q$14</f>
        <v>220</v>
      </c>
      <c r="CA94" s="197">
        <f t="shared" si="226"/>
        <v>1870</v>
      </c>
      <c r="CB94" s="197"/>
      <c r="CC94" s="897">
        <f>'Energy NPV'!U19</f>
        <v>592.40499999999997</v>
      </c>
      <c r="CD94" s="197"/>
      <c r="CE94" s="197">
        <f t="shared" si="198"/>
        <v>1184.81</v>
      </c>
      <c r="CF94" s="197">
        <f t="shared" si="199"/>
        <v>465.19000000000005</v>
      </c>
      <c r="CG94" s="197">
        <f t="shared" si="200"/>
        <v>685.19</v>
      </c>
      <c r="CH94" s="1008">
        <f t="shared" si="227"/>
        <v>1304.0189674547405</v>
      </c>
      <c r="CI94" s="1011">
        <f t="shared" si="228"/>
        <v>173.86919566063204</v>
      </c>
      <c r="CJ94" s="1011">
        <f t="shared" si="229"/>
        <v>936.37255323033389</v>
      </c>
      <c r="CK94" s="1011">
        <f t="shared" si="230"/>
        <v>367.6464142244065</v>
      </c>
      <c r="CL94" s="1013">
        <f t="shared" si="231"/>
        <v>541.51560988503854</v>
      </c>
      <c r="CM94" s="196">
        <f t="shared" si="249"/>
        <v>2770.8629592617499</v>
      </c>
      <c r="CN94" s="197">
        <f t="shared" si="232"/>
        <v>1373.2701084841974</v>
      </c>
      <c r="CO94" s="197">
        <f t="shared" si="232"/>
        <v>5803.7124946276945</v>
      </c>
      <c r="CP94" s="197">
        <f t="shared" si="232"/>
        <v>-3032.8495353659437</v>
      </c>
      <c r="CQ94" s="199">
        <f t="shared" si="232"/>
        <v>-1659.5794268817463</v>
      </c>
      <c r="CT94" s="204">
        <f t="shared" si="250"/>
        <v>7</v>
      </c>
      <c r="CU94" s="746">
        <f>'Energy NPV'!$D19</f>
        <v>30</v>
      </c>
      <c r="CV94" s="197">
        <f>'Energy margins'!$E$12</f>
        <v>55</v>
      </c>
      <c r="CW94" s="197">
        <f t="shared" si="201"/>
        <v>1650</v>
      </c>
      <c r="CX94" s="197">
        <f>'Margins summary'!$Q$14</f>
        <v>220</v>
      </c>
      <c r="CY94" s="197">
        <f t="shared" si="233"/>
        <v>1870</v>
      </c>
      <c r="CZ94" s="197"/>
      <c r="DA94" s="897">
        <f>'Energy NPV'!U19</f>
        <v>592.40499999999997</v>
      </c>
      <c r="DB94" s="197"/>
      <c r="DC94" s="197">
        <f t="shared" si="202"/>
        <v>0</v>
      </c>
      <c r="DD94" s="197">
        <f t="shared" si="203"/>
        <v>1650</v>
      </c>
      <c r="DE94" s="197">
        <f t="shared" si="204"/>
        <v>1870</v>
      </c>
      <c r="DF94" s="1008">
        <f t="shared" si="234"/>
        <v>1304.0189674547405</v>
      </c>
      <c r="DG94" s="1011">
        <f t="shared" si="235"/>
        <v>173.86919566063204</v>
      </c>
      <c r="DH94" s="1011">
        <f t="shared" si="236"/>
        <v>0</v>
      </c>
      <c r="DI94" s="1011">
        <f t="shared" si="237"/>
        <v>1304.0189674547405</v>
      </c>
      <c r="DJ94" s="1013">
        <f t="shared" si="238"/>
        <v>1477.8881631153724</v>
      </c>
      <c r="DK94" s="196">
        <f t="shared" si="251"/>
        <v>2770.8629592617499</v>
      </c>
      <c r="DL94" s="197">
        <f t="shared" si="239"/>
        <v>1373.2701084841974</v>
      </c>
      <c r="DM94" s="197">
        <f t="shared" si="239"/>
        <v>0</v>
      </c>
      <c r="DN94" s="197">
        <f t="shared" si="239"/>
        <v>2770.8629592617499</v>
      </c>
      <c r="DO94" s="199">
        <f t="shared" si="239"/>
        <v>4144.1330677459473</v>
      </c>
    </row>
    <row r="95" spans="2:175" x14ac:dyDescent="0.3">
      <c r="B95" s="204">
        <f t="shared" si="240"/>
        <v>8</v>
      </c>
      <c r="C95" s="746">
        <f>'Energy NPV'!$D20</f>
        <v>0</v>
      </c>
      <c r="D95" s="197">
        <f>'Energy margins'!$E$12</f>
        <v>55</v>
      </c>
      <c r="E95" s="197">
        <f t="shared" si="241"/>
        <v>0</v>
      </c>
      <c r="F95" s="197">
        <f>'Margins summary'!$Q$14</f>
        <v>220</v>
      </c>
      <c r="G95" s="197">
        <f t="shared" si="205"/>
        <v>220</v>
      </c>
      <c r="H95" s="197"/>
      <c r="I95" s="897">
        <f>'Energy NPV'!U20</f>
        <v>0</v>
      </c>
      <c r="J95" s="197"/>
      <c r="K95" s="197">
        <f t="shared" si="187"/>
        <v>0</v>
      </c>
      <c r="L95" s="197">
        <f t="shared" si="188"/>
        <v>0</v>
      </c>
      <c r="M95" s="197">
        <f t="shared" si="189"/>
        <v>220</v>
      </c>
      <c r="N95" s="1008">
        <f t="shared" si="206"/>
        <v>0</v>
      </c>
      <c r="O95" s="1011">
        <f t="shared" si="206"/>
        <v>167.18191890445391</v>
      </c>
      <c r="P95" s="1011">
        <f t="shared" si="207"/>
        <v>0</v>
      </c>
      <c r="Q95" s="1011">
        <f t="shared" si="207"/>
        <v>0</v>
      </c>
      <c r="R95" s="1013">
        <f t="shared" si="207"/>
        <v>167.18191890445391</v>
      </c>
      <c r="S95" s="196">
        <f t="shared" si="242"/>
        <v>2770.8629592617499</v>
      </c>
      <c r="T95" s="197">
        <f t="shared" si="208"/>
        <v>1540.4520273886512</v>
      </c>
      <c r="U95" s="197">
        <f t="shared" si="208"/>
        <v>2901.8562473138472</v>
      </c>
      <c r="V95" s="197">
        <f t="shared" si="208"/>
        <v>-130.99328805209689</v>
      </c>
      <c r="W95" s="199">
        <f t="shared" si="208"/>
        <v>1409.4587393365541</v>
      </c>
      <c r="Z95" s="204">
        <f t="shared" si="243"/>
        <v>8</v>
      </c>
      <c r="AA95" s="746">
        <f>'Energy NPV'!$D20</f>
        <v>0</v>
      </c>
      <c r="AB95" s="197">
        <f>'Energy margins'!$E$12</f>
        <v>55</v>
      </c>
      <c r="AC95" s="197">
        <f t="shared" si="244"/>
        <v>0</v>
      </c>
      <c r="AD95" s="197">
        <f>'Margins summary'!$Q$14</f>
        <v>220</v>
      </c>
      <c r="AE95" s="197">
        <f t="shared" si="209"/>
        <v>220</v>
      </c>
      <c r="AF95" s="197"/>
      <c r="AG95" s="897">
        <f>'Energy NPV'!U20</f>
        <v>0</v>
      </c>
      <c r="AH95" s="197"/>
      <c r="AI95" s="197">
        <f t="shared" si="190"/>
        <v>0</v>
      </c>
      <c r="AJ95" s="197">
        <f t="shared" si="191"/>
        <v>0</v>
      </c>
      <c r="AK95" s="197">
        <f t="shared" si="192"/>
        <v>220</v>
      </c>
      <c r="AL95" s="1008">
        <f t="shared" si="210"/>
        <v>0</v>
      </c>
      <c r="AM95" s="1011">
        <f t="shared" si="211"/>
        <v>167.18191890445391</v>
      </c>
      <c r="AN95" s="1011">
        <f t="shared" si="212"/>
        <v>0</v>
      </c>
      <c r="AO95" s="1011">
        <f t="shared" si="213"/>
        <v>0</v>
      </c>
      <c r="AP95" s="1013">
        <f t="shared" si="214"/>
        <v>167.18191890445391</v>
      </c>
      <c r="AQ95" s="196">
        <f t="shared" si="245"/>
        <v>2770.8629592617499</v>
      </c>
      <c r="AR95" s="197">
        <f t="shared" si="215"/>
        <v>1540.4520273886512</v>
      </c>
      <c r="AS95" s="197">
        <f t="shared" si="215"/>
        <v>4352.7843709707695</v>
      </c>
      <c r="AT95" s="197">
        <f t="shared" si="215"/>
        <v>-1581.92141170902</v>
      </c>
      <c r="AU95" s="199">
        <f t="shared" si="215"/>
        <v>-41.46938432036896</v>
      </c>
      <c r="AX95" s="204">
        <f t="shared" si="246"/>
        <v>8</v>
      </c>
      <c r="AY95" s="746">
        <f>'Energy NPV'!$D20</f>
        <v>0</v>
      </c>
      <c r="AZ95" s="197">
        <f>'Energy margins'!$E$12</f>
        <v>55</v>
      </c>
      <c r="BA95" s="197">
        <f t="shared" si="193"/>
        <v>0</v>
      </c>
      <c r="BB95" s="197">
        <f>'Margins summary'!$Q$14</f>
        <v>220</v>
      </c>
      <c r="BC95" s="197">
        <f t="shared" si="194"/>
        <v>220</v>
      </c>
      <c r="BD95" s="197"/>
      <c r="BE95" s="897">
        <f>'Energy NPV'!U20</f>
        <v>0</v>
      </c>
      <c r="BF95" s="197"/>
      <c r="BG95" s="197">
        <f t="shared" si="195"/>
        <v>0</v>
      </c>
      <c r="BH95" s="197">
        <f t="shared" si="196"/>
        <v>0</v>
      </c>
      <c r="BI95" s="197">
        <f t="shared" si="197"/>
        <v>220</v>
      </c>
      <c r="BJ95" s="1008">
        <f t="shared" si="216"/>
        <v>0</v>
      </c>
      <c r="BK95" s="1011">
        <f t="shared" si="217"/>
        <v>167.18191890445391</v>
      </c>
      <c r="BL95" s="1011">
        <f t="shared" si="218"/>
        <v>0</v>
      </c>
      <c r="BM95" s="1011">
        <f t="shared" si="219"/>
        <v>0</v>
      </c>
      <c r="BN95" s="1013">
        <f t="shared" si="220"/>
        <v>167.18191890445391</v>
      </c>
      <c r="BO95" s="196">
        <f t="shared" si="221"/>
        <v>2770.8629592617499</v>
      </c>
      <c r="BP95" s="197">
        <f t="shared" si="222"/>
        <v>1540.4520273886512</v>
      </c>
      <c r="BQ95" s="197">
        <f t="shared" si="223"/>
        <v>1450.9281236569236</v>
      </c>
      <c r="BR95" s="197">
        <f t="shared" si="224"/>
        <v>1319.9348356048265</v>
      </c>
      <c r="BS95" s="199">
        <f t="shared" si="225"/>
        <v>2860.3868629934782</v>
      </c>
      <c r="BV95" s="204">
        <f t="shared" si="247"/>
        <v>8</v>
      </c>
      <c r="BW95" s="746">
        <f>'Energy NPV'!$D20</f>
        <v>0</v>
      </c>
      <c r="BX95" s="197">
        <f>'Energy margins'!$E$12</f>
        <v>55</v>
      </c>
      <c r="BY95" s="197">
        <f t="shared" si="248"/>
        <v>0</v>
      </c>
      <c r="BZ95" s="197">
        <f>'Margins summary'!$Q$14</f>
        <v>220</v>
      </c>
      <c r="CA95" s="197">
        <f t="shared" si="226"/>
        <v>220</v>
      </c>
      <c r="CB95" s="197"/>
      <c r="CC95" s="897">
        <f>'Energy NPV'!U20</f>
        <v>0</v>
      </c>
      <c r="CD95" s="197"/>
      <c r="CE95" s="197">
        <f t="shared" si="198"/>
        <v>0</v>
      </c>
      <c r="CF95" s="197">
        <f t="shared" si="199"/>
        <v>0</v>
      </c>
      <c r="CG95" s="197">
        <f t="shared" si="200"/>
        <v>220</v>
      </c>
      <c r="CH95" s="1008">
        <f t="shared" si="227"/>
        <v>0</v>
      </c>
      <c r="CI95" s="1011">
        <f t="shared" si="228"/>
        <v>167.18191890445391</v>
      </c>
      <c r="CJ95" s="1011">
        <f t="shared" si="229"/>
        <v>0</v>
      </c>
      <c r="CK95" s="1011">
        <f t="shared" si="230"/>
        <v>0</v>
      </c>
      <c r="CL95" s="1013">
        <f t="shared" si="231"/>
        <v>167.18191890445391</v>
      </c>
      <c r="CM95" s="196">
        <f t="shared" si="249"/>
        <v>2770.8629592617499</v>
      </c>
      <c r="CN95" s="197">
        <f t="shared" si="232"/>
        <v>1540.4520273886512</v>
      </c>
      <c r="CO95" s="197">
        <f t="shared" si="232"/>
        <v>5803.7124946276945</v>
      </c>
      <c r="CP95" s="197">
        <f t="shared" si="232"/>
        <v>-3032.8495353659437</v>
      </c>
      <c r="CQ95" s="199">
        <f t="shared" si="232"/>
        <v>-1492.3975079772924</v>
      </c>
      <c r="CT95" s="204">
        <f t="shared" si="250"/>
        <v>8</v>
      </c>
      <c r="CU95" s="746">
        <f>'Energy NPV'!$D20</f>
        <v>0</v>
      </c>
      <c r="CV95" s="197">
        <f>'Energy margins'!$E$12</f>
        <v>55</v>
      </c>
      <c r="CW95" s="197">
        <f t="shared" si="201"/>
        <v>0</v>
      </c>
      <c r="CX95" s="197">
        <f>'Margins summary'!$Q$14</f>
        <v>220</v>
      </c>
      <c r="CY95" s="197">
        <f t="shared" si="233"/>
        <v>220</v>
      </c>
      <c r="CZ95" s="197"/>
      <c r="DA95" s="897">
        <f>'Energy NPV'!U20</f>
        <v>0</v>
      </c>
      <c r="DB95" s="197"/>
      <c r="DC95" s="197">
        <f t="shared" si="202"/>
        <v>0</v>
      </c>
      <c r="DD95" s="197">
        <f t="shared" si="203"/>
        <v>0</v>
      </c>
      <c r="DE95" s="197">
        <f t="shared" si="204"/>
        <v>220</v>
      </c>
      <c r="DF95" s="1008">
        <f t="shared" si="234"/>
        <v>0</v>
      </c>
      <c r="DG95" s="1011">
        <f t="shared" si="235"/>
        <v>167.18191890445391</v>
      </c>
      <c r="DH95" s="1011">
        <f t="shared" si="236"/>
        <v>0</v>
      </c>
      <c r="DI95" s="1011">
        <f t="shared" si="237"/>
        <v>0</v>
      </c>
      <c r="DJ95" s="1013">
        <f t="shared" si="238"/>
        <v>167.18191890445391</v>
      </c>
      <c r="DK95" s="196">
        <f t="shared" si="251"/>
        <v>2770.8629592617499</v>
      </c>
      <c r="DL95" s="197">
        <f t="shared" si="239"/>
        <v>1540.4520273886512</v>
      </c>
      <c r="DM95" s="197">
        <f t="shared" si="239"/>
        <v>0</v>
      </c>
      <c r="DN95" s="197">
        <f t="shared" si="239"/>
        <v>2770.8629592617499</v>
      </c>
      <c r="DO95" s="199">
        <f t="shared" si="239"/>
        <v>4311.3149866504009</v>
      </c>
    </row>
    <row r="96" spans="2:175" x14ac:dyDescent="0.3">
      <c r="B96" s="204">
        <f t="shared" si="240"/>
        <v>9</v>
      </c>
      <c r="C96" s="746">
        <f>'Energy NPV'!$D21</f>
        <v>0</v>
      </c>
      <c r="D96" s="197">
        <f>'Energy margins'!$E$12</f>
        <v>55</v>
      </c>
      <c r="E96" s="197">
        <f t="shared" si="241"/>
        <v>0</v>
      </c>
      <c r="F96" s="197">
        <f>'Margins summary'!$Q$14</f>
        <v>220</v>
      </c>
      <c r="G96" s="197">
        <f t="shared" si="205"/>
        <v>220</v>
      </c>
      <c r="H96" s="197"/>
      <c r="I96" s="897">
        <f>'Energy NPV'!U21</f>
        <v>0</v>
      </c>
      <c r="J96" s="197"/>
      <c r="K96" s="197">
        <f t="shared" si="187"/>
        <v>0</v>
      </c>
      <c r="L96" s="197">
        <f t="shared" si="188"/>
        <v>0</v>
      </c>
      <c r="M96" s="197">
        <f t="shared" si="189"/>
        <v>220</v>
      </c>
      <c r="N96" s="1008">
        <f t="shared" si="206"/>
        <v>0</v>
      </c>
      <c r="O96" s="1011">
        <f t="shared" si="206"/>
        <v>160.75184510043644</v>
      </c>
      <c r="P96" s="1011">
        <f t="shared" si="207"/>
        <v>0</v>
      </c>
      <c r="Q96" s="1011">
        <f t="shared" si="207"/>
        <v>0</v>
      </c>
      <c r="R96" s="1013">
        <f t="shared" si="207"/>
        <v>160.75184510043644</v>
      </c>
      <c r="S96" s="196">
        <f t="shared" si="242"/>
        <v>2770.8629592617499</v>
      </c>
      <c r="T96" s="197">
        <f t="shared" si="208"/>
        <v>1701.2038724890876</v>
      </c>
      <c r="U96" s="197">
        <f t="shared" si="208"/>
        <v>2901.8562473138472</v>
      </c>
      <c r="V96" s="197">
        <f t="shared" si="208"/>
        <v>-130.99328805209689</v>
      </c>
      <c r="W96" s="199">
        <f t="shared" si="208"/>
        <v>1570.2105844369905</v>
      </c>
      <c r="Z96" s="204">
        <f t="shared" si="243"/>
        <v>9</v>
      </c>
      <c r="AA96" s="746">
        <f>'Energy NPV'!$D21</f>
        <v>0</v>
      </c>
      <c r="AB96" s="197">
        <f>'Energy margins'!$E$12</f>
        <v>55</v>
      </c>
      <c r="AC96" s="197">
        <f t="shared" si="244"/>
        <v>0</v>
      </c>
      <c r="AD96" s="197">
        <f>'Margins summary'!$Q$14</f>
        <v>220</v>
      </c>
      <c r="AE96" s="197">
        <f t="shared" si="209"/>
        <v>220</v>
      </c>
      <c r="AF96" s="197"/>
      <c r="AG96" s="897">
        <f>'Energy NPV'!U21</f>
        <v>0</v>
      </c>
      <c r="AH96" s="197"/>
      <c r="AI96" s="197">
        <f t="shared" si="190"/>
        <v>0</v>
      </c>
      <c r="AJ96" s="197">
        <f t="shared" si="191"/>
        <v>0</v>
      </c>
      <c r="AK96" s="197">
        <f t="shared" si="192"/>
        <v>220</v>
      </c>
      <c r="AL96" s="1008">
        <f t="shared" si="210"/>
        <v>0</v>
      </c>
      <c r="AM96" s="1011">
        <f t="shared" si="211"/>
        <v>160.75184510043644</v>
      </c>
      <c r="AN96" s="1011">
        <f t="shared" si="212"/>
        <v>0</v>
      </c>
      <c r="AO96" s="1011">
        <f t="shared" si="213"/>
        <v>0</v>
      </c>
      <c r="AP96" s="1013">
        <f t="shared" si="214"/>
        <v>160.75184510043644</v>
      </c>
      <c r="AQ96" s="196">
        <f t="shared" si="245"/>
        <v>2770.8629592617499</v>
      </c>
      <c r="AR96" s="197">
        <f t="shared" si="215"/>
        <v>1701.2038724890876</v>
      </c>
      <c r="AS96" s="197">
        <f t="shared" si="215"/>
        <v>4352.7843709707695</v>
      </c>
      <c r="AT96" s="197">
        <f t="shared" si="215"/>
        <v>-1581.92141170902</v>
      </c>
      <c r="AU96" s="199">
        <f t="shared" si="215"/>
        <v>119.28246078006748</v>
      </c>
      <c r="AX96" s="204">
        <f t="shared" si="246"/>
        <v>9</v>
      </c>
      <c r="AY96" s="746">
        <f>'Energy NPV'!$D21</f>
        <v>0</v>
      </c>
      <c r="AZ96" s="197">
        <f>'Energy margins'!$E$12</f>
        <v>55</v>
      </c>
      <c r="BA96" s="197">
        <f t="shared" si="193"/>
        <v>0</v>
      </c>
      <c r="BB96" s="197">
        <f>'Margins summary'!$Q$14</f>
        <v>220</v>
      </c>
      <c r="BC96" s="197">
        <f t="shared" si="194"/>
        <v>220</v>
      </c>
      <c r="BD96" s="197"/>
      <c r="BE96" s="897">
        <f>'Energy NPV'!U21</f>
        <v>0</v>
      </c>
      <c r="BF96" s="197"/>
      <c r="BG96" s="197">
        <f t="shared" si="195"/>
        <v>0</v>
      </c>
      <c r="BH96" s="197">
        <f t="shared" si="196"/>
        <v>0</v>
      </c>
      <c r="BI96" s="197">
        <f t="shared" si="197"/>
        <v>220</v>
      </c>
      <c r="BJ96" s="1008">
        <f t="shared" si="216"/>
        <v>0</v>
      </c>
      <c r="BK96" s="1011">
        <f t="shared" si="217"/>
        <v>160.75184510043644</v>
      </c>
      <c r="BL96" s="1011">
        <f t="shared" si="218"/>
        <v>0</v>
      </c>
      <c r="BM96" s="1011">
        <f t="shared" si="219"/>
        <v>0</v>
      </c>
      <c r="BN96" s="1013">
        <f t="shared" si="220"/>
        <v>160.75184510043644</v>
      </c>
      <c r="BO96" s="196">
        <f t="shared" si="221"/>
        <v>2770.8629592617499</v>
      </c>
      <c r="BP96" s="197">
        <f t="shared" si="222"/>
        <v>1701.2038724890876</v>
      </c>
      <c r="BQ96" s="197">
        <f t="shared" si="223"/>
        <v>1450.9281236569236</v>
      </c>
      <c r="BR96" s="197">
        <f t="shared" si="224"/>
        <v>1319.9348356048265</v>
      </c>
      <c r="BS96" s="199">
        <f t="shared" si="225"/>
        <v>3021.1387080939148</v>
      </c>
      <c r="BV96" s="204">
        <f t="shared" si="247"/>
        <v>9</v>
      </c>
      <c r="BW96" s="746">
        <f>'Energy NPV'!$D21</f>
        <v>0</v>
      </c>
      <c r="BX96" s="197">
        <f>'Energy margins'!$E$12</f>
        <v>55</v>
      </c>
      <c r="BY96" s="197">
        <f t="shared" si="248"/>
        <v>0</v>
      </c>
      <c r="BZ96" s="197">
        <f>'Margins summary'!$Q$14</f>
        <v>220</v>
      </c>
      <c r="CA96" s="197">
        <f t="shared" si="226"/>
        <v>220</v>
      </c>
      <c r="CB96" s="197"/>
      <c r="CC96" s="897">
        <f>'Energy NPV'!U21</f>
        <v>0</v>
      </c>
      <c r="CD96" s="197"/>
      <c r="CE96" s="197">
        <f t="shared" si="198"/>
        <v>0</v>
      </c>
      <c r="CF96" s="197">
        <f t="shared" si="199"/>
        <v>0</v>
      </c>
      <c r="CG96" s="197">
        <f t="shared" si="200"/>
        <v>220</v>
      </c>
      <c r="CH96" s="1008">
        <f t="shared" si="227"/>
        <v>0</v>
      </c>
      <c r="CI96" s="1011">
        <f t="shared" si="228"/>
        <v>160.75184510043644</v>
      </c>
      <c r="CJ96" s="1011">
        <f t="shared" si="229"/>
        <v>0</v>
      </c>
      <c r="CK96" s="1011">
        <f t="shared" si="230"/>
        <v>0</v>
      </c>
      <c r="CL96" s="1013">
        <f t="shared" si="231"/>
        <v>160.75184510043644</v>
      </c>
      <c r="CM96" s="196">
        <f t="shared" si="249"/>
        <v>2770.8629592617499</v>
      </c>
      <c r="CN96" s="197">
        <f t="shared" si="232"/>
        <v>1701.2038724890876</v>
      </c>
      <c r="CO96" s="197">
        <f t="shared" si="232"/>
        <v>5803.7124946276945</v>
      </c>
      <c r="CP96" s="197">
        <f t="shared" si="232"/>
        <v>-3032.8495353659437</v>
      </c>
      <c r="CQ96" s="199">
        <f t="shared" si="232"/>
        <v>-1331.645662876856</v>
      </c>
      <c r="CT96" s="204">
        <f t="shared" si="250"/>
        <v>9</v>
      </c>
      <c r="CU96" s="746">
        <f>'Energy NPV'!$D21</f>
        <v>0</v>
      </c>
      <c r="CV96" s="197">
        <f>'Energy margins'!$E$12</f>
        <v>55</v>
      </c>
      <c r="CW96" s="197">
        <f t="shared" si="201"/>
        <v>0</v>
      </c>
      <c r="CX96" s="197">
        <f>'Margins summary'!$Q$14</f>
        <v>220</v>
      </c>
      <c r="CY96" s="197">
        <f t="shared" si="233"/>
        <v>220</v>
      </c>
      <c r="CZ96" s="197"/>
      <c r="DA96" s="897">
        <f>'Energy NPV'!U21</f>
        <v>0</v>
      </c>
      <c r="DB96" s="197"/>
      <c r="DC96" s="197">
        <f t="shared" si="202"/>
        <v>0</v>
      </c>
      <c r="DD96" s="197">
        <f t="shared" si="203"/>
        <v>0</v>
      </c>
      <c r="DE96" s="197">
        <f t="shared" si="204"/>
        <v>220</v>
      </c>
      <c r="DF96" s="1008">
        <f t="shared" si="234"/>
        <v>0</v>
      </c>
      <c r="DG96" s="1011">
        <f t="shared" si="235"/>
        <v>160.75184510043644</v>
      </c>
      <c r="DH96" s="1011">
        <f t="shared" si="236"/>
        <v>0</v>
      </c>
      <c r="DI96" s="1011">
        <f t="shared" si="237"/>
        <v>0</v>
      </c>
      <c r="DJ96" s="1013">
        <f t="shared" si="238"/>
        <v>160.75184510043644</v>
      </c>
      <c r="DK96" s="196">
        <f t="shared" si="251"/>
        <v>2770.8629592617499</v>
      </c>
      <c r="DL96" s="197">
        <f t="shared" si="239"/>
        <v>1701.2038724890876</v>
      </c>
      <c r="DM96" s="197">
        <f t="shared" si="239"/>
        <v>0</v>
      </c>
      <c r="DN96" s="197">
        <f t="shared" si="239"/>
        <v>2770.8629592617499</v>
      </c>
      <c r="DO96" s="199">
        <f t="shared" si="239"/>
        <v>4472.0668317508371</v>
      </c>
    </row>
    <row r="97" spans="2:175" x14ac:dyDescent="0.3">
      <c r="B97" s="204">
        <f t="shared" si="240"/>
        <v>10</v>
      </c>
      <c r="C97" s="746">
        <f>'Energy NPV'!$D22</f>
        <v>30</v>
      </c>
      <c r="D97" s="197">
        <f>'Energy margins'!$E$12</f>
        <v>55</v>
      </c>
      <c r="E97" s="197">
        <f t="shared" si="241"/>
        <v>1650</v>
      </c>
      <c r="F97" s="197">
        <f>'Margins summary'!$Q$14</f>
        <v>220</v>
      </c>
      <c r="G97" s="197">
        <f t="shared" si="205"/>
        <v>1870</v>
      </c>
      <c r="H97" s="197"/>
      <c r="I97" s="897">
        <f>'Energy NPV'!U22</f>
        <v>592.40499999999997</v>
      </c>
      <c r="J97" s="197"/>
      <c r="K97" s="197">
        <f t="shared" si="187"/>
        <v>592.40499999999997</v>
      </c>
      <c r="L97" s="197">
        <f t="shared" si="188"/>
        <v>1057.595</v>
      </c>
      <c r="M97" s="197">
        <f t="shared" si="189"/>
        <v>1277.595</v>
      </c>
      <c r="N97" s="1008">
        <f t="shared" si="206"/>
        <v>1159.2681137050704</v>
      </c>
      <c r="O97" s="1011">
        <f t="shared" si="206"/>
        <v>154.5690818273427</v>
      </c>
      <c r="P97" s="1011">
        <f t="shared" si="207"/>
        <v>416.21589509057708</v>
      </c>
      <c r="Q97" s="1011">
        <f t="shared" si="207"/>
        <v>743.0522186144932</v>
      </c>
      <c r="R97" s="1013">
        <f t="shared" si="207"/>
        <v>897.62130044183596</v>
      </c>
      <c r="S97" s="196">
        <f t="shared" si="242"/>
        <v>3930.1310729668203</v>
      </c>
      <c r="T97" s="197">
        <f t="shared" si="208"/>
        <v>1855.7729543164303</v>
      </c>
      <c r="U97" s="197">
        <f t="shared" si="208"/>
        <v>3318.0721424044241</v>
      </c>
      <c r="V97" s="197">
        <f t="shared" si="208"/>
        <v>612.05893056239631</v>
      </c>
      <c r="W97" s="199">
        <f t="shared" si="208"/>
        <v>2467.8318848788267</v>
      </c>
      <c r="Z97" s="204">
        <f t="shared" si="243"/>
        <v>10</v>
      </c>
      <c r="AA97" s="746">
        <f>'Energy NPV'!$D22</f>
        <v>30</v>
      </c>
      <c r="AB97" s="197">
        <f>'Energy margins'!$E$12</f>
        <v>55</v>
      </c>
      <c r="AC97" s="197">
        <f t="shared" si="244"/>
        <v>1650</v>
      </c>
      <c r="AD97" s="197">
        <f>'Margins summary'!$Q$14</f>
        <v>220</v>
      </c>
      <c r="AE97" s="197">
        <f t="shared" si="209"/>
        <v>1870</v>
      </c>
      <c r="AF97" s="197"/>
      <c r="AG97" s="897">
        <f>'Energy NPV'!U22</f>
        <v>592.40499999999997</v>
      </c>
      <c r="AH97" s="197"/>
      <c r="AI97" s="197">
        <f t="shared" si="190"/>
        <v>888.60749999999996</v>
      </c>
      <c r="AJ97" s="197">
        <f t="shared" si="191"/>
        <v>761.39250000000004</v>
      </c>
      <c r="AK97" s="197">
        <f t="shared" si="192"/>
        <v>981.39250000000004</v>
      </c>
      <c r="AL97" s="1008">
        <f t="shared" si="210"/>
        <v>1159.2681137050704</v>
      </c>
      <c r="AM97" s="1011">
        <f t="shared" si="211"/>
        <v>154.5690818273427</v>
      </c>
      <c r="AN97" s="1011">
        <f t="shared" si="212"/>
        <v>624.32384263586562</v>
      </c>
      <c r="AO97" s="1011">
        <f t="shared" si="213"/>
        <v>534.94427106920477</v>
      </c>
      <c r="AP97" s="1013">
        <f t="shared" si="214"/>
        <v>689.51335289654742</v>
      </c>
      <c r="AQ97" s="196">
        <f t="shared" si="245"/>
        <v>3930.1310729668203</v>
      </c>
      <c r="AR97" s="197">
        <f t="shared" si="215"/>
        <v>1855.7729543164303</v>
      </c>
      <c r="AS97" s="197">
        <f t="shared" si="215"/>
        <v>4977.1082136066352</v>
      </c>
      <c r="AT97" s="197">
        <f t="shared" si="215"/>
        <v>-1046.9771406398154</v>
      </c>
      <c r="AU97" s="199">
        <f t="shared" si="215"/>
        <v>808.7958136766149</v>
      </c>
      <c r="AX97" s="204">
        <f t="shared" si="246"/>
        <v>10</v>
      </c>
      <c r="AY97" s="746">
        <f>'Energy NPV'!$D22</f>
        <v>30</v>
      </c>
      <c r="AZ97" s="197">
        <f>'Energy margins'!$E$12</f>
        <v>55</v>
      </c>
      <c r="BA97" s="197">
        <f t="shared" si="193"/>
        <v>1650</v>
      </c>
      <c r="BB97" s="197">
        <f>'Margins summary'!$Q$14</f>
        <v>220</v>
      </c>
      <c r="BC97" s="197">
        <f t="shared" si="194"/>
        <v>1870</v>
      </c>
      <c r="BD97" s="197"/>
      <c r="BE97" s="897">
        <f>'Energy NPV'!U22</f>
        <v>592.40499999999997</v>
      </c>
      <c r="BF97" s="197"/>
      <c r="BG97" s="197">
        <f t="shared" si="195"/>
        <v>296.20249999999999</v>
      </c>
      <c r="BH97" s="197">
        <f t="shared" si="196"/>
        <v>1353.7975000000001</v>
      </c>
      <c r="BI97" s="197">
        <f t="shared" si="197"/>
        <v>1573.7975000000001</v>
      </c>
      <c r="BJ97" s="1008">
        <f t="shared" si="216"/>
        <v>1159.2681137050704</v>
      </c>
      <c r="BK97" s="1011">
        <f t="shared" si="217"/>
        <v>154.5690818273427</v>
      </c>
      <c r="BL97" s="1011">
        <f t="shared" si="218"/>
        <v>208.10794754528854</v>
      </c>
      <c r="BM97" s="1011">
        <f t="shared" si="219"/>
        <v>951.16016615978185</v>
      </c>
      <c r="BN97" s="1013">
        <f t="shared" si="220"/>
        <v>1105.7292479871246</v>
      </c>
      <c r="BO97" s="196">
        <f t="shared" si="221"/>
        <v>3930.1310729668203</v>
      </c>
      <c r="BP97" s="197">
        <f t="shared" si="222"/>
        <v>1855.7729543164303</v>
      </c>
      <c r="BQ97" s="197">
        <f t="shared" si="223"/>
        <v>1659.036071202212</v>
      </c>
      <c r="BR97" s="197">
        <f t="shared" si="224"/>
        <v>2271.0950017646082</v>
      </c>
      <c r="BS97" s="199">
        <f t="shared" si="225"/>
        <v>4126.8679560810397</v>
      </c>
      <c r="BV97" s="204">
        <f t="shared" si="247"/>
        <v>10</v>
      </c>
      <c r="BW97" s="746">
        <f>'Energy NPV'!$D22</f>
        <v>30</v>
      </c>
      <c r="BX97" s="197">
        <f>'Energy margins'!$E$12</f>
        <v>55</v>
      </c>
      <c r="BY97" s="197">
        <f t="shared" si="248"/>
        <v>1650</v>
      </c>
      <c r="BZ97" s="197">
        <f>'Margins summary'!$Q$14</f>
        <v>220</v>
      </c>
      <c r="CA97" s="197">
        <f t="shared" si="226"/>
        <v>1870</v>
      </c>
      <c r="CB97" s="197"/>
      <c r="CC97" s="897">
        <f>'Energy NPV'!U22</f>
        <v>592.40499999999997</v>
      </c>
      <c r="CD97" s="197"/>
      <c r="CE97" s="197">
        <f t="shared" si="198"/>
        <v>1184.81</v>
      </c>
      <c r="CF97" s="197">
        <f t="shared" si="199"/>
        <v>465.19000000000005</v>
      </c>
      <c r="CG97" s="197">
        <f t="shared" si="200"/>
        <v>685.19</v>
      </c>
      <c r="CH97" s="1008">
        <f t="shared" si="227"/>
        <v>1159.2681137050704</v>
      </c>
      <c r="CI97" s="1011">
        <f t="shared" si="228"/>
        <v>154.5690818273427</v>
      </c>
      <c r="CJ97" s="1011">
        <f t="shared" si="229"/>
        <v>832.43179018115416</v>
      </c>
      <c r="CK97" s="1011">
        <f t="shared" si="230"/>
        <v>326.83632352391618</v>
      </c>
      <c r="CL97" s="1013">
        <f t="shared" si="231"/>
        <v>481.40540535125888</v>
      </c>
      <c r="CM97" s="196">
        <f t="shared" si="249"/>
        <v>3930.1310729668203</v>
      </c>
      <c r="CN97" s="197">
        <f t="shared" si="232"/>
        <v>1855.7729543164303</v>
      </c>
      <c r="CO97" s="197">
        <f t="shared" si="232"/>
        <v>6636.1442848088482</v>
      </c>
      <c r="CP97" s="197">
        <f t="shared" si="232"/>
        <v>-2706.0132118420274</v>
      </c>
      <c r="CQ97" s="199">
        <f t="shared" si="232"/>
        <v>-850.24025752559714</v>
      </c>
      <c r="CT97" s="204">
        <f t="shared" si="250"/>
        <v>10</v>
      </c>
      <c r="CU97" s="746">
        <f>'Energy NPV'!$D22</f>
        <v>30</v>
      </c>
      <c r="CV97" s="197">
        <f>'Energy margins'!$E$12</f>
        <v>55</v>
      </c>
      <c r="CW97" s="197">
        <f t="shared" si="201"/>
        <v>1650</v>
      </c>
      <c r="CX97" s="197">
        <f>'Margins summary'!$Q$14</f>
        <v>220</v>
      </c>
      <c r="CY97" s="197">
        <f t="shared" si="233"/>
        <v>1870</v>
      </c>
      <c r="CZ97" s="197"/>
      <c r="DA97" s="897">
        <f>'Energy NPV'!U22</f>
        <v>592.40499999999997</v>
      </c>
      <c r="DB97" s="197"/>
      <c r="DC97" s="197">
        <f t="shared" si="202"/>
        <v>0</v>
      </c>
      <c r="DD97" s="197">
        <f t="shared" si="203"/>
        <v>1650</v>
      </c>
      <c r="DE97" s="197">
        <f t="shared" si="204"/>
        <v>1870</v>
      </c>
      <c r="DF97" s="1008">
        <f t="shared" si="234"/>
        <v>1159.2681137050704</v>
      </c>
      <c r="DG97" s="1011">
        <f t="shared" si="235"/>
        <v>154.5690818273427</v>
      </c>
      <c r="DH97" s="1011">
        <f t="shared" si="236"/>
        <v>0</v>
      </c>
      <c r="DI97" s="1011">
        <f t="shared" si="237"/>
        <v>1159.2681137050704</v>
      </c>
      <c r="DJ97" s="1013">
        <f t="shared" si="238"/>
        <v>1313.837195532413</v>
      </c>
      <c r="DK97" s="196">
        <f t="shared" si="251"/>
        <v>3930.1310729668203</v>
      </c>
      <c r="DL97" s="197">
        <f t="shared" si="239"/>
        <v>1855.7729543164303</v>
      </c>
      <c r="DM97" s="197">
        <f t="shared" si="239"/>
        <v>0</v>
      </c>
      <c r="DN97" s="197">
        <f t="shared" si="239"/>
        <v>3930.1310729668203</v>
      </c>
      <c r="DO97" s="199">
        <f t="shared" si="239"/>
        <v>5785.9040272832499</v>
      </c>
    </row>
    <row r="98" spans="2:175" x14ac:dyDescent="0.3">
      <c r="B98" s="204">
        <f t="shared" si="240"/>
        <v>11</v>
      </c>
      <c r="C98" s="746">
        <f>'Energy NPV'!$D23</f>
        <v>0</v>
      </c>
      <c r="D98" s="197">
        <f>'Energy margins'!$E$12</f>
        <v>55</v>
      </c>
      <c r="E98" s="197">
        <f t="shared" si="241"/>
        <v>0</v>
      </c>
      <c r="F98" s="197">
        <f>'Margins summary'!$Q$14</f>
        <v>220</v>
      </c>
      <c r="G98" s="197">
        <f t="shared" si="205"/>
        <v>220</v>
      </c>
      <c r="H98" s="197"/>
      <c r="I98" s="897">
        <f>'Energy NPV'!U23</f>
        <v>0</v>
      </c>
      <c r="J98" s="197"/>
      <c r="K98" s="197">
        <f t="shared" si="187"/>
        <v>0</v>
      </c>
      <c r="L98" s="197">
        <f t="shared" si="188"/>
        <v>0</v>
      </c>
      <c r="M98" s="197">
        <f t="shared" si="189"/>
        <v>220</v>
      </c>
      <c r="N98" s="1008">
        <f t="shared" si="206"/>
        <v>0</v>
      </c>
      <c r="O98" s="1011">
        <f t="shared" si="206"/>
        <v>148.62411714167567</v>
      </c>
      <c r="P98" s="1011">
        <f t="shared" si="207"/>
        <v>0</v>
      </c>
      <c r="Q98" s="1011">
        <f t="shared" si="207"/>
        <v>0</v>
      </c>
      <c r="R98" s="1013">
        <f t="shared" si="207"/>
        <v>148.62411714167567</v>
      </c>
      <c r="S98" s="196">
        <f t="shared" si="242"/>
        <v>3930.1310729668203</v>
      </c>
      <c r="T98" s="197">
        <f t="shared" si="208"/>
        <v>2004.397071458106</v>
      </c>
      <c r="U98" s="197">
        <f t="shared" si="208"/>
        <v>3318.0721424044241</v>
      </c>
      <c r="V98" s="197">
        <f t="shared" si="208"/>
        <v>612.05893056239631</v>
      </c>
      <c r="W98" s="199">
        <f t="shared" si="208"/>
        <v>2616.4560020205022</v>
      </c>
      <c r="Z98" s="204">
        <f t="shared" si="243"/>
        <v>11</v>
      </c>
      <c r="AA98" s="746">
        <f>'Energy NPV'!$D23</f>
        <v>0</v>
      </c>
      <c r="AB98" s="197">
        <f>'Energy margins'!$E$12</f>
        <v>55</v>
      </c>
      <c r="AC98" s="197">
        <f t="shared" si="244"/>
        <v>0</v>
      </c>
      <c r="AD98" s="197">
        <f>'Margins summary'!$Q$14</f>
        <v>220</v>
      </c>
      <c r="AE98" s="197">
        <f t="shared" si="209"/>
        <v>220</v>
      </c>
      <c r="AF98" s="197"/>
      <c r="AG98" s="897">
        <f>'Energy NPV'!U23</f>
        <v>0</v>
      </c>
      <c r="AH98" s="197"/>
      <c r="AI98" s="197">
        <f t="shared" si="190"/>
        <v>0</v>
      </c>
      <c r="AJ98" s="197">
        <f t="shared" si="191"/>
        <v>0</v>
      </c>
      <c r="AK98" s="197">
        <f t="shared" si="192"/>
        <v>220</v>
      </c>
      <c r="AL98" s="1008">
        <f t="shared" si="210"/>
        <v>0</v>
      </c>
      <c r="AM98" s="1011">
        <f t="shared" si="211"/>
        <v>148.62411714167567</v>
      </c>
      <c r="AN98" s="1011">
        <f t="shared" si="212"/>
        <v>0</v>
      </c>
      <c r="AO98" s="1011">
        <f t="shared" si="213"/>
        <v>0</v>
      </c>
      <c r="AP98" s="1013">
        <f t="shared" si="214"/>
        <v>148.62411714167567</v>
      </c>
      <c r="AQ98" s="196">
        <f t="shared" si="245"/>
        <v>3930.1310729668203</v>
      </c>
      <c r="AR98" s="197">
        <f t="shared" si="215"/>
        <v>2004.397071458106</v>
      </c>
      <c r="AS98" s="197">
        <f t="shared" si="215"/>
        <v>4977.1082136066352</v>
      </c>
      <c r="AT98" s="197">
        <f t="shared" si="215"/>
        <v>-1046.9771406398154</v>
      </c>
      <c r="AU98" s="199">
        <f t="shared" si="215"/>
        <v>957.4199308182906</v>
      </c>
      <c r="AX98" s="204">
        <f t="shared" si="246"/>
        <v>11</v>
      </c>
      <c r="AY98" s="746">
        <f>'Energy NPV'!$D23</f>
        <v>0</v>
      </c>
      <c r="AZ98" s="197">
        <f>'Energy margins'!$E$12</f>
        <v>55</v>
      </c>
      <c r="BA98" s="197">
        <f t="shared" si="193"/>
        <v>0</v>
      </c>
      <c r="BB98" s="197">
        <f>'Margins summary'!$Q$14</f>
        <v>220</v>
      </c>
      <c r="BC98" s="197">
        <f t="shared" si="194"/>
        <v>220</v>
      </c>
      <c r="BD98" s="197"/>
      <c r="BE98" s="897">
        <f>'Energy NPV'!U23</f>
        <v>0</v>
      </c>
      <c r="BF98" s="197"/>
      <c r="BG98" s="197">
        <f t="shared" si="195"/>
        <v>0</v>
      </c>
      <c r="BH98" s="197">
        <f t="shared" si="196"/>
        <v>0</v>
      </c>
      <c r="BI98" s="197">
        <f t="shared" si="197"/>
        <v>220</v>
      </c>
      <c r="BJ98" s="1008">
        <f t="shared" si="216"/>
        <v>0</v>
      </c>
      <c r="BK98" s="1011">
        <f t="shared" si="217"/>
        <v>148.62411714167567</v>
      </c>
      <c r="BL98" s="1011">
        <f t="shared" si="218"/>
        <v>0</v>
      </c>
      <c r="BM98" s="1011">
        <f t="shared" si="219"/>
        <v>0</v>
      </c>
      <c r="BN98" s="1013">
        <f t="shared" si="220"/>
        <v>148.62411714167567</v>
      </c>
      <c r="BO98" s="196">
        <f t="shared" si="221"/>
        <v>3930.1310729668203</v>
      </c>
      <c r="BP98" s="197">
        <f t="shared" si="222"/>
        <v>2004.397071458106</v>
      </c>
      <c r="BQ98" s="197">
        <f t="shared" si="223"/>
        <v>1659.036071202212</v>
      </c>
      <c r="BR98" s="197">
        <f t="shared" si="224"/>
        <v>2271.0950017646082</v>
      </c>
      <c r="BS98" s="199">
        <f t="shared" si="225"/>
        <v>4275.4920732227156</v>
      </c>
      <c r="BV98" s="204">
        <f t="shared" si="247"/>
        <v>11</v>
      </c>
      <c r="BW98" s="746">
        <f>'Energy NPV'!$D23</f>
        <v>0</v>
      </c>
      <c r="BX98" s="197">
        <f>'Energy margins'!$E$12</f>
        <v>55</v>
      </c>
      <c r="BY98" s="197">
        <f t="shared" si="248"/>
        <v>0</v>
      </c>
      <c r="BZ98" s="197">
        <f>'Margins summary'!$Q$14</f>
        <v>220</v>
      </c>
      <c r="CA98" s="197">
        <f t="shared" si="226"/>
        <v>220</v>
      </c>
      <c r="CB98" s="197"/>
      <c r="CC98" s="897">
        <f>'Energy NPV'!U23</f>
        <v>0</v>
      </c>
      <c r="CD98" s="197"/>
      <c r="CE98" s="197">
        <f t="shared" si="198"/>
        <v>0</v>
      </c>
      <c r="CF98" s="197">
        <f t="shared" si="199"/>
        <v>0</v>
      </c>
      <c r="CG98" s="197">
        <f t="shared" si="200"/>
        <v>220</v>
      </c>
      <c r="CH98" s="1008">
        <f t="shared" si="227"/>
        <v>0</v>
      </c>
      <c r="CI98" s="1011">
        <f t="shared" si="228"/>
        <v>148.62411714167567</v>
      </c>
      <c r="CJ98" s="1011">
        <f t="shared" si="229"/>
        <v>0</v>
      </c>
      <c r="CK98" s="1011">
        <f t="shared" si="230"/>
        <v>0</v>
      </c>
      <c r="CL98" s="1013">
        <f t="shared" si="231"/>
        <v>148.62411714167567</v>
      </c>
      <c r="CM98" s="196">
        <f t="shared" si="249"/>
        <v>3930.1310729668203</v>
      </c>
      <c r="CN98" s="197">
        <f t="shared" si="232"/>
        <v>2004.397071458106</v>
      </c>
      <c r="CO98" s="197">
        <f t="shared" si="232"/>
        <v>6636.1442848088482</v>
      </c>
      <c r="CP98" s="197">
        <f t="shared" si="232"/>
        <v>-2706.0132118420274</v>
      </c>
      <c r="CQ98" s="199">
        <f t="shared" si="232"/>
        <v>-701.61614038392145</v>
      </c>
      <c r="CT98" s="204">
        <f t="shared" si="250"/>
        <v>11</v>
      </c>
      <c r="CU98" s="746">
        <f>'Energy NPV'!$D23</f>
        <v>0</v>
      </c>
      <c r="CV98" s="197">
        <f>'Energy margins'!$E$12</f>
        <v>55</v>
      </c>
      <c r="CW98" s="197">
        <f t="shared" si="201"/>
        <v>0</v>
      </c>
      <c r="CX98" s="197">
        <f>'Margins summary'!$Q$14</f>
        <v>220</v>
      </c>
      <c r="CY98" s="197">
        <f t="shared" si="233"/>
        <v>220</v>
      </c>
      <c r="CZ98" s="197"/>
      <c r="DA98" s="897">
        <f>'Energy NPV'!U23</f>
        <v>0</v>
      </c>
      <c r="DB98" s="197"/>
      <c r="DC98" s="197">
        <f t="shared" si="202"/>
        <v>0</v>
      </c>
      <c r="DD98" s="197">
        <f t="shared" si="203"/>
        <v>0</v>
      </c>
      <c r="DE98" s="197">
        <f t="shared" si="204"/>
        <v>220</v>
      </c>
      <c r="DF98" s="1008">
        <f t="shared" si="234"/>
        <v>0</v>
      </c>
      <c r="DG98" s="1011">
        <f t="shared" si="235"/>
        <v>148.62411714167567</v>
      </c>
      <c r="DH98" s="1011">
        <f t="shared" si="236"/>
        <v>0</v>
      </c>
      <c r="DI98" s="1011">
        <f t="shared" si="237"/>
        <v>0</v>
      </c>
      <c r="DJ98" s="1013">
        <f t="shared" si="238"/>
        <v>148.62411714167567</v>
      </c>
      <c r="DK98" s="196">
        <f t="shared" si="251"/>
        <v>3930.1310729668203</v>
      </c>
      <c r="DL98" s="197">
        <f t="shared" si="239"/>
        <v>2004.397071458106</v>
      </c>
      <c r="DM98" s="197">
        <f t="shared" si="239"/>
        <v>0</v>
      </c>
      <c r="DN98" s="197">
        <f t="shared" si="239"/>
        <v>3930.1310729668203</v>
      </c>
      <c r="DO98" s="199">
        <f t="shared" si="239"/>
        <v>5934.5281444249258</v>
      </c>
    </row>
    <row r="99" spans="2:175" x14ac:dyDescent="0.3">
      <c r="B99" s="204">
        <f t="shared" si="240"/>
        <v>12</v>
      </c>
      <c r="C99" s="746">
        <f>'Energy NPV'!$D24</f>
        <v>0</v>
      </c>
      <c r="D99" s="197">
        <f>'Energy margins'!$E$12</f>
        <v>55</v>
      </c>
      <c r="E99" s="197">
        <f t="shared" si="241"/>
        <v>0</v>
      </c>
      <c r="F99" s="197">
        <f>'Margins summary'!$Q$14</f>
        <v>220</v>
      </c>
      <c r="G99" s="197">
        <f t="shared" si="205"/>
        <v>220</v>
      </c>
      <c r="H99" s="197"/>
      <c r="I99" s="897">
        <f>'Energy NPV'!U24</f>
        <v>0</v>
      </c>
      <c r="J99" s="197"/>
      <c r="K99" s="197">
        <f t="shared" si="187"/>
        <v>0</v>
      </c>
      <c r="L99" s="197">
        <f t="shared" si="188"/>
        <v>0</v>
      </c>
      <c r="M99" s="197">
        <f t="shared" si="189"/>
        <v>220</v>
      </c>
      <c r="N99" s="1008">
        <f t="shared" si="206"/>
        <v>0</v>
      </c>
      <c r="O99" s="1011">
        <f t="shared" si="206"/>
        <v>142.90780494391893</v>
      </c>
      <c r="P99" s="1011">
        <f t="shared" si="207"/>
        <v>0</v>
      </c>
      <c r="Q99" s="1011">
        <f t="shared" si="207"/>
        <v>0</v>
      </c>
      <c r="R99" s="1013">
        <f t="shared" si="207"/>
        <v>142.90780494391893</v>
      </c>
      <c r="S99" s="196">
        <f t="shared" si="242"/>
        <v>3930.1310729668203</v>
      </c>
      <c r="T99" s="197">
        <f t="shared" si="208"/>
        <v>2147.304876402025</v>
      </c>
      <c r="U99" s="197">
        <f t="shared" si="208"/>
        <v>3318.0721424044241</v>
      </c>
      <c r="V99" s="197">
        <f t="shared" si="208"/>
        <v>612.05893056239631</v>
      </c>
      <c r="W99" s="199">
        <f t="shared" si="208"/>
        <v>2759.3638069644212</v>
      </c>
      <c r="Z99" s="204">
        <f t="shared" si="243"/>
        <v>12</v>
      </c>
      <c r="AA99" s="746">
        <f>'Energy NPV'!$D24</f>
        <v>0</v>
      </c>
      <c r="AB99" s="197">
        <f>'Energy margins'!$E$12</f>
        <v>55</v>
      </c>
      <c r="AC99" s="197">
        <f t="shared" si="244"/>
        <v>0</v>
      </c>
      <c r="AD99" s="197">
        <f>'Margins summary'!$Q$14</f>
        <v>220</v>
      </c>
      <c r="AE99" s="197">
        <f t="shared" si="209"/>
        <v>220</v>
      </c>
      <c r="AF99" s="197"/>
      <c r="AG99" s="897">
        <f>'Energy NPV'!U24</f>
        <v>0</v>
      </c>
      <c r="AH99" s="197"/>
      <c r="AI99" s="197">
        <f t="shared" si="190"/>
        <v>0</v>
      </c>
      <c r="AJ99" s="197">
        <f t="shared" si="191"/>
        <v>0</v>
      </c>
      <c r="AK99" s="197">
        <f t="shared" si="192"/>
        <v>220</v>
      </c>
      <c r="AL99" s="1008">
        <f t="shared" si="210"/>
        <v>0</v>
      </c>
      <c r="AM99" s="1011">
        <f t="shared" si="211"/>
        <v>142.90780494391893</v>
      </c>
      <c r="AN99" s="1011">
        <f t="shared" si="212"/>
        <v>0</v>
      </c>
      <c r="AO99" s="1011">
        <f t="shared" si="213"/>
        <v>0</v>
      </c>
      <c r="AP99" s="1013">
        <f t="shared" si="214"/>
        <v>142.90780494391893</v>
      </c>
      <c r="AQ99" s="196">
        <f t="shared" si="245"/>
        <v>3930.1310729668203</v>
      </c>
      <c r="AR99" s="197">
        <f t="shared" si="215"/>
        <v>2147.304876402025</v>
      </c>
      <c r="AS99" s="197">
        <f t="shared" si="215"/>
        <v>4977.1082136066352</v>
      </c>
      <c r="AT99" s="197">
        <f t="shared" si="215"/>
        <v>-1046.9771406398154</v>
      </c>
      <c r="AU99" s="199">
        <f t="shared" si="215"/>
        <v>1100.3277357622096</v>
      </c>
      <c r="AX99" s="204">
        <f t="shared" si="246"/>
        <v>12</v>
      </c>
      <c r="AY99" s="746">
        <f>'Energy NPV'!$D24</f>
        <v>0</v>
      </c>
      <c r="AZ99" s="197">
        <f>'Energy margins'!$E$12</f>
        <v>55</v>
      </c>
      <c r="BA99" s="197">
        <f t="shared" si="193"/>
        <v>0</v>
      </c>
      <c r="BB99" s="197">
        <f>'Margins summary'!$Q$14</f>
        <v>220</v>
      </c>
      <c r="BC99" s="197">
        <f t="shared" si="194"/>
        <v>220</v>
      </c>
      <c r="BD99" s="197"/>
      <c r="BE99" s="897">
        <f>'Energy NPV'!U24</f>
        <v>0</v>
      </c>
      <c r="BF99" s="197"/>
      <c r="BG99" s="197">
        <f t="shared" si="195"/>
        <v>0</v>
      </c>
      <c r="BH99" s="197">
        <f t="shared" si="196"/>
        <v>0</v>
      </c>
      <c r="BI99" s="197">
        <f t="shared" si="197"/>
        <v>220</v>
      </c>
      <c r="BJ99" s="1008">
        <f t="shared" si="216"/>
        <v>0</v>
      </c>
      <c r="BK99" s="1011">
        <f t="shared" si="217"/>
        <v>142.90780494391893</v>
      </c>
      <c r="BL99" s="1011">
        <f t="shared" si="218"/>
        <v>0</v>
      </c>
      <c r="BM99" s="1011">
        <f t="shared" si="219"/>
        <v>0</v>
      </c>
      <c r="BN99" s="1013">
        <f t="shared" si="220"/>
        <v>142.90780494391893</v>
      </c>
      <c r="BO99" s="196">
        <f t="shared" si="221"/>
        <v>3930.1310729668203</v>
      </c>
      <c r="BP99" s="197">
        <f t="shared" si="222"/>
        <v>2147.304876402025</v>
      </c>
      <c r="BQ99" s="197">
        <f t="shared" si="223"/>
        <v>1659.036071202212</v>
      </c>
      <c r="BR99" s="197">
        <f t="shared" si="224"/>
        <v>2271.0950017646082</v>
      </c>
      <c r="BS99" s="199">
        <f t="shared" si="225"/>
        <v>4418.3998781666342</v>
      </c>
      <c r="BV99" s="204">
        <f t="shared" si="247"/>
        <v>12</v>
      </c>
      <c r="BW99" s="746">
        <f>'Energy NPV'!$D24</f>
        <v>0</v>
      </c>
      <c r="BX99" s="197">
        <f>'Energy margins'!$E$12</f>
        <v>55</v>
      </c>
      <c r="BY99" s="197">
        <f t="shared" si="248"/>
        <v>0</v>
      </c>
      <c r="BZ99" s="197">
        <f>'Margins summary'!$Q$14</f>
        <v>220</v>
      </c>
      <c r="CA99" s="197">
        <f t="shared" si="226"/>
        <v>220</v>
      </c>
      <c r="CB99" s="197"/>
      <c r="CC99" s="897">
        <f>'Energy NPV'!U24</f>
        <v>0</v>
      </c>
      <c r="CD99" s="197"/>
      <c r="CE99" s="197">
        <f t="shared" si="198"/>
        <v>0</v>
      </c>
      <c r="CF99" s="197">
        <f t="shared" si="199"/>
        <v>0</v>
      </c>
      <c r="CG99" s="197">
        <f t="shared" si="200"/>
        <v>220</v>
      </c>
      <c r="CH99" s="1008">
        <f t="shared" si="227"/>
        <v>0</v>
      </c>
      <c r="CI99" s="1011">
        <f t="shared" si="228"/>
        <v>142.90780494391893</v>
      </c>
      <c r="CJ99" s="1011">
        <f t="shared" si="229"/>
        <v>0</v>
      </c>
      <c r="CK99" s="1011">
        <f t="shared" si="230"/>
        <v>0</v>
      </c>
      <c r="CL99" s="1013">
        <f t="shared" si="231"/>
        <v>142.90780494391893</v>
      </c>
      <c r="CM99" s="196">
        <f t="shared" si="249"/>
        <v>3930.1310729668203</v>
      </c>
      <c r="CN99" s="197">
        <f t="shared" si="232"/>
        <v>2147.304876402025</v>
      </c>
      <c r="CO99" s="197">
        <f t="shared" si="232"/>
        <v>6636.1442848088482</v>
      </c>
      <c r="CP99" s="197">
        <f t="shared" si="232"/>
        <v>-2706.0132118420274</v>
      </c>
      <c r="CQ99" s="199">
        <f t="shared" si="232"/>
        <v>-558.70833544000254</v>
      </c>
      <c r="CT99" s="204">
        <f t="shared" si="250"/>
        <v>12</v>
      </c>
      <c r="CU99" s="746">
        <f>'Energy NPV'!$D24</f>
        <v>0</v>
      </c>
      <c r="CV99" s="197">
        <f>'Energy margins'!$E$12</f>
        <v>55</v>
      </c>
      <c r="CW99" s="197">
        <f t="shared" si="201"/>
        <v>0</v>
      </c>
      <c r="CX99" s="197">
        <f>'Margins summary'!$Q$14</f>
        <v>220</v>
      </c>
      <c r="CY99" s="197">
        <f t="shared" si="233"/>
        <v>220</v>
      </c>
      <c r="CZ99" s="197"/>
      <c r="DA99" s="897">
        <f>'Energy NPV'!U24</f>
        <v>0</v>
      </c>
      <c r="DB99" s="197"/>
      <c r="DC99" s="197">
        <f t="shared" si="202"/>
        <v>0</v>
      </c>
      <c r="DD99" s="197">
        <f t="shared" si="203"/>
        <v>0</v>
      </c>
      <c r="DE99" s="197">
        <f t="shared" si="204"/>
        <v>220</v>
      </c>
      <c r="DF99" s="1008">
        <f t="shared" si="234"/>
        <v>0</v>
      </c>
      <c r="DG99" s="1011">
        <f t="shared" si="235"/>
        <v>142.90780494391893</v>
      </c>
      <c r="DH99" s="1011">
        <f t="shared" si="236"/>
        <v>0</v>
      </c>
      <c r="DI99" s="1011">
        <f t="shared" si="237"/>
        <v>0</v>
      </c>
      <c r="DJ99" s="1013">
        <f t="shared" si="238"/>
        <v>142.90780494391893</v>
      </c>
      <c r="DK99" s="196">
        <f t="shared" si="251"/>
        <v>3930.1310729668203</v>
      </c>
      <c r="DL99" s="197">
        <f t="shared" si="239"/>
        <v>2147.304876402025</v>
      </c>
      <c r="DM99" s="197">
        <f t="shared" si="239"/>
        <v>0</v>
      </c>
      <c r="DN99" s="197">
        <f t="shared" si="239"/>
        <v>3930.1310729668203</v>
      </c>
      <c r="DO99" s="199">
        <f t="shared" si="239"/>
        <v>6077.4359493688444</v>
      </c>
    </row>
    <row r="100" spans="2:175" x14ac:dyDescent="0.3">
      <c r="B100" s="204">
        <f t="shared" si="240"/>
        <v>13</v>
      </c>
      <c r="C100" s="746">
        <f>'Energy NPV'!$D25</f>
        <v>30</v>
      </c>
      <c r="D100" s="197">
        <f>'Energy margins'!$E$12</f>
        <v>55</v>
      </c>
      <c r="E100" s="197">
        <f t="shared" si="241"/>
        <v>1650</v>
      </c>
      <c r="F100" s="197">
        <f>'Margins summary'!$Q$14</f>
        <v>220</v>
      </c>
      <c r="G100" s="197">
        <f t="shared" si="205"/>
        <v>1870</v>
      </c>
      <c r="H100" s="197"/>
      <c r="I100" s="897">
        <f>'Energy NPV'!U25</f>
        <v>592.40499999999997</v>
      </c>
      <c r="J100" s="197"/>
      <c r="K100" s="197">
        <f t="shared" si="187"/>
        <v>592.40499999999997</v>
      </c>
      <c r="L100" s="197">
        <f t="shared" si="188"/>
        <v>1057.595</v>
      </c>
      <c r="M100" s="197">
        <f t="shared" si="189"/>
        <v>1277.595</v>
      </c>
      <c r="N100" s="1008">
        <f t="shared" si="206"/>
        <v>1030.5851318071075</v>
      </c>
      <c r="O100" s="1011">
        <f t="shared" si="206"/>
        <v>137.41135090761432</v>
      </c>
      <c r="P100" s="1011">
        <f t="shared" si="207"/>
        <v>370.01441515647849</v>
      </c>
      <c r="Q100" s="1011">
        <f t="shared" si="207"/>
        <v>660.57071665062904</v>
      </c>
      <c r="R100" s="1013">
        <f t="shared" si="207"/>
        <v>797.98206755824333</v>
      </c>
      <c r="S100" s="196">
        <f t="shared" si="242"/>
        <v>4960.7162047739275</v>
      </c>
      <c r="T100" s="197">
        <f t="shared" si="208"/>
        <v>2284.7162273096392</v>
      </c>
      <c r="U100" s="197">
        <f t="shared" si="208"/>
        <v>3688.0865575609027</v>
      </c>
      <c r="V100" s="197">
        <f t="shared" si="208"/>
        <v>1272.6296472130252</v>
      </c>
      <c r="W100" s="199">
        <f t="shared" si="208"/>
        <v>3557.3458745226644</v>
      </c>
      <c r="Z100" s="204">
        <f t="shared" si="243"/>
        <v>13</v>
      </c>
      <c r="AA100" s="746">
        <f>'Energy NPV'!$D25</f>
        <v>30</v>
      </c>
      <c r="AB100" s="197">
        <f>'Energy margins'!$E$12</f>
        <v>55</v>
      </c>
      <c r="AC100" s="197">
        <f t="shared" si="244"/>
        <v>1650</v>
      </c>
      <c r="AD100" s="197">
        <f>'Margins summary'!$Q$14</f>
        <v>220</v>
      </c>
      <c r="AE100" s="197">
        <f t="shared" si="209"/>
        <v>1870</v>
      </c>
      <c r="AF100" s="197"/>
      <c r="AG100" s="897">
        <f>'Energy NPV'!U25</f>
        <v>592.40499999999997</v>
      </c>
      <c r="AH100" s="197"/>
      <c r="AI100" s="197">
        <f t="shared" si="190"/>
        <v>888.60749999999996</v>
      </c>
      <c r="AJ100" s="197">
        <f t="shared" si="191"/>
        <v>761.39250000000004</v>
      </c>
      <c r="AK100" s="197">
        <f t="shared" si="192"/>
        <v>981.39250000000004</v>
      </c>
      <c r="AL100" s="1008">
        <f t="shared" si="210"/>
        <v>1030.5851318071075</v>
      </c>
      <c r="AM100" s="1011">
        <f t="shared" si="211"/>
        <v>137.41135090761432</v>
      </c>
      <c r="AN100" s="1011">
        <f t="shared" si="212"/>
        <v>555.02162273471765</v>
      </c>
      <c r="AO100" s="1011">
        <f t="shared" si="213"/>
        <v>475.56350907238976</v>
      </c>
      <c r="AP100" s="1013">
        <f t="shared" si="214"/>
        <v>612.97485998000411</v>
      </c>
      <c r="AQ100" s="196">
        <f t="shared" si="245"/>
        <v>4960.7162047739275</v>
      </c>
      <c r="AR100" s="197">
        <f t="shared" si="215"/>
        <v>2284.7162273096392</v>
      </c>
      <c r="AS100" s="197">
        <f t="shared" si="215"/>
        <v>5532.1298363413525</v>
      </c>
      <c r="AT100" s="197">
        <f t="shared" si="215"/>
        <v>-571.41363156742568</v>
      </c>
      <c r="AU100" s="199">
        <f t="shared" si="215"/>
        <v>1713.3025957422137</v>
      </c>
      <c r="AX100" s="204">
        <f t="shared" si="246"/>
        <v>13</v>
      </c>
      <c r="AY100" s="746">
        <f>'Energy NPV'!$D25</f>
        <v>30</v>
      </c>
      <c r="AZ100" s="197">
        <f>'Energy margins'!$E$12</f>
        <v>55</v>
      </c>
      <c r="BA100" s="197">
        <f t="shared" si="193"/>
        <v>1650</v>
      </c>
      <c r="BB100" s="197">
        <f>'Margins summary'!$Q$14</f>
        <v>220</v>
      </c>
      <c r="BC100" s="197">
        <f t="shared" si="194"/>
        <v>1870</v>
      </c>
      <c r="BD100" s="197"/>
      <c r="BE100" s="897">
        <f>'Energy NPV'!U25</f>
        <v>592.40499999999997</v>
      </c>
      <c r="BF100" s="197"/>
      <c r="BG100" s="197">
        <f t="shared" si="195"/>
        <v>296.20249999999999</v>
      </c>
      <c r="BH100" s="197">
        <f t="shared" si="196"/>
        <v>1353.7975000000001</v>
      </c>
      <c r="BI100" s="197">
        <f t="shared" si="197"/>
        <v>1573.7975000000001</v>
      </c>
      <c r="BJ100" s="1008">
        <f t="shared" si="216"/>
        <v>1030.5851318071075</v>
      </c>
      <c r="BK100" s="1011">
        <f t="shared" si="217"/>
        <v>137.41135090761432</v>
      </c>
      <c r="BL100" s="1011">
        <f t="shared" si="218"/>
        <v>185.00720757823925</v>
      </c>
      <c r="BM100" s="1011">
        <f t="shared" si="219"/>
        <v>845.57792422886837</v>
      </c>
      <c r="BN100" s="1013">
        <f t="shared" si="220"/>
        <v>982.98927513648266</v>
      </c>
      <c r="BO100" s="196">
        <f t="shared" si="221"/>
        <v>4960.7162047739275</v>
      </c>
      <c r="BP100" s="197">
        <f t="shared" si="222"/>
        <v>2284.7162273096392</v>
      </c>
      <c r="BQ100" s="197">
        <f t="shared" si="223"/>
        <v>1844.0432787804514</v>
      </c>
      <c r="BR100" s="197">
        <f t="shared" si="224"/>
        <v>3116.6729259934764</v>
      </c>
      <c r="BS100" s="199">
        <f t="shared" si="225"/>
        <v>5401.3891533031165</v>
      </c>
      <c r="BV100" s="204">
        <f t="shared" si="247"/>
        <v>13</v>
      </c>
      <c r="BW100" s="746">
        <f>'Energy NPV'!$D25</f>
        <v>30</v>
      </c>
      <c r="BX100" s="197">
        <f>'Energy margins'!$E$12</f>
        <v>55</v>
      </c>
      <c r="BY100" s="197">
        <f t="shared" si="248"/>
        <v>1650</v>
      </c>
      <c r="BZ100" s="197">
        <f>'Margins summary'!$Q$14</f>
        <v>220</v>
      </c>
      <c r="CA100" s="197">
        <f t="shared" si="226"/>
        <v>1870</v>
      </c>
      <c r="CB100" s="197"/>
      <c r="CC100" s="897">
        <f>'Energy NPV'!U25</f>
        <v>592.40499999999997</v>
      </c>
      <c r="CD100" s="197"/>
      <c r="CE100" s="197">
        <f t="shared" si="198"/>
        <v>1184.81</v>
      </c>
      <c r="CF100" s="197">
        <f t="shared" si="199"/>
        <v>465.19000000000005</v>
      </c>
      <c r="CG100" s="197">
        <f t="shared" si="200"/>
        <v>685.19</v>
      </c>
      <c r="CH100" s="1008">
        <f t="shared" si="227"/>
        <v>1030.5851318071075</v>
      </c>
      <c r="CI100" s="1011">
        <f t="shared" si="228"/>
        <v>137.41135090761432</v>
      </c>
      <c r="CJ100" s="1011">
        <f t="shared" si="229"/>
        <v>740.02883031295698</v>
      </c>
      <c r="CK100" s="1011">
        <f t="shared" si="230"/>
        <v>290.55630149415055</v>
      </c>
      <c r="CL100" s="1013">
        <f t="shared" si="231"/>
        <v>427.96765240176489</v>
      </c>
      <c r="CM100" s="196">
        <f t="shared" si="249"/>
        <v>4960.7162047739275</v>
      </c>
      <c r="CN100" s="197">
        <f t="shared" si="232"/>
        <v>2284.7162273096392</v>
      </c>
      <c r="CO100" s="197">
        <f t="shared" si="232"/>
        <v>7376.1731151218055</v>
      </c>
      <c r="CP100" s="197">
        <f t="shared" si="232"/>
        <v>-2415.4569103478771</v>
      </c>
      <c r="CQ100" s="199">
        <f t="shared" si="232"/>
        <v>-130.74068303823765</v>
      </c>
      <c r="CT100" s="204">
        <f t="shared" si="250"/>
        <v>13</v>
      </c>
      <c r="CU100" s="746">
        <f>'Energy NPV'!$D25</f>
        <v>30</v>
      </c>
      <c r="CV100" s="197">
        <f>'Energy margins'!$E$12</f>
        <v>55</v>
      </c>
      <c r="CW100" s="197">
        <f t="shared" si="201"/>
        <v>1650</v>
      </c>
      <c r="CX100" s="197">
        <f>'Margins summary'!$Q$14</f>
        <v>220</v>
      </c>
      <c r="CY100" s="197">
        <f t="shared" si="233"/>
        <v>1870</v>
      </c>
      <c r="CZ100" s="197"/>
      <c r="DA100" s="897">
        <f>'Energy NPV'!U25</f>
        <v>592.40499999999997</v>
      </c>
      <c r="DB100" s="197"/>
      <c r="DC100" s="197">
        <f t="shared" si="202"/>
        <v>0</v>
      </c>
      <c r="DD100" s="197">
        <f t="shared" si="203"/>
        <v>1650</v>
      </c>
      <c r="DE100" s="197">
        <f t="shared" si="204"/>
        <v>1870</v>
      </c>
      <c r="DF100" s="1008">
        <f t="shared" si="234"/>
        <v>1030.5851318071075</v>
      </c>
      <c r="DG100" s="1011">
        <f t="shared" si="235"/>
        <v>137.41135090761432</v>
      </c>
      <c r="DH100" s="1011">
        <f t="shared" si="236"/>
        <v>0</v>
      </c>
      <c r="DI100" s="1011">
        <f t="shared" si="237"/>
        <v>1030.5851318071075</v>
      </c>
      <c r="DJ100" s="1013">
        <f t="shared" si="238"/>
        <v>1167.9964827147219</v>
      </c>
      <c r="DK100" s="196">
        <f t="shared" si="251"/>
        <v>4960.7162047739275</v>
      </c>
      <c r="DL100" s="197">
        <f t="shared" si="239"/>
        <v>2284.7162273096392</v>
      </c>
      <c r="DM100" s="197">
        <f t="shared" si="239"/>
        <v>0</v>
      </c>
      <c r="DN100" s="197">
        <f t="shared" si="239"/>
        <v>4960.7162047739275</v>
      </c>
      <c r="DO100" s="199">
        <f t="shared" si="239"/>
        <v>7245.4324320835658</v>
      </c>
    </row>
    <row r="101" spans="2:175" x14ac:dyDescent="0.3">
      <c r="B101" s="204">
        <f t="shared" si="240"/>
        <v>14</v>
      </c>
      <c r="C101" s="746">
        <f>'Energy NPV'!$D26</f>
        <v>0</v>
      </c>
      <c r="D101" s="197">
        <f>'Energy margins'!$E$12</f>
        <v>55</v>
      </c>
      <c r="E101" s="197">
        <f t="shared" si="241"/>
        <v>0</v>
      </c>
      <c r="F101" s="197">
        <f>'Margins summary'!$Q$14</f>
        <v>220</v>
      </c>
      <c r="G101" s="197">
        <f t="shared" si="205"/>
        <v>220</v>
      </c>
      <c r="H101" s="197"/>
      <c r="I101" s="897">
        <f>'Energy NPV'!U26</f>
        <v>0</v>
      </c>
      <c r="J101" s="197"/>
      <c r="K101" s="197">
        <f t="shared" si="187"/>
        <v>0</v>
      </c>
      <c r="L101" s="197">
        <f t="shared" si="188"/>
        <v>0</v>
      </c>
      <c r="M101" s="197">
        <f t="shared" si="189"/>
        <v>220</v>
      </c>
      <c r="N101" s="1008">
        <f t="shared" si="206"/>
        <v>0</v>
      </c>
      <c r="O101" s="1011">
        <f t="shared" si="206"/>
        <v>132.12629894962916</v>
      </c>
      <c r="P101" s="1011">
        <f t="shared" si="207"/>
        <v>0</v>
      </c>
      <c r="Q101" s="1011">
        <f t="shared" si="207"/>
        <v>0</v>
      </c>
      <c r="R101" s="1013">
        <f t="shared" si="207"/>
        <v>132.12629894962916</v>
      </c>
      <c r="S101" s="196">
        <f t="shared" si="242"/>
        <v>4960.7162047739275</v>
      </c>
      <c r="T101" s="197">
        <f t="shared" si="208"/>
        <v>2416.8425262592682</v>
      </c>
      <c r="U101" s="197">
        <f t="shared" si="208"/>
        <v>3688.0865575609027</v>
      </c>
      <c r="V101" s="197">
        <f t="shared" si="208"/>
        <v>1272.6296472130252</v>
      </c>
      <c r="W101" s="199">
        <f t="shared" si="208"/>
        <v>3689.4721734722934</v>
      </c>
      <c r="Z101" s="204">
        <f t="shared" si="243"/>
        <v>14</v>
      </c>
      <c r="AA101" s="746">
        <f>'Energy NPV'!$D26</f>
        <v>0</v>
      </c>
      <c r="AB101" s="197">
        <f>'Energy margins'!$E$12</f>
        <v>55</v>
      </c>
      <c r="AC101" s="197">
        <f t="shared" si="244"/>
        <v>0</v>
      </c>
      <c r="AD101" s="197">
        <f>'Margins summary'!$Q$14</f>
        <v>220</v>
      </c>
      <c r="AE101" s="197">
        <f t="shared" si="209"/>
        <v>220</v>
      </c>
      <c r="AF101" s="197"/>
      <c r="AG101" s="897">
        <f>'Energy NPV'!U26</f>
        <v>0</v>
      </c>
      <c r="AH101" s="197"/>
      <c r="AI101" s="197">
        <f t="shared" si="190"/>
        <v>0</v>
      </c>
      <c r="AJ101" s="197">
        <f t="shared" si="191"/>
        <v>0</v>
      </c>
      <c r="AK101" s="197">
        <f t="shared" si="192"/>
        <v>220</v>
      </c>
      <c r="AL101" s="1008">
        <f t="shared" si="210"/>
        <v>0</v>
      </c>
      <c r="AM101" s="1011">
        <f t="shared" si="211"/>
        <v>132.12629894962916</v>
      </c>
      <c r="AN101" s="1011">
        <f t="shared" si="212"/>
        <v>0</v>
      </c>
      <c r="AO101" s="1011">
        <f t="shared" si="213"/>
        <v>0</v>
      </c>
      <c r="AP101" s="1013">
        <f t="shared" si="214"/>
        <v>132.12629894962916</v>
      </c>
      <c r="AQ101" s="196">
        <f t="shared" si="245"/>
        <v>4960.7162047739275</v>
      </c>
      <c r="AR101" s="197">
        <f t="shared" si="215"/>
        <v>2416.8425262592682</v>
      </c>
      <c r="AS101" s="197">
        <f t="shared" si="215"/>
        <v>5532.1298363413525</v>
      </c>
      <c r="AT101" s="197">
        <f t="shared" si="215"/>
        <v>-571.41363156742568</v>
      </c>
      <c r="AU101" s="199">
        <f t="shared" si="215"/>
        <v>1845.428894691843</v>
      </c>
      <c r="AX101" s="204">
        <f t="shared" si="246"/>
        <v>14</v>
      </c>
      <c r="AY101" s="746">
        <f>'Energy NPV'!$D26</f>
        <v>0</v>
      </c>
      <c r="AZ101" s="197">
        <f>'Energy margins'!$E$12</f>
        <v>55</v>
      </c>
      <c r="BA101" s="197">
        <f t="shared" si="193"/>
        <v>0</v>
      </c>
      <c r="BB101" s="197">
        <f>'Margins summary'!$Q$14</f>
        <v>220</v>
      </c>
      <c r="BC101" s="197">
        <f t="shared" si="194"/>
        <v>220</v>
      </c>
      <c r="BD101" s="197"/>
      <c r="BE101" s="897">
        <f>'Energy NPV'!U26</f>
        <v>0</v>
      </c>
      <c r="BF101" s="197"/>
      <c r="BG101" s="197">
        <f t="shared" si="195"/>
        <v>0</v>
      </c>
      <c r="BH101" s="197">
        <f t="shared" si="196"/>
        <v>0</v>
      </c>
      <c r="BI101" s="197">
        <f t="shared" si="197"/>
        <v>220</v>
      </c>
      <c r="BJ101" s="1008">
        <f t="shared" si="216"/>
        <v>0</v>
      </c>
      <c r="BK101" s="1011">
        <f t="shared" si="217"/>
        <v>132.12629894962916</v>
      </c>
      <c r="BL101" s="1011">
        <f t="shared" si="218"/>
        <v>0</v>
      </c>
      <c r="BM101" s="1011">
        <f t="shared" si="219"/>
        <v>0</v>
      </c>
      <c r="BN101" s="1013">
        <f t="shared" si="220"/>
        <v>132.12629894962916</v>
      </c>
      <c r="BO101" s="196">
        <f t="shared" si="221"/>
        <v>4960.7162047739275</v>
      </c>
      <c r="BP101" s="197">
        <f t="shared" si="222"/>
        <v>2416.8425262592682</v>
      </c>
      <c r="BQ101" s="197">
        <f t="shared" si="223"/>
        <v>1844.0432787804514</v>
      </c>
      <c r="BR101" s="197">
        <f t="shared" si="224"/>
        <v>3116.6729259934764</v>
      </c>
      <c r="BS101" s="199">
        <f t="shared" si="225"/>
        <v>5533.5154522527455</v>
      </c>
      <c r="BV101" s="204">
        <f t="shared" si="247"/>
        <v>14</v>
      </c>
      <c r="BW101" s="746">
        <f>'Energy NPV'!$D26</f>
        <v>0</v>
      </c>
      <c r="BX101" s="197">
        <f>'Energy margins'!$E$12</f>
        <v>55</v>
      </c>
      <c r="BY101" s="197">
        <f t="shared" si="248"/>
        <v>0</v>
      </c>
      <c r="BZ101" s="197">
        <f>'Margins summary'!$Q$14</f>
        <v>220</v>
      </c>
      <c r="CA101" s="197">
        <f t="shared" si="226"/>
        <v>220</v>
      </c>
      <c r="CB101" s="197"/>
      <c r="CC101" s="897">
        <f>'Energy NPV'!U26</f>
        <v>0</v>
      </c>
      <c r="CD101" s="197"/>
      <c r="CE101" s="197">
        <f t="shared" si="198"/>
        <v>0</v>
      </c>
      <c r="CF101" s="197">
        <f t="shared" si="199"/>
        <v>0</v>
      </c>
      <c r="CG101" s="197">
        <f t="shared" si="200"/>
        <v>220</v>
      </c>
      <c r="CH101" s="1008">
        <f t="shared" si="227"/>
        <v>0</v>
      </c>
      <c r="CI101" s="1011">
        <f t="shared" si="228"/>
        <v>132.12629894962916</v>
      </c>
      <c r="CJ101" s="1011">
        <f t="shared" si="229"/>
        <v>0</v>
      </c>
      <c r="CK101" s="1011">
        <f t="shared" si="230"/>
        <v>0</v>
      </c>
      <c r="CL101" s="1013">
        <f t="shared" si="231"/>
        <v>132.12629894962916</v>
      </c>
      <c r="CM101" s="196">
        <f t="shared" si="249"/>
        <v>4960.7162047739275</v>
      </c>
      <c r="CN101" s="197">
        <f t="shared" si="232"/>
        <v>2416.8425262592682</v>
      </c>
      <c r="CO101" s="197">
        <f t="shared" si="232"/>
        <v>7376.1731151218055</v>
      </c>
      <c r="CP101" s="197">
        <f t="shared" si="232"/>
        <v>-2415.4569103478771</v>
      </c>
      <c r="CQ101" s="199">
        <f t="shared" si="232"/>
        <v>1.3856159113915112</v>
      </c>
      <c r="CT101" s="204">
        <f t="shared" si="250"/>
        <v>14</v>
      </c>
      <c r="CU101" s="746">
        <f>'Energy NPV'!$D26</f>
        <v>0</v>
      </c>
      <c r="CV101" s="197">
        <f>'Energy margins'!$E$12</f>
        <v>55</v>
      </c>
      <c r="CW101" s="197">
        <f t="shared" si="201"/>
        <v>0</v>
      </c>
      <c r="CX101" s="197">
        <f>'Margins summary'!$Q$14</f>
        <v>220</v>
      </c>
      <c r="CY101" s="197">
        <f t="shared" si="233"/>
        <v>220</v>
      </c>
      <c r="CZ101" s="197"/>
      <c r="DA101" s="897">
        <f>'Energy NPV'!U26</f>
        <v>0</v>
      </c>
      <c r="DB101" s="197"/>
      <c r="DC101" s="197">
        <f t="shared" si="202"/>
        <v>0</v>
      </c>
      <c r="DD101" s="197">
        <f t="shared" si="203"/>
        <v>0</v>
      </c>
      <c r="DE101" s="197">
        <f t="shared" si="204"/>
        <v>220</v>
      </c>
      <c r="DF101" s="1008">
        <f t="shared" si="234"/>
        <v>0</v>
      </c>
      <c r="DG101" s="1011">
        <f t="shared" si="235"/>
        <v>132.12629894962916</v>
      </c>
      <c r="DH101" s="1011">
        <f t="shared" si="236"/>
        <v>0</v>
      </c>
      <c r="DI101" s="1011">
        <f t="shared" si="237"/>
        <v>0</v>
      </c>
      <c r="DJ101" s="1013">
        <f t="shared" si="238"/>
        <v>132.12629894962916</v>
      </c>
      <c r="DK101" s="196">
        <f t="shared" si="251"/>
        <v>4960.7162047739275</v>
      </c>
      <c r="DL101" s="197">
        <f t="shared" si="239"/>
        <v>2416.8425262592682</v>
      </c>
      <c r="DM101" s="197">
        <f t="shared" si="239"/>
        <v>0</v>
      </c>
      <c r="DN101" s="197">
        <f t="shared" si="239"/>
        <v>4960.7162047739275</v>
      </c>
      <c r="DO101" s="199">
        <f t="shared" si="239"/>
        <v>7377.5587310331948</v>
      </c>
    </row>
    <row r="102" spans="2:175" x14ac:dyDescent="0.3">
      <c r="B102" s="204">
        <f t="shared" si="240"/>
        <v>15</v>
      </c>
      <c r="C102" s="746">
        <f>'Energy NPV'!$D27</f>
        <v>0</v>
      </c>
      <c r="D102" s="197">
        <f>'Energy margins'!$E$12</f>
        <v>55</v>
      </c>
      <c r="E102" s="197">
        <f t="shared" si="241"/>
        <v>0</v>
      </c>
      <c r="F102" s="197">
        <f>'Margins summary'!$Q$14</f>
        <v>220</v>
      </c>
      <c r="G102" s="197">
        <f t="shared" si="205"/>
        <v>220</v>
      </c>
      <c r="H102" s="197"/>
      <c r="I102" s="897">
        <f>'Energy NPV'!U27</f>
        <v>0</v>
      </c>
      <c r="J102" s="197"/>
      <c r="K102" s="197">
        <f t="shared" si="187"/>
        <v>0</v>
      </c>
      <c r="L102" s="197">
        <f t="shared" si="188"/>
        <v>0</v>
      </c>
      <c r="M102" s="197">
        <f t="shared" si="189"/>
        <v>220</v>
      </c>
      <c r="N102" s="1008">
        <f t="shared" si="206"/>
        <v>0</v>
      </c>
      <c r="O102" s="1011">
        <f t="shared" si="206"/>
        <v>127.04451822079727</v>
      </c>
      <c r="P102" s="1011">
        <f t="shared" si="207"/>
        <v>0</v>
      </c>
      <c r="Q102" s="1011">
        <f t="shared" si="207"/>
        <v>0</v>
      </c>
      <c r="R102" s="1013">
        <f t="shared" si="207"/>
        <v>127.04451822079727</v>
      </c>
      <c r="S102" s="196">
        <f t="shared" si="242"/>
        <v>4960.7162047739275</v>
      </c>
      <c r="T102" s="197">
        <f t="shared" si="208"/>
        <v>2543.8870444800655</v>
      </c>
      <c r="U102" s="197">
        <f t="shared" si="208"/>
        <v>3688.0865575609027</v>
      </c>
      <c r="V102" s="197">
        <f t="shared" si="208"/>
        <v>1272.6296472130252</v>
      </c>
      <c r="W102" s="199">
        <f t="shared" si="208"/>
        <v>3816.5166916930907</v>
      </c>
      <c r="Z102" s="204">
        <f t="shared" si="243"/>
        <v>15</v>
      </c>
      <c r="AA102" s="746">
        <f>'Energy NPV'!$D27</f>
        <v>0</v>
      </c>
      <c r="AB102" s="197">
        <f>'Energy margins'!$E$12</f>
        <v>55</v>
      </c>
      <c r="AC102" s="197">
        <f t="shared" si="244"/>
        <v>0</v>
      </c>
      <c r="AD102" s="197">
        <f>'Margins summary'!$Q$14</f>
        <v>220</v>
      </c>
      <c r="AE102" s="197">
        <f t="shared" si="209"/>
        <v>220</v>
      </c>
      <c r="AF102" s="197"/>
      <c r="AG102" s="897">
        <f>'Energy NPV'!U27</f>
        <v>0</v>
      </c>
      <c r="AH102" s="197"/>
      <c r="AI102" s="197">
        <f t="shared" si="190"/>
        <v>0</v>
      </c>
      <c r="AJ102" s="197">
        <f t="shared" si="191"/>
        <v>0</v>
      </c>
      <c r="AK102" s="197">
        <f t="shared" si="192"/>
        <v>220</v>
      </c>
      <c r="AL102" s="1008">
        <f t="shared" si="210"/>
        <v>0</v>
      </c>
      <c r="AM102" s="1011">
        <f t="shared" si="211"/>
        <v>127.04451822079727</v>
      </c>
      <c r="AN102" s="1011">
        <f t="shared" si="212"/>
        <v>0</v>
      </c>
      <c r="AO102" s="1011">
        <f t="shared" si="213"/>
        <v>0</v>
      </c>
      <c r="AP102" s="1013">
        <f t="shared" si="214"/>
        <v>127.04451822079727</v>
      </c>
      <c r="AQ102" s="196">
        <f t="shared" si="245"/>
        <v>4960.7162047739275</v>
      </c>
      <c r="AR102" s="197">
        <f t="shared" si="215"/>
        <v>2543.8870444800655</v>
      </c>
      <c r="AS102" s="197">
        <f t="shared" si="215"/>
        <v>5532.1298363413525</v>
      </c>
      <c r="AT102" s="197">
        <f t="shared" si="215"/>
        <v>-571.41363156742568</v>
      </c>
      <c r="AU102" s="199">
        <f t="shared" si="215"/>
        <v>1972.4734129126402</v>
      </c>
      <c r="AX102" s="204">
        <f t="shared" si="246"/>
        <v>15</v>
      </c>
      <c r="AY102" s="746">
        <f>'Energy NPV'!$D27</f>
        <v>0</v>
      </c>
      <c r="AZ102" s="197">
        <f>'Energy margins'!$E$12</f>
        <v>55</v>
      </c>
      <c r="BA102" s="197">
        <f t="shared" si="193"/>
        <v>0</v>
      </c>
      <c r="BB102" s="197">
        <f>'Margins summary'!$Q$14</f>
        <v>220</v>
      </c>
      <c r="BC102" s="197">
        <f t="shared" si="194"/>
        <v>220</v>
      </c>
      <c r="BD102" s="197"/>
      <c r="BE102" s="897">
        <f>'Energy NPV'!U27</f>
        <v>0</v>
      </c>
      <c r="BF102" s="197"/>
      <c r="BG102" s="197">
        <f t="shared" si="195"/>
        <v>0</v>
      </c>
      <c r="BH102" s="197">
        <f t="shared" si="196"/>
        <v>0</v>
      </c>
      <c r="BI102" s="197">
        <f t="shared" si="197"/>
        <v>220</v>
      </c>
      <c r="BJ102" s="1008">
        <f t="shared" si="216"/>
        <v>0</v>
      </c>
      <c r="BK102" s="1011">
        <f t="shared" si="217"/>
        <v>127.04451822079727</v>
      </c>
      <c r="BL102" s="1011">
        <f t="shared" si="218"/>
        <v>0</v>
      </c>
      <c r="BM102" s="1011">
        <f t="shared" si="219"/>
        <v>0</v>
      </c>
      <c r="BN102" s="1013">
        <f t="shared" si="220"/>
        <v>127.04451822079727</v>
      </c>
      <c r="BO102" s="196">
        <f t="shared" si="221"/>
        <v>4960.7162047739275</v>
      </c>
      <c r="BP102" s="197">
        <f t="shared" si="222"/>
        <v>2543.8870444800655</v>
      </c>
      <c r="BQ102" s="197">
        <f t="shared" si="223"/>
        <v>1844.0432787804514</v>
      </c>
      <c r="BR102" s="197">
        <f t="shared" si="224"/>
        <v>3116.6729259934764</v>
      </c>
      <c r="BS102" s="199">
        <f t="shared" si="225"/>
        <v>5660.5599704735432</v>
      </c>
      <c r="BV102" s="204">
        <f t="shared" si="247"/>
        <v>15</v>
      </c>
      <c r="BW102" s="746">
        <f>'Energy NPV'!$D27</f>
        <v>0</v>
      </c>
      <c r="BX102" s="197">
        <f>'Energy margins'!$E$12</f>
        <v>55</v>
      </c>
      <c r="BY102" s="197">
        <f t="shared" si="248"/>
        <v>0</v>
      </c>
      <c r="BZ102" s="197">
        <f>'Margins summary'!$Q$14</f>
        <v>220</v>
      </c>
      <c r="CA102" s="197">
        <f t="shared" si="226"/>
        <v>220</v>
      </c>
      <c r="CB102" s="197"/>
      <c r="CC102" s="897">
        <f>'Energy NPV'!U27</f>
        <v>0</v>
      </c>
      <c r="CD102" s="197"/>
      <c r="CE102" s="197">
        <f t="shared" si="198"/>
        <v>0</v>
      </c>
      <c r="CF102" s="197">
        <f t="shared" si="199"/>
        <v>0</v>
      </c>
      <c r="CG102" s="197">
        <f t="shared" si="200"/>
        <v>220</v>
      </c>
      <c r="CH102" s="1008">
        <f t="shared" si="227"/>
        <v>0</v>
      </c>
      <c r="CI102" s="1011">
        <f t="shared" si="228"/>
        <v>127.04451822079727</v>
      </c>
      <c r="CJ102" s="1011">
        <f t="shared" si="229"/>
        <v>0</v>
      </c>
      <c r="CK102" s="1011">
        <f t="shared" si="230"/>
        <v>0</v>
      </c>
      <c r="CL102" s="1013">
        <f t="shared" si="231"/>
        <v>127.04451822079727</v>
      </c>
      <c r="CM102" s="196">
        <f t="shared" si="249"/>
        <v>4960.7162047739275</v>
      </c>
      <c r="CN102" s="197">
        <f t="shared" si="232"/>
        <v>2543.8870444800655</v>
      </c>
      <c r="CO102" s="197">
        <f t="shared" si="232"/>
        <v>7376.1731151218055</v>
      </c>
      <c r="CP102" s="197">
        <f t="shared" si="232"/>
        <v>-2415.4569103478771</v>
      </c>
      <c r="CQ102" s="199">
        <f t="shared" si="232"/>
        <v>128.43013413218878</v>
      </c>
      <c r="CT102" s="204">
        <f t="shared" si="250"/>
        <v>15</v>
      </c>
      <c r="CU102" s="746">
        <f>'Energy NPV'!$D27</f>
        <v>0</v>
      </c>
      <c r="CV102" s="197">
        <f>'Energy margins'!$E$12</f>
        <v>55</v>
      </c>
      <c r="CW102" s="197">
        <f t="shared" si="201"/>
        <v>0</v>
      </c>
      <c r="CX102" s="197">
        <f>'Margins summary'!$Q$14</f>
        <v>220</v>
      </c>
      <c r="CY102" s="197">
        <f t="shared" si="233"/>
        <v>220</v>
      </c>
      <c r="CZ102" s="197"/>
      <c r="DA102" s="897">
        <f>'Energy NPV'!U27</f>
        <v>0</v>
      </c>
      <c r="DB102" s="197"/>
      <c r="DC102" s="197">
        <f t="shared" si="202"/>
        <v>0</v>
      </c>
      <c r="DD102" s="197">
        <f t="shared" si="203"/>
        <v>0</v>
      </c>
      <c r="DE102" s="197">
        <f t="shared" si="204"/>
        <v>220</v>
      </c>
      <c r="DF102" s="1008">
        <f t="shared" si="234"/>
        <v>0</v>
      </c>
      <c r="DG102" s="1011">
        <f t="shared" si="235"/>
        <v>127.04451822079727</v>
      </c>
      <c r="DH102" s="1011">
        <f t="shared" si="236"/>
        <v>0</v>
      </c>
      <c r="DI102" s="1011">
        <f t="shared" si="237"/>
        <v>0</v>
      </c>
      <c r="DJ102" s="1013">
        <f t="shared" si="238"/>
        <v>127.04451822079727</v>
      </c>
      <c r="DK102" s="196">
        <f t="shared" si="251"/>
        <v>4960.7162047739275</v>
      </c>
      <c r="DL102" s="197">
        <f t="shared" si="239"/>
        <v>2543.8870444800655</v>
      </c>
      <c r="DM102" s="197">
        <f t="shared" si="239"/>
        <v>0</v>
      </c>
      <c r="DN102" s="197">
        <f t="shared" si="239"/>
        <v>4960.7162047739275</v>
      </c>
      <c r="DO102" s="199">
        <f t="shared" si="239"/>
        <v>7504.6032492539925</v>
      </c>
    </row>
    <row r="103" spans="2:175" x14ac:dyDescent="0.3">
      <c r="B103" s="206">
        <f t="shared" si="240"/>
        <v>16</v>
      </c>
      <c r="C103" s="215">
        <f>'Energy NPV'!$D28</f>
        <v>30</v>
      </c>
      <c r="D103" s="207">
        <f>'Energy margins'!$E$12</f>
        <v>55</v>
      </c>
      <c r="E103" s="207">
        <f t="shared" si="241"/>
        <v>1650</v>
      </c>
      <c r="F103" s="207">
        <f>'Margins summary'!$Q$14</f>
        <v>220</v>
      </c>
      <c r="G103" s="207">
        <f t="shared" si="205"/>
        <v>1870</v>
      </c>
      <c r="H103" s="207"/>
      <c r="I103" s="898">
        <f>'Energy NPV'!U28</f>
        <v>592.40499999999997</v>
      </c>
      <c r="J103" s="207">
        <f>'Energy margins'!$J$67</f>
        <v>170</v>
      </c>
      <c r="K103" s="207">
        <f t="shared" si="187"/>
        <v>762.40499999999997</v>
      </c>
      <c r="L103" s="207">
        <f t="shared" si="188"/>
        <v>887.59500000000003</v>
      </c>
      <c r="M103" s="207">
        <f t="shared" si="189"/>
        <v>1107.595</v>
      </c>
      <c r="N103" s="1009">
        <f t="shared" si="206"/>
        <v>916.18642947690341</v>
      </c>
      <c r="O103" s="748">
        <f t="shared" si="206"/>
        <v>122.15819059692046</v>
      </c>
      <c r="P103" s="748">
        <f t="shared" si="207"/>
        <v>423.33643319111428</v>
      </c>
      <c r="Q103" s="748">
        <f t="shared" si="207"/>
        <v>492.84999628578919</v>
      </c>
      <c r="R103" s="1014">
        <f>M103/((1+$B$4)^($B103-1))</f>
        <v>615.00818688270965</v>
      </c>
      <c r="S103" s="208">
        <f t="shared" si="242"/>
        <v>5876.9026342508314</v>
      </c>
      <c r="T103" s="207">
        <f t="shared" si="208"/>
        <v>2666.045235076986</v>
      </c>
      <c r="U103" s="207">
        <f t="shared" si="208"/>
        <v>4111.4229907520166</v>
      </c>
      <c r="V103" s="207">
        <f t="shared" si="208"/>
        <v>1765.4796434988143</v>
      </c>
      <c r="W103" s="209">
        <f t="shared" si="208"/>
        <v>4431.5248785758004</v>
      </c>
      <c r="Z103" s="206">
        <f t="shared" si="243"/>
        <v>16</v>
      </c>
      <c r="AA103" s="215">
        <f>'Energy NPV'!$D28</f>
        <v>30</v>
      </c>
      <c r="AB103" s="207">
        <f>'Energy margins'!$E$12</f>
        <v>55</v>
      </c>
      <c r="AC103" s="207">
        <f t="shared" si="244"/>
        <v>1650</v>
      </c>
      <c r="AD103" s="207">
        <f>'Margins summary'!$Q$14</f>
        <v>220</v>
      </c>
      <c r="AE103" s="207">
        <f t="shared" si="209"/>
        <v>1870</v>
      </c>
      <c r="AF103" s="207"/>
      <c r="AG103" s="898">
        <f>'Energy NPV'!U28</f>
        <v>592.40499999999997</v>
      </c>
      <c r="AH103" s="207">
        <f>'Energy margins'!$J$67</f>
        <v>170</v>
      </c>
      <c r="AI103" s="207">
        <f t="shared" si="190"/>
        <v>1143.6075000000001</v>
      </c>
      <c r="AJ103" s="207">
        <f t="shared" si="191"/>
        <v>506.39249999999993</v>
      </c>
      <c r="AK103" s="207">
        <f t="shared" si="192"/>
        <v>726.39249999999993</v>
      </c>
      <c r="AL103" s="1009">
        <f t="shared" si="210"/>
        <v>916.18642947690341</v>
      </c>
      <c r="AM103" s="748">
        <f t="shared" si="211"/>
        <v>122.15819059692046</v>
      </c>
      <c r="AN103" s="748">
        <f t="shared" si="212"/>
        <v>635.00464978667151</v>
      </c>
      <c r="AO103" s="748">
        <f t="shared" si="213"/>
        <v>281.18177969023196</v>
      </c>
      <c r="AP103" s="1014">
        <f>AK103/((1+$B$4)^($Z103-1))</f>
        <v>403.33997028715243</v>
      </c>
      <c r="AQ103" s="208">
        <f>AQ102+AL103</f>
        <v>5876.9026342508314</v>
      </c>
      <c r="AR103" s="207">
        <f t="shared" si="215"/>
        <v>2666.045235076986</v>
      </c>
      <c r="AS103" s="207">
        <f t="shared" si="215"/>
        <v>6167.134486128024</v>
      </c>
      <c r="AT103" s="207">
        <f t="shared" si="215"/>
        <v>-290.23185187719372</v>
      </c>
      <c r="AU103" s="209">
        <f t="shared" si="215"/>
        <v>2375.8133831997925</v>
      </c>
      <c r="AX103" s="206">
        <f t="shared" si="246"/>
        <v>16</v>
      </c>
      <c r="AY103" s="215">
        <f>'Energy NPV'!$D28</f>
        <v>30</v>
      </c>
      <c r="AZ103" s="207">
        <f>'Energy margins'!$E$12</f>
        <v>55</v>
      </c>
      <c r="BA103" s="207">
        <f t="shared" si="193"/>
        <v>1650</v>
      </c>
      <c r="BB103" s="207">
        <f>'Margins summary'!$Q$14</f>
        <v>220</v>
      </c>
      <c r="BC103" s="207">
        <f t="shared" si="194"/>
        <v>1870</v>
      </c>
      <c r="BD103" s="207"/>
      <c r="BE103" s="898">
        <f>'Energy NPV'!U28</f>
        <v>592.40499999999997</v>
      </c>
      <c r="BF103" s="207">
        <f>'Energy margins'!$J$67</f>
        <v>170</v>
      </c>
      <c r="BG103" s="207">
        <f t="shared" si="195"/>
        <v>381.20249999999999</v>
      </c>
      <c r="BH103" s="207">
        <f t="shared" si="196"/>
        <v>1268.7975000000001</v>
      </c>
      <c r="BI103" s="207">
        <f t="shared" si="197"/>
        <v>1488.7975000000001</v>
      </c>
      <c r="BJ103" s="1009">
        <f t="shared" si="216"/>
        <v>916.18642947690341</v>
      </c>
      <c r="BK103" s="748">
        <f t="shared" si="217"/>
        <v>122.15819059692046</v>
      </c>
      <c r="BL103" s="748">
        <f t="shared" si="218"/>
        <v>211.66821659555714</v>
      </c>
      <c r="BM103" s="748">
        <f t="shared" si="219"/>
        <v>704.51821288134636</v>
      </c>
      <c r="BN103" s="1014">
        <f t="shared" si="220"/>
        <v>826.67640347826682</v>
      </c>
      <c r="BO103" s="208">
        <f t="shared" si="221"/>
        <v>5876.9026342508314</v>
      </c>
      <c r="BP103" s="207">
        <f t="shared" si="222"/>
        <v>2666.045235076986</v>
      </c>
      <c r="BQ103" s="207">
        <f t="shared" si="223"/>
        <v>2055.7114953760083</v>
      </c>
      <c r="BR103" s="207">
        <f t="shared" si="224"/>
        <v>3821.1911388748226</v>
      </c>
      <c r="BS103" s="209">
        <f t="shared" si="225"/>
        <v>6487.2363739518096</v>
      </c>
      <c r="BV103" s="206">
        <f t="shared" si="247"/>
        <v>16</v>
      </c>
      <c r="BW103" s="215">
        <f>'Energy NPV'!$D28</f>
        <v>30</v>
      </c>
      <c r="BX103" s="207">
        <f>'Energy margins'!$E$12</f>
        <v>55</v>
      </c>
      <c r="BY103" s="207">
        <f t="shared" si="248"/>
        <v>1650</v>
      </c>
      <c r="BZ103" s="207">
        <f>'Margins summary'!$Q$14</f>
        <v>220</v>
      </c>
      <c r="CA103" s="207">
        <f t="shared" si="226"/>
        <v>1870</v>
      </c>
      <c r="CB103" s="207"/>
      <c r="CC103" s="898">
        <f>'Energy NPV'!U28</f>
        <v>592.40499999999997</v>
      </c>
      <c r="CD103" s="207">
        <f>'Energy margins'!$J$67</f>
        <v>170</v>
      </c>
      <c r="CE103" s="207">
        <f t="shared" si="198"/>
        <v>1524.81</v>
      </c>
      <c r="CF103" s="207">
        <f t="shared" si="199"/>
        <v>125.19000000000005</v>
      </c>
      <c r="CG103" s="207">
        <f t="shared" si="200"/>
        <v>345.19000000000005</v>
      </c>
      <c r="CH103" s="1009">
        <f t="shared" si="227"/>
        <v>916.18642947690341</v>
      </c>
      <c r="CI103" s="748">
        <f t="shared" si="228"/>
        <v>122.15819059692046</v>
      </c>
      <c r="CJ103" s="748">
        <f t="shared" si="229"/>
        <v>846.67286638222856</v>
      </c>
      <c r="CK103" s="748">
        <f t="shared" si="230"/>
        <v>69.513563094674907</v>
      </c>
      <c r="CL103" s="1014">
        <f>CG103/((1+$B$4)^($BV103-1))</f>
        <v>191.67175369159537</v>
      </c>
      <c r="CM103" s="208">
        <f t="shared" si="249"/>
        <v>5876.9026342508314</v>
      </c>
      <c r="CN103" s="207">
        <f t="shared" si="232"/>
        <v>2666.045235076986</v>
      </c>
      <c r="CO103" s="207">
        <f t="shared" si="232"/>
        <v>8222.8459815040333</v>
      </c>
      <c r="CP103" s="207">
        <f t="shared" si="232"/>
        <v>-2345.9433472532023</v>
      </c>
      <c r="CQ103" s="209">
        <f t="shared" si="232"/>
        <v>320.10188782378418</v>
      </c>
      <c r="CT103" s="206">
        <f t="shared" si="250"/>
        <v>16</v>
      </c>
      <c r="CU103" s="215">
        <f>'Energy NPV'!$D28</f>
        <v>30</v>
      </c>
      <c r="CV103" s="207">
        <f>'Energy margins'!$E$12</f>
        <v>55</v>
      </c>
      <c r="CW103" s="207">
        <f t="shared" si="201"/>
        <v>1650</v>
      </c>
      <c r="CX103" s="207">
        <f>'Margins summary'!$Q$14</f>
        <v>220</v>
      </c>
      <c r="CY103" s="207">
        <f t="shared" si="233"/>
        <v>1870</v>
      </c>
      <c r="CZ103" s="207"/>
      <c r="DA103" s="898">
        <f>'Energy NPV'!U28</f>
        <v>592.40499999999997</v>
      </c>
      <c r="DB103" s="207">
        <f>'Energy margins'!$J$67</f>
        <v>170</v>
      </c>
      <c r="DC103" s="207">
        <f t="shared" si="202"/>
        <v>0</v>
      </c>
      <c r="DD103" s="207">
        <f t="shared" si="203"/>
        <v>1650</v>
      </c>
      <c r="DE103" s="207">
        <f t="shared" si="204"/>
        <v>1870</v>
      </c>
      <c r="DF103" s="1009">
        <f t="shared" si="234"/>
        <v>916.18642947690341</v>
      </c>
      <c r="DG103" s="748">
        <f t="shared" si="235"/>
        <v>122.15819059692046</v>
      </c>
      <c r="DH103" s="748">
        <f t="shared" si="236"/>
        <v>0</v>
      </c>
      <c r="DI103" s="748">
        <f t="shared" si="237"/>
        <v>916.18642947690341</v>
      </c>
      <c r="DJ103" s="1014">
        <f>DE103/((1+$B$4)^($CT103-1))</f>
        <v>1038.344620073824</v>
      </c>
      <c r="DK103" s="208">
        <f t="shared" si="251"/>
        <v>5876.9026342508314</v>
      </c>
      <c r="DL103" s="207">
        <f t="shared" si="239"/>
        <v>2666.045235076986</v>
      </c>
      <c r="DM103" s="207">
        <f t="shared" si="239"/>
        <v>0</v>
      </c>
      <c r="DN103" s="207">
        <f t="shared" si="239"/>
        <v>5876.9026342508314</v>
      </c>
      <c r="DO103" s="209">
        <f t="shared" si="239"/>
        <v>8542.9478693278161</v>
      </c>
    </row>
    <row r="109" spans="2:175" x14ac:dyDescent="0.3">
      <c r="B109" s="211" t="s">
        <v>95</v>
      </c>
      <c r="C109" s="750" t="s">
        <v>427</v>
      </c>
      <c r="D109" s="269" t="s">
        <v>418</v>
      </c>
      <c r="E109" s="887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Y109" s="102"/>
      <c r="Z109" s="211" t="s">
        <v>95</v>
      </c>
      <c r="AA109" s="211" t="s">
        <v>340</v>
      </c>
      <c r="AB109" s="887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95</v>
      </c>
      <c r="AY109" s="211" t="s">
        <v>442</v>
      </c>
      <c r="AZ109" s="887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95</v>
      </c>
      <c r="BW109" s="211" t="s">
        <v>342</v>
      </c>
      <c r="BX109" s="887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95</v>
      </c>
      <c r="CU109" s="211" t="s">
        <v>343</v>
      </c>
      <c r="CV109" s="891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  <c r="DZ109" s="102"/>
      <c r="EA109" s="102"/>
      <c r="EB109" s="102"/>
      <c r="EC109" s="102"/>
      <c r="ED109" s="102"/>
      <c r="EE109" s="102"/>
      <c r="EF109" s="102"/>
      <c r="EG109" s="102"/>
      <c r="EH109" s="102"/>
      <c r="EI109" s="102"/>
      <c r="EJ109" s="102"/>
      <c r="FI109" s="102"/>
      <c r="FJ109" s="102"/>
      <c r="FK109" s="102"/>
      <c r="FL109" s="102"/>
      <c r="FM109" s="102"/>
      <c r="FN109" s="102"/>
      <c r="FO109" s="102"/>
      <c r="FP109" s="102"/>
      <c r="FQ109" s="102"/>
      <c r="FR109" s="102"/>
      <c r="FS109" s="102"/>
    </row>
    <row r="110" spans="2:175" x14ac:dyDescent="0.3">
      <c r="B110" s="203"/>
      <c r="C110" s="148"/>
      <c r="D110" s="148"/>
      <c r="E110" s="970"/>
      <c r="F110" s="970"/>
      <c r="G110" s="970"/>
      <c r="H110" s="148"/>
      <c r="I110" s="910"/>
      <c r="J110" s="970"/>
      <c r="K110" s="970"/>
      <c r="L110" s="148"/>
      <c r="M110" s="148"/>
      <c r="N110" s="971" t="s">
        <v>279</v>
      </c>
      <c r="O110" s="972"/>
      <c r="P110" s="972"/>
      <c r="Q110" s="972"/>
      <c r="R110" s="973"/>
      <c r="S110" s="971" t="s">
        <v>280</v>
      </c>
      <c r="T110" s="972"/>
      <c r="U110" s="972"/>
      <c r="V110" s="972"/>
      <c r="W110" s="973"/>
      <c r="Z110" s="203"/>
      <c r="AA110" s="148"/>
      <c r="AB110" s="148"/>
      <c r="AC110" s="970"/>
      <c r="AD110" s="970"/>
      <c r="AE110" s="970"/>
      <c r="AF110" s="148"/>
      <c r="AG110" s="910"/>
      <c r="AH110" s="970"/>
      <c r="AI110" s="970"/>
      <c r="AJ110" s="148"/>
      <c r="AK110" s="148"/>
      <c r="AL110" s="971" t="s">
        <v>279</v>
      </c>
      <c r="AM110" s="972"/>
      <c r="AN110" s="972"/>
      <c r="AO110" s="972"/>
      <c r="AP110" s="973"/>
      <c r="AQ110" s="971" t="s">
        <v>280</v>
      </c>
      <c r="AR110" s="972"/>
      <c r="AS110" s="972"/>
      <c r="AT110" s="972"/>
      <c r="AU110" s="973"/>
      <c r="AX110" s="203"/>
      <c r="AY110" s="148"/>
      <c r="AZ110" s="148"/>
      <c r="BA110" s="970"/>
      <c r="BB110" s="970"/>
      <c r="BC110" s="970"/>
      <c r="BD110" s="148"/>
      <c r="BE110" s="910"/>
      <c r="BF110" s="970"/>
      <c r="BG110" s="970"/>
      <c r="BH110" s="148"/>
      <c r="BI110" s="148"/>
      <c r="BJ110" s="971" t="s">
        <v>279</v>
      </c>
      <c r="BK110" s="972"/>
      <c r="BL110" s="972"/>
      <c r="BM110" s="972"/>
      <c r="BN110" s="973"/>
      <c r="BO110" s="971" t="s">
        <v>280</v>
      </c>
      <c r="BP110" s="972"/>
      <c r="BQ110" s="972"/>
      <c r="BR110" s="972"/>
      <c r="BS110" s="973"/>
      <c r="BV110" s="203"/>
      <c r="BW110" s="148"/>
      <c r="BX110" s="148"/>
      <c r="BY110" s="970"/>
      <c r="BZ110" s="970"/>
      <c r="CA110" s="970"/>
      <c r="CB110" s="148"/>
      <c r="CC110" s="910"/>
      <c r="CD110" s="970"/>
      <c r="CE110" s="970"/>
      <c r="CF110" s="148"/>
      <c r="CG110" s="148"/>
      <c r="CH110" s="971" t="s">
        <v>279</v>
      </c>
      <c r="CI110" s="972"/>
      <c r="CJ110" s="972"/>
      <c r="CK110" s="972"/>
      <c r="CL110" s="973"/>
      <c r="CM110" s="971" t="s">
        <v>280</v>
      </c>
      <c r="CN110" s="972"/>
      <c r="CO110" s="972"/>
      <c r="CP110" s="972"/>
      <c r="CQ110" s="973"/>
      <c r="CT110" s="203"/>
      <c r="CU110" s="148"/>
      <c r="CV110" s="148"/>
      <c r="CW110" s="970"/>
      <c r="CX110" s="970"/>
      <c r="CY110" s="970"/>
      <c r="CZ110" s="148"/>
      <c r="DA110" s="910"/>
      <c r="DB110" s="970"/>
      <c r="DC110" s="970"/>
      <c r="DD110" s="148"/>
      <c r="DE110" s="148"/>
      <c r="DF110" s="971" t="s">
        <v>279</v>
      </c>
      <c r="DG110" s="972"/>
      <c r="DH110" s="972"/>
      <c r="DI110" s="972"/>
      <c r="DJ110" s="973"/>
      <c r="DK110" s="971" t="s">
        <v>280</v>
      </c>
      <c r="DL110" s="972"/>
      <c r="DM110" s="972"/>
      <c r="DN110" s="972"/>
      <c r="DO110" s="973"/>
    </row>
    <row r="111" spans="2:175" ht="51" x14ac:dyDescent="0.3">
      <c r="B111" s="204" t="s">
        <v>281</v>
      </c>
      <c r="C111" s="205" t="s">
        <v>307</v>
      </c>
      <c r="D111" s="205" t="s">
        <v>308</v>
      </c>
      <c r="E111" s="171" t="s">
        <v>283</v>
      </c>
      <c r="F111" s="171" t="s">
        <v>10</v>
      </c>
      <c r="G111" s="171" t="s">
        <v>284</v>
      </c>
      <c r="H111" s="205" t="s">
        <v>305</v>
      </c>
      <c r="I111" s="914" t="str">
        <f>'Energy NPV'!U37</f>
        <v>Total Recurring Costs</v>
      </c>
      <c r="J111" s="205" t="s">
        <v>309</v>
      </c>
      <c r="K111" s="171" t="s">
        <v>287</v>
      </c>
      <c r="L111" s="171" t="s">
        <v>288</v>
      </c>
      <c r="M111" s="171" t="s">
        <v>289</v>
      </c>
      <c r="N111" s="195" t="s">
        <v>290</v>
      </c>
      <c r="O111" s="171" t="s">
        <v>291</v>
      </c>
      <c r="P111" s="171" t="s">
        <v>292</v>
      </c>
      <c r="Q111" s="171" t="s">
        <v>293</v>
      </c>
      <c r="R111" s="198" t="s">
        <v>294</v>
      </c>
      <c r="S111" s="195" t="s">
        <v>295</v>
      </c>
      <c r="T111" s="171" t="s">
        <v>296</v>
      </c>
      <c r="U111" s="171" t="s">
        <v>297</v>
      </c>
      <c r="V111" s="171" t="s">
        <v>298</v>
      </c>
      <c r="W111" s="198" t="s">
        <v>299</v>
      </c>
      <c r="Z111" s="204" t="s">
        <v>281</v>
      </c>
      <c r="AA111" s="205" t="s">
        <v>307</v>
      </c>
      <c r="AB111" s="205" t="s">
        <v>308</v>
      </c>
      <c r="AC111" s="171" t="s">
        <v>283</v>
      </c>
      <c r="AD111" s="171" t="s">
        <v>10</v>
      </c>
      <c r="AE111" s="171" t="s">
        <v>284</v>
      </c>
      <c r="AF111" s="205" t="s">
        <v>305</v>
      </c>
      <c r="AG111" s="914" t="str">
        <f>'Energy NPV'!U37</f>
        <v>Total Recurring Costs</v>
      </c>
      <c r="AH111" s="205" t="s">
        <v>309</v>
      </c>
      <c r="AI111" s="171" t="s">
        <v>287</v>
      </c>
      <c r="AJ111" s="171" t="s">
        <v>288</v>
      </c>
      <c r="AK111" s="171" t="s">
        <v>289</v>
      </c>
      <c r="AL111" s="195" t="s">
        <v>290</v>
      </c>
      <c r="AM111" s="171" t="s">
        <v>291</v>
      </c>
      <c r="AN111" s="171" t="s">
        <v>292</v>
      </c>
      <c r="AO111" s="171" t="s">
        <v>293</v>
      </c>
      <c r="AP111" s="198" t="s">
        <v>294</v>
      </c>
      <c r="AQ111" s="195" t="s">
        <v>295</v>
      </c>
      <c r="AR111" s="171" t="s">
        <v>296</v>
      </c>
      <c r="AS111" s="171" t="s">
        <v>297</v>
      </c>
      <c r="AT111" s="171" t="s">
        <v>298</v>
      </c>
      <c r="AU111" s="198" t="s">
        <v>299</v>
      </c>
      <c r="AX111" s="204" t="s">
        <v>281</v>
      </c>
      <c r="AY111" s="205" t="s">
        <v>307</v>
      </c>
      <c r="AZ111" s="205" t="s">
        <v>308</v>
      </c>
      <c r="BA111" s="171" t="s">
        <v>283</v>
      </c>
      <c r="BB111" s="171" t="s">
        <v>10</v>
      </c>
      <c r="BC111" s="171" t="s">
        <v>284</v>
      </c>
      <c r="BD111" s="205" t="s">
        <v>305</v>
      </c>
      <c r="BE111" s="914" t="str">
        <f>'Energy NPV'!U37</f>
        <v>Total Recurring Costs</v>
      </c>
      <c r="BF111" s="205" t="s">
        <v>309</v>
      </c>
      <c r="BG111" s="171" t="s">
        <v>287</v>
      </c>
      <c r="BH111" s="171" t="s">
        <v>288</v>
      </c>
      <c r="BI111" s="171" t="s">
        <v>289</v>
      </c>
      <c r="BJ111" s="195" t="s">
        <v>290</v>
      </c>
      <c r="BK111" s="171" t="s">
        <v>291</v>
      </c>
      <c r="BL111" s="171" t="s">
        <v>292</v>
      </c>
      <c r="BM111" s="171" t="s">
        <v>293</v>
      </c>
      <c r="BN111" s="198" t="s">
        <v>294</v>
      </c>
      <c r="BO111" s="195" t="s">
        <v>295</v>
      </c>
      <c r="BP111" s="171" t="s">
        <v>296</v>
      </c>
      <c r="BQ111" s="171" t="s">
        <v>297</v>
      </c>
      <c r="BR111" s="171" t="s">
        <v>298</v>
      </c>
      <c r="BS111" s="198" t="s">
        <v>299</v>
      </c>
      <c r="BV111" s="204" t="s">
        <v>281</v>
      </c>
      <c r="BW111" s="205" t="s">
        <v>307</v>
      </c>
      <c r="BX111" s="205" t="s">
        <v>308</v>
      </c>
      <c r="BY111" s="171" t="s">
        <v>283</v>
      </c>
      <c r="BZ111" s="171" t="s">
        <v>10</v>
      </c>
      <c r="CA111" s="171" t="s">
        <v>284</v>
      </c>
      <c r="CB111" s="205" t="s">
        <v>305</v>
      </c>
      <c r="CC111" s="914" t="str">
        <f>'Energy NPV'!U37</f>
        <v>Total Recurring Costs</v>
      </c>
      <c r="CD111" s="205" t="s">
        <v>309</v>
      </c>
      <c r="CE111" s="171" t="s">
        <v>287</v>
      </c>
      <c r="CF111" s="171" t="s">
        <v>288</v>
      </c>
      <c r="CG111" s="171" t="s">
        <v>289</v>
      </c>
      <c r="CH111" s="195" t="s">
        <v>290</v>
      </c>
      <c r="CI111" s="171" t="s">
        <v>291</v>
      </c>
      <c r="CJ111" s="171" t="s">
        <v>292</v>
      </c>
      <c r="CK111" s="171" t="s">
        <v>293</v>
      </c>
      <c r="CL111" s="198" t="s">
        <v>294</v>
      </c>
      <c r="CM111" s="195" t="s">
        <v>295</v>
      </c>
      <c r="CN111" s="171" t="s">
        <v>296</v>
      </c>
      <c r="CO111" s="171" t="s">
        <v>297</v>
      </c>
      <c r="CP111" s="171" t="s">
        <v>298</v>
      </c>
      <c r="CQ111" s="198" t="s">
        <v>299</v>
      </c>
      <c r="CT111" s="204" t="s">
        <v>281</v>
      </c>
      <c r="CU111" s="205" t="s">
        <v>307</v>
      </c>
      <c r="CV111" s="205" t="s">
        <v>308</v>
      </c>
      <c r="CW111" s="171" t="s">
        <v>283</v>
      </c>
      <c r="CX111" s="171" t="s">
        <v>10</v>
      </c>
      <c r="CY111" s="171" t="s">
        <v>284</v>
      </c>
      <c r="CZ111" s="205" t="s">
        <v>305</v>
      </c>
      <c r="DA111" s="914" t="str">
        <f>'Energy NPV'!U37</f>
        <v>Total Recurring Costs</v>
      </c>
      <c r="DB111" s="205" t="s">
        <v>309</v>
      </c>
      <c r="DC111" s="171" t="s">
        <v>287</v>
      </c>
      <c r="DD111" s="171" t="s">
        <v>288</v>
      </c>
      <c r="DE111" s="171" t="s">
        <v>289</v>
      </c>
      <c r="DF111" s="195" t="s">
        <v>290</v>
      </c>
      <c r="DG111" s="171" t="s">
        <v>291</v>
      </c>
      <c r="DH111" s="171" t="s">
        <v>292</v>
      </c>
      <c r="DI111" s="171" t="s">
        <v>293</v>
      </c>
      <c r="DJ111" s="198" t="s">
        <v>294</v>
      </c>
      <c r="DK111" s="195" t="s">
        <v>295</v>
      </c>
      <c r="DL111" s="171" t="s">
        <v>296</v>
      </c>
      <c r="DM111" s="171" t="s">
        <v>297</v>
      </c>
      <c r="DN111" s="171" t="s">
        <v>298</v>
      </c>
      <c r="DO111" s="198" t="s">
        <v>299</v>
      </c>
    </row>
    <row r="112" spans="2:175" x14ac:dyDescent="0.3">
      <c r="B112" s="173"/>
      <c r="C112" s="226" t="s">
        <v>356</v>
      </c>
      <c r="D112" s="226" t="s">
        <v>476</v>
      </c>
      <c r="E112" s="201" t="s">
        <v>474</v>
      </c>
      <c r="F112" s="201" t="s">
        <v>474</v>
      </c>
      <c r="G112" s="201" t="s">
        <v>474</v>
      </c>
      <c r="H112" s="201" t="s">
        <v>474</v>
      </c>
      <c r="I112" s="948" t="str">
        <f>'Energy NPV'!U38</f>
        <v>(£ ha-1)</v>
      </c>
      <c r="J112" s="201" t="s">
        <v>474</v>
      </c>
      <c r="K112" s="201" t="s">
        <v>474</v>
      </c>
      <c r="L112" s="201" t="s">
        <v>474</v>
      </c>
      <c r="M112" s="202" t="s">
        <v>474</v>
      </c>
      <c r="N112" s="201" t="s">
        <v>474</v>
      </c>
      <c r="O112" s="201" t="s">
        <v>474</v>
      </c>
      <c r="P112" s="201" t="s">
        <v>474</v>
      </c>
      <c r="Q112" s="201" t="s">
        <v>474</v>
      </c>
      <c r="R112" s="202" t="s">
        <v>474</v>
      </c>
      <c r="S112" s="201" t="s">
        <v>474</v>
      </c>
      <c r="T112" s="201" t="s">
        <v>474</v>
      </c>
      <c r="U112" s="201" t="s">
        <v>474</v>
      </c>
      <c r="V112" s="201" t="s">
        <v>474</v>
      </c>
      <c r="W112" s="202" t="s">
        <v>474</v>
      </c>
      <c r="Z112" s="173"/>
      <c r="AA112" s="226" t="s">
        <v>356</v>
      </c>
      <c r="AB112" s="226" t="s">
        <v>476</v>
      </c>
      <c r="AC112" s="201" t="s">
        <v>474</v>
      </c>
      <c r="AD112" s="201" t="s">
        <v>474</v>
      </c>
      <c r="AE112" s="201" t="s">
        <v>474</v>
      </c>
      <c r="AF112" s="201" t="s">
        <v>474</v>
      </c>
      <c r="AG112" s="948" t="str">
        <f>'Energy NPV'!U38</f>
        <v>(£ ha-1)</v>
      </c>
      <c r="AH112" s="201" t="s">
        <v>474</v>
      </c>
      <c r="AI112" s="201" t="s">
        <v>474</v>
      </c>
      <c r="AJ112" s="201" t="s">
        <v>474</v>
      </c>
      <c r="AK112" s="202" t="s">
        <v>474</v>
      </c>
      <c r="AL112" s="201" t="s">
        <v>474</v>
      </c>
      <c r="AM112" s="201" t="s">
        <v>474</v>
      </c>
      <c r="AN112" s="201" t="s">
        <v>474</v>
      </c>
      <c r="AO112" s="201" t="s">
        <v>474</v>
      </c>
      <c r="AP112" s="202" t="s">
        <v>474</v>
      </c>
      <c r="AQ112" s="201" t="s">
        <v>474</v>
      </c>
      <c r="AR112" s="201" t="s">
        <v>474</v>
      </c>
      <c r="AS112" s="201" t="s">
        <v>474</v>
      </c>
      <c r="AT112" s="201" t="s">
        <v>474</v>
      </c>
      <c r="AU112" s="202" t="s">
        <v>474</v>
      </c>
      <c r="AX112" s="173"/>
      <c r="AY112" s="226" t="s">
        <v>356</v>
      </c>
      <c r="AZ112" s="226" t="s">
        <v>476</v>
      </c>
      <c r="BA112" s="201" t="s">
        <v>474</v>
      </c>
      <c r="BB112" s="201" t="s">
        <v>474</v>
      </c>
      <c r="BC112" s="201" t="s">
        <v>474</v>
      </c>
      <c r="BD112" s="201" t="s">
        <v>474</v>
      </c>
      <c r="BE112" s="948" t="str">
        <f>'Energy NPV'!U38</f>
        <v>(£ ha-1)</v>
      </c>
      <c r="BF112" s="201" t="s">
        <v>474</v>
      </c>
      <c r="BG112" s="201" t="s">
        <v>474</v>
      </c>
      <c r="BH112" s="201" t="s">
        <v>474</v>
      </c>
      <c r="BI112" s="202" t="s">
        <v>474</v>
      </c>
      <c r="BJ112" s="201" t="s">
        <v>474</v>
      </c>
      <c r="BK112" s="201" t="s">
        <v>474</v>
      </c>
      <c r="BL112" s="201" t="s">
        <v>474</v>
      </c>
      <c r="BM112" s="201" t="s">
        <v>474</v>
      </c>
      <c r="BN112" s="202" t="s">
        <v>474</v>
      </c>
      <c r="BO112" s="201" t="s">
        <v>474</v>
      </c>
      <c r="BP112" s="201" t="s">
        <v>474</v>
      </c>
      <c r="BQ112" s="201" t="s">
        <v>474</v>
      </c>
      <c r="BR112" s="201" t="s">
        <v>474</v>
      </c>
      <c r="BS112" s="202" t="s">
        <v>474</v>
      </c>
      <c r="BV112" s="173"/>
      <c r="BW112" s="226" t="s">
        <v>356</v>
      </c>
      <c r="BX112" s="226" t="s">
        <v>476</v>
      </c>
      <c r="BY112" s="201" t="s">
        <v>474</v>
      </c>
      <c r="BZ112" s="201" t="s">
        <v>474</v>
      </c>
      <c r="CA112" s="201" t="s">
        <v>474</v>
      </c>
      <c r="CB112" s="201" t="s">
        <v>474</v>
      </c>
      <c r="CC112" s="948" t="str">
        <f>'Energy NPV'!U38</f>
        <v>(£ ha-1)</v>
      </c>
      <c r="CD112" s="201" t="s">
        <v>474</v>
      </c>
      <c r="CE112" s="201" t="s">
        <v>474</v>
      </c>
      <c r="CF112" s="201" t="s">
        <v>474</v>
      </c>
      <c r="CG112" s="202" t="s">
        <v>474</v>
      </c>
      <c r="CH112" s="201" t="s">
        <v>474</v>
      </c>
      <c r="CI112" s="201" t="s">
        <v>474</v>
      </c>
      <c r="CJ112" s="201" t="s">
        <v>474</v>
      </c>
      <c r="CK112" s="201" t="s">
        <v>474</v>
      </c>
      <c r="CL112" s="202" t="s">
        <v>474</v>
      </c>
      <c r="CM112" s="201" t="s">
        <v>474</v>
      </c>
      <c r="CN112" s="201" t="s">
        <v>474</v>
      </c>
      <c r="CO112" s="201" t="s">
        <v>474</v>
      </c>
      <c r="CP112" s="201" t="s">
        <v>474</v>
      </c>
      <c r="CQ112" s="202" t="s">
        <v>474</v>
      </c>
      <c r="CT112" s="173"/>
      <c r="CU112" s="226" t="s">
        <v>356</v>
      </c>
      <c r="CV112" s="226" t="s">
        <v>476</v>
      </c>
      <c r="CW112" s="201" t="s">
        <v>474</v>
      </c>
      <c r="CX112" s="201" t="s">
        <v>474</v>
      </c>
      <c r="CY112" s="201" t="s">
        <v>474</v>
      </c>
      <c r="CZ112" s="201" t="s">
        <v>474</v>
      </c>
      <c r="DA112" s="948" t="str">
        <f>'Energy NPV'!U38</f>
        <v>(£ ha-1)</v>
      </c>
      <c r="DB112" s="201" t="s">
        <v>474</v>
      </c>
      <c r="DC112" s="201" t="s">
        <v>474</v>
      </c>
      <c r="DD112" s="201" t="s">
        <v>474</v>
      </c>
      <c r="DE112" s="202" t="s">
        <v>474</v>
      </c>
      <c r="DF112" s="201" t="s">
        <v>474</v>
      </c>
      <c r="DG112" s="201" t="s">
        <v>474</v>
      </c>
      <c r="DH112" s="201" t="s">
        <v>474</v>
      </c>
      <c r="DI112" s="201" t="s">
        <v>474</v>
      </c>
      <c r="DJ112" s="202" t="s">
        <v>474</v>
      </c>
      <c r="DK112" s="201" t="s">
        <v>474</v>
      </c>
      <c r="DL112" s="201" t="s">
        <v>474</v>
      </c>
      <c r="DM112" s="201" t="s">
        <v>474</v>
      </c>
      <c r="DN112" s="201" t="s">
        <v>474</v>
      </c>
      <c r="DO112" s="202" t="s">
        <v>474</v>
      </c>
    </row>
    <row r="113" spans="2:119" x14ac:dyDescent="0.3">
      <c r="B113" s="204">
        <v>1</v>
      </c>
      <c r="C113" s="747">
        <f>'Energy NPV'!$D39</f>
        <v>0.6</v>
      </c>
      <c r="D113" s="197">
        <f>'Energy margins'!$L$12</f>
        <v>55</v>
      </c>
      <c r="E113" s="197">
        <f>C113*D113</f>
        <v>33</v>
      </c>
      <c r="F113" s="197">
        <f>'Margins summary'!$S$14</f>
        <v>220</v>
      </c>
      <c r="G113" s="197">
        <f>E113+F113</f>
        <v>253</v>
      </c>
      <c r="H113" s="197">
        <f>'Margins summary'!$R$20</f>
        <v>1993.8119999999999</v>
      </c>
      <c r="I113" s="897">
        <f>'Energy NPV'!U39</f>
        <v>0</v>
      </c>
      <c r="J113" s="197"/>
      <c r="K113" s="197">
        <f t="shared" ref="K113:K128" si="252">(H113+I113+J113)*$E$109</f>
        <v>1993.8119999999999</v>
      </c>
      <c r="L113" s="197">
        <f t="shared" ref="L113:L128" si="253">E113-K113</f>
        <v>-1960.8119999999999</v>
      </c>
      <c r="M113" s="197">
        <f t="shared" ref="M113:M128" si="254">G113-K113</f>
        <v>-1740.8119999999999</v>
      </c>
      <c r="N113" s="1016">
        <f>E113/((1+$B$4)^($B113-1))</f>
        <v>33</v>
      </c>
      <c r="O113" s="213">
        <f>F113/((1+$B$4)^($B113-1))</f>
        <v>220</v>
      </c>
      <c r="P113" s="213">
        <f>K113/((1+$B$4)^($B113-1))</f>
        <v>1993.8119999999999</v>
      </c>
      <c r="Q113" s="213">
        <f>L113/((1+$B$4)^($B113-1))</f>
        <v>-1960.8119999999999</v>
      </c>
      <c r="R113" s="908">
        <f>M113/((1+$B$4)^($B113-1))</f>
        <v>-1740.8119999999999</v>
      </c>
      <c r="S113" s="196">
        <f>N113</f>
        <v>33</v>
      </c>
      <c r="T113" s="197">
        <f>O113</f>
        <v>220</v>
      </c>
      <c r="U113" s="197">
        <f>P113</f>
        <v>1993.8119999999999</v>
      </c>
      <c r="V113" s="197">
        <f>Q113</f>
        <v>-1960.8119999999999</v>
      </c>
      <c r="W113" s="199">
        <f>R113</f>
        <v>-1740.8119999999999</v>
      </c>
      <c r="Z113" s="204">
        <v>1</v>
      </c>
      <c r="AA113" s="747">
        <f>'Energy NPV'!$D39</f>
        <v>0.6</v>
      </c>
      <c r="AB113" s="197">
        <f>'Energy margins'!$L$12</f>
        <v>55</v>
      </c>
      <c r="AC113" s="197">
        <f>AA113*AB113</f>
        <v>33</v>
      </c>
      <c r="AD113" s="197">
        <f>'Margins summary'!$S$14</f>
        <v>220</v>
      </c>
      <c r="AE113" s="197">
        <f>AC113+AD113</f>
        <v>253</v>
      </c>
      <c r="AF113" s="197">
        <f>'Margins summary'!$R$20</f>
        <v>1993.8119999999999</v>
      </c>
      <c r="AG113" s="897">
        <f>'Energy NPV'!U39</f>
        <v>0</v>
      </c>
      <c r="AH113" s="197"/>
      <c r="AI113" s="197">
        <f t="shared" ref="AI113:AI128" si="255">(AF113+AG113+AH113)*$AB$109</f>
        <v>2990.7179999999998</v>
      </c>
      <c r="AJ113" s="197">
        <f t="shared" ref="AJ113:AJ128" si="256">AC113-AI113</f>
        <v>-2957.7179999999998</v>
      </c>
      <c r="AK113" s="197">
        <f t="shared" ref="AK113:AK128" si="257">AE113-AI113</f>
        <v>-2737.7179999999998</v>
      </c>
      <c r="AL113" s="1016">
        <f>AC113/((1+$B$4)^($Z113-1))</f>
        <v>33</v>
      </c>
      <c r="AM113" s="213">
        <f>AD113/((1+$B$4)^($Z113-1))</f>
        <v>220</v>
      </c>
      <c r="AN113" s="213">
        <f>AI113/((1+$B$4)^($Z113-1))</f>
        <v>2990.7179999999998</v>
      </c>
      <c r="AO113" s="213">
        <f>AJ113/((1+$B$4)^($Z113-1))</f>
        <v>-2957.7179999999998</v>
      </c>
      <c r="AP113" s="908">
        <f>AK113/((1+$B$4)^($Z113-1))</f>
        <v>-2737.7179999999998</v>
      </c>
      <c r="AQ113" s="196">
        <f>AL113</f>
        <v>33</v>
      </c>
      <c r="AR113" s="197">
        <f>AM113</f>
        <v>220</v>
      </c>
      <c r="AS113" s="197">
        <f>AN113</f>
        <v>2990.7179999999998</v>
      </c>
      <c r="AT113" s="197">
        <f>AO113</f>
        <v>-2957.7179999999998</v>
      </c>
      <c r="AU113" s="199">
        <f>AP113</f>
        <v>-2737.7179999999998</v>
      </c>
      <c r="AX113" s="204">
        <v>1</v>
      </c>
      <c r="AY113" s="747">
        <f>'Energy NPV'!$D39</f>
        <v>0.6</v>
      </c>
      <c r="AZ113" s="197">
        <f>'Energy margins'!$L$12</f>
        <v>55</v>
      </c>
      <c r="BA113" s="197">
        <f>AY113*AZ113</f>
        <v>33</v>
      </c>
      <c r="BB113" s="197">
        <f>'Margins summary'!$S$14</f>
        <v>220</v>
      </c>
      <c r="BC113" s="197">
        <f>BA113+BB113</f>
        <v>253</v>
      </c>
      <c r="BD113" s="197">
        <f>'Margins summary'!$R$20</f>
        <v>1993.8119999999999</v>
      </c>
      <c r="BE113" s="897">
        <f>'Energy NPV'!U39</f>
        <v>0</v>
      </c>
      <c r="BF113" s="197"/>
      <c r="BG113" s="197">
        <f t="shared" ref="BG113:BG128" si="258">(BD113+BE113+BF113)*$AZ$109</f>
        <v>996.90599999999995</v>
      </c>
      <c r="BH113" s="197">
        <f t="shared" ref="BH113:BH128" si="259">BA113-BG113</f>
        <v>-963.90599999999995</v>
      </c>
      <c r="BI113" s="197">
        <f t="shared" ref="BI113:BI128" si="260">BC113-BG113</f>
        <v>-743.90599999999995</v>
      </c>
      <c r="BJ113" s="1016">
        <f>BA113/((1+$B$4)^($AX113-1))</f>
        <v>33</v>
      </c>
      <c r="BK113" s="213">
        <f>BB113/((1+$B$4)^($AX113-1))</f>
        <v>220</v>
      </c>
      <c r="BL113" s="213">
        <f>BG113/((1+$B$4)^($AX113-1))</f>
        <v>996.90599999999995</v>
      </c>
      <c r="BM113" s="213">
        <f>BH113/((1+$B$4)^($AX113-1))</f>
        <v>-963.90599999999995</v>
      </c>
      <c r="BN113" s="908">
        <f>BI113/((1+$B$4)^($AX113-1))</f>
        <v>-743.90599999999995</v>
      </c>
      <c r="BO113" s="196">
        <f>BJ113</f>
        <v>33</v>
      </c>
      <c r="BP113" s="197">
        <f>BK113</f>
        <v>220</v>
      </c>
      <c r="BQ113" s="197">
        <f>BL113</f>
        <v>996.90599999999995</v>
      </c>
      <c r="BR113" s="197">
        <f>BM113</f>
        <v>-963.90599999999995</v>
      </c>
      <c r="BS113" s="199">
        <f>BN113</f>
        <v>-743.90599999999995</v>
      </c>
      <c r="BV113" s="204">
        <v>1</v>
      </c>
      <c r="BW113" s="747">
        <f>'Energy NPV'!$D39</f>
        <v>0.6</v>
      </c>
      <c r="BX113" s="197">
        <f>'Energy margins'!$L$12</f>
        <v>55</v>
      </c>
      <c r="BY113" s="197">
        <f>BW113*BX113</f>
        <v>33</v>
      </c>
      <c r="BZ113" s="197">
        <f>'Margins summary'!$S$14</f>
        <v>220</v>
      </c>
      <c r="CA113" s="197">
        <f>BY113+BZ113</f>
        <v>253</v>
      </c>
      <c r="CB113" s="197">
        <f>'Margins summary'!$R$20</f>
        <v>1993.8119999999999</v>
      </c>
      <c r="CC113" s="897">
        <f>'Energy NPV'!U39</f>
        <v>0</v>
      </c>
      <c r="CD113" s="197"/>
      <c r="CE113" s="197">
        <f t="shared" ref="CE113:CE128" si="261">(CB113+CC113+CD113)*$BX$109</f>
        <v>3987.6239999999998</v>
      </c>
      <c r="CF113" s="197">
        <f t="shared" ref="CF113:CF128" si="262">BY113-CE113</f>
        <v>-3954.6239999999998</v>
      </c>
      <c r="CG113" s="197">
        <f t="shared" ref="CG113:CG128" si="263">CA113-CE113</f>
        <v>-3734.6239999999998</v>
      </c>
      <c r="CH113" s="1016">
        <f>BY113/((1+$B$4)^($BV113-1))</f>
        <v>33</v>
      </c>
      <c r="CI113" s="213">
        <f>BZ113/((1+$B$4)^($BV113-1))</f>
        <v>220</v>
      </c>
      <c r="CJ113" s="213">
        <f>CE113/((1+$B$4)^($BV113-1))</f>
        <v>3987.6239999999998</v>
      </c>
      <c r="CK113" s="213">
        <f>CF113/((1+$B$4)^($BV113-1))</f>
        <v>-3954.6239999999998</v>
      </c>
      <c r="CL113" s="908">
        <f>CG113/((1+$B$4)^($BV113-1))</f>
        <v>-3734.6239999999998</v>
      </c>
      <c r="CM113" s="196">
        <f>CH113</f>
        <v>33</v>
      </c>
      <c r="CN113" s="197">
        <f>CI113</f>
        <v>220</v>
      </c>
      <c r="CO113" s="197">
        <f>CJ113</f>
        <v>3987.6239999999998</v>
      </c>
      <c r="CP113" s="197">
        <f>CK113</f>
        <v>-3954.6239999999998</v>
      </c>
      <c r="CQ113" s="199">
        <f>CL113</f>
        <v>-3734.6239999999998</v>
      </c>
      <c r="CT113" s="204">
        <v>1</v>
      </c>
      <c r="CU113" s="747">
        <f>'Energy NPV'!$D39</f>
        <v>0.6</v>
      </c>
      <c r="CV113" s="197">
        <f>'Energy margins'!$L$12</f>
        <v>55</v>
      </c>
      <c r="CW113" s="197">
        <f t="shared" ref="CW113:CW128" si="264">CU113*CV113</f>
        <v>33</v>
      </c>
      <c r="CX113" s="197">
        <f>'Margins summary'!$S$14</f>
        <v>220</v>
      </c>
      <c r="CY113" s="197">
        <f>CW113+CX113</f>
        <v>253</v>
      </c>
      <c r="CZ113" s="197">
        <f>'Margins summary'!$R$20</f>
        <v>1993.8119999999999</v>
      </c>
      <c r="DA113" s="897">
        <f>'Energy NPV'!U39</f>
        <v>0</v>
      </c>
      <c r="DB113" s="197"/>
      <c r="DC113" s="197">
        <f t="shared" ref="DC113:DC128" si="265">(CZ113+DA113+DB113)*$CV$109</f>
        <v>0</v>
      </c>
      <c r="DD113" s="197">
        <f t="shared" ref="DD113:DD128" si="266">CW113-DC113</f>
        <v>33</v>
      </c>
      <c r="DE113" s="197">
        <f t="shared" ref="DE113:DE128" si="267">CY113-DC113</f>
        <v>253</v>
      </c>
      <c r="DF113" s="1016">
        <f>CW113/((1+$B$4)^($CT113-1))</f>
        <v>33</v>
      </c>
      <c r="DG113" s="213">
        <f>CX113/((1+$B$4)^($CT113-1))</f>
        <v>220</v>
      </c>
      <c r="DH113" s="213">
        <f>DC113/((1+$B$4)^($CT113-1))</f>
        <v>0</v>
      </c>
      <c r="DI113" s="213">
        <f>DD113/((1+$B$4)^($CT113-1))</f>
        <v>33</v>
      </c>
      <c r="DJ113" s="908">
        <f>DE113/((1+$B$4)^($CT113-1))</f>
        <v>253</v>
      </c>
      <c r="DK113" s="196">
        <f>DF113</f>
        <v>33</v>
      </c>
      <c r="DL113" s="197">
        <f>DG113</f>
        <v>220</v>
      </c>
      <c r="DM113" s="197">
        <f>DH113</f>
        <v>0</v>
      </c>
      <c r="DN113" s="197">
        <f>DI113</f>
        <v>33</v>
      </c>
      <c r="DO113" s="199">
        <f>DJ113</f>
        <v>253</v>
      </c>
    </row>
    <row r="114" spans="2:119" x14ac:dyDescent="0.3">
      <c r="B114" s="204">
        <v>2</v>
      </c>
      <c r="C114" s="747">
        <f>'Energy NPV'!$D40</f>
        <v>3.9250000000000007</v>
      </c>
      <c r="D114" s="197">
        <f>'Energy margins'!$L$12</f>
        <v>55</v>
      </c>
      <c r="E114" s="197">
        <f>C114*D114</f>
        <v>215.87500000000003</v>
      </c>
      <c r="F114" s="197">
        <f>'Margins summary'!$S$14</f>
        <v>220</v>
      </c>
      <c r="G114" s="197">
        <f t="shared" ref="G114:G128" si="268">E114+F114</f>
        <v>435.875</v>
      </c>
      <c r="H114" s="197"/>
      <c r="I114" s="897">
        <f>'Energy NPV'!U40</f>
        <v>334.11199999999997</v>
      </c>
      <c r="J114" s="197"/>
      <c r="K114" s="197">
        <f t="shared" si="252"/>
        <v>334.11199999999997</v>
      </c>
      <c r="L114" s="197">
        <f t="shared" si="253"/>
        <v>-118.23699999999994</v>
      </c>
      <c r="M114" s="197">
        <f t="shared" si="254"/>
        <v>101.76300000000003</v>
      </c>
      <c r="N114" s="196">
        <f t="shared" ref="N114:O128" si="269">E114/((1+$B$4)^($B114-1))</f>
        <v>207.57211538461542</v>
      </c>
      <c r="O114" s="197">
        <f t="shared" si="269"/>
        <v>211.53846153846152</v>
      </c>
      <c r="P114" s="197">
        <f t="shared" ref="P114:R128" si="270">K114/((1+$B$4)^($B114-1))</f>
        <v>321.26153846153841</v>
      </c>
      <c r="Q114" s="197">
        <f t="shared" si="270"/>
        <v>-113.68942307692301</v>
      </c>
      <c r="R114" s="199">
        <f t="shared" si="270"/>
        <v>97.849038461538484</v>
      </c>
      <c r="S114" s="196">
        <f>S113+N114</f>
        <v>240.57211538461542</v>
      </c>
      <c r="T114" s="197">
        <f t="shared" ref="T114:T128" si="271">T113+O114</f>
        <v>431.53846153846155</v>
      </c>
      <c r="U114" s="197">
        <f t="shared" ref="U114:U128" si="272">U113+P114</f>
        <v>2315.0735384615382</v>
      </c>
      <c r="V114" s="197">
        <f t="shared" ref="V114:V128" si="273">V113+Q114</f>
        <v>-2074.5014230769229</v>
      </c>
      <c r="W114" s="199">
        <f t="shared" ref="W114:W128" si="274">W113+R114</f>
        <v>-1642.9629615384615</v>
      </c>
      <c r="Z114" s="204">
        <v>2</v>
      </c>
      <c r="AA114" s="747">
        <f>'Energy NPV'!$D40</f>
        <v>3.9250000000000007</v>
      </c>
      <c r="AB114" s="197">
        <f>'Energy margins'!$L$12</f>
        <v>55</v>
      </c>
      <c r="AC114" s="197">
        <f>AA114*AB114</f>
        <v>215.87500000000003</v>
      </c>
      <c r="AD114" s="197">
        <f>'Margins summary'!$S$14</f>
        <v>220</v>
      </c>
      <c r="AE114" s="197">
        <f t="shared" ref="AE114:AE128" si="275">AC114+AD114</f>
        <v>435.875</v>
      </c>
      <c r="AF114" s="197"/>
      <c r="AG114" s="897">
        <f>'Energy NPV'!U40</f>
        <v>334.11199999999997</v>
      </c>
      <c r="AH114" s="197"/>
      <c r="AI114" s="197">
        <f t="shared" si="255"/>
        <v>501.16799999999995</v>
      </c>
      <c r="AJ114" s="197">
        <f t="shared" si="256"/>
        <v>-285.29299999999989</v>
      </c>
      <c r="AK114" s="197">
        <f t="shared" si="257"/>
        <v>-65.29299999999995</v>
      </c>
      <c r="AL114" s="196">
        <f t="shared" ref="AL114:AL128" si="276">AC114/((1+$B$4)^($Z114-1))</f>
        <v>207.57211538461542</v>
      </c>
      <c r="AM114" s="197">
        <f t="shared" ref="AM114:AM128" si="277">AD114/((1+$B$4)^($Z114-1))</f>
        <v>211.53846153846152</v>
      </c>
      <c r="AN114" s="197">
        <f t="shared" ref="AN114:AN128" si="278">AI114/((1+$B$4)^($Z114-1))</f>
        <v>481.89230769230761</v>
      </c>
      <c r="AO114" s="197">
        <f t="shared" ref="AO114:AO128" si="279">AJ114/((1+$B$4)^($Z114-1))</f>
        <v>-274.3201923076922</v>
      </c>
      <c r="AP114" s="199">
        <f t="shared" ref="AP114:AP128" si="280">AK114/((1+$B$4)^($Z114-1))</f>
        <v>-62.78173076923072</v>
      </c>
      <c r="AQ114" s="196">
        <f>AQ113+AL114</f>
        <v>240.57211538461542</v>
      </c>
      <c r="AR114" s="197">
        <f t="shared" ref="AR114:AR128" si="281">AR113+AM114</f>
        <v>431.53846153846155</v>
      </c>
      <c r="AS114" s="197">
        <f t="shared" ref="AS114:AS128" si="282">AS113+AN114</f>
        <v>3472.6103076923073</v>
      </c>
      <c r="AT114" s="197">
        <f t="shared" ref="AT114:AT128" si="283">AT113+AO114</f>
        <v>-3232.038192307692</v>
      </c>
      <c r="AU114" s="199">
        <f t="shared" ref="AU114:AU128" si="284">AU113+AP114</f>
        <v>-2800.4997307692306</v>
      </c>
      <c r="AX114" s="204">
        <v>2</v>
      </c>
      <c r="AY114" s="747">
        <f>'Energy NPV'!$D40</f>
        <v>3.9250000000000007</v>
      </c>
      <c r="AZ114" s="197">
        <f>'Energy margins'!$L$12</f>
        <v>55</v>
      </c>
      <c r="BA114" s="197">
        <f>AY114*AZ114</f>
        <v>215.87500000000003</v>
      </c>
      <c r="BB114" s="197">
        <f>'Margins summary'!$S$14</f>
        <v>220</v>
      </c>
      <c r="BC114" s="197">
        <f t="shared" ref="BC114:BC128" si="285">BA114+BB114</f>
        <v>435.875</v>
      </c>
      <c r="BD114" s="197"/>
      <c r="BE114" s="897">
        <f>'Energy NPV'!U40</f>
        <v>334.11199999999997</v>
      </c>
      <c r="BF114" s="197"/>
      <c r="BG114" s="197">
        <f t="shared" si="258"/>
        <v>167.05599999999998</v>
      </c>
      <c r="BH114" s="197">
        <f t="shared" si="259"/>
        <v>48.819000000000045</v>
      </c>
      <c r="BI114" s="197">
        <f t="shared" si="260"/>
        <v>268.81900000000002</v>
      </c>
      <c r="BJ114" s="196">
        <f t="shared" ref="BJ114:BJ128" si="286">BA114/((1+$B$4)^($AX114-1))</f>
        <v>207.57211538461542</v>
      </c>
      <c r="BK114" s="197">
        <f t="shared" ref="BK114:BK128" si="287">BB114/((1+$B$4)^($AX114-1))</f>
        <v>211.53846153846152</v>
      </c>
      <c r="BL114" s="197">
        <f t="shared" ref="BL114:BL128" si="288">BG114/((1+$B$4)^($AX114-1))</f>
        <v>160.6307692307692</v>
      </c>
      <c r="BM114" s="197">
        <f t="shared" ref="BM114:BM128" si="289">BH114/((1+$B$4)^($AX114-1))</f>
        <v>46.941346153846197</v>
      </c>
      <c r="BN114" s="199">
        <f t="shared" ref="BN114:BN128" si="290">BI114/((1+$B$4)^($AX114-1))</f>
        <v>258.4798076923077</v>
      </c>
      <c r="BO114" s="196">
        <f>BO113+BJ114</f>
        <v>240.57211538461542</v>
      </c>
      <c r="BP114" s="197">
        <f t="shared" ref="BP114:BP128" si="291">BP113+BK114</f>
        <v>431.53846153846155</v>
      </c>
      <c r="BQ114" s="197">
        <f t="shared" ref="BQ114:BQ128" si="292">BQ113+BL114</f>
        <v>1157.5367692307691</v>
      </c>
      <c r="BR114" s="197">
        <f t="shared" ref="BR114:BR128" si="293">BR113+BM114</f>
        <v>-916.96465384615374</v>
      </c>
      <c r="BS114" s="199">
        <f t="shared" ref="BS114:BS128" si="294">BS113+BN114</f>
        <v>-485.42619230769225</v>
      </c>
      <c r="BV114" s="204">
        <v>2</v>
      </c>
      <c r="BW114" s="747">
        <f>'Energy NPV'!$D40</f>
        <v>3.9250000000000007</v>
      </c>
      <c r="BX114" s="197">
        <f>'Energy margins'!$L$12</f>
        <v>55</v>
      </c>
      <c r="BY114" s="197">
        <f>BW114*BX114</f>
        <v>215.87500000000003</v>
      </c>
      <c r="BZ114" s="197">
        <f>'Margins summary'!$S$14</f>
        <v>220</v>
      </c>
      <c r="CA114" s="197">
        <f t="shared" ref="CA114:CA128" si="295">BY114+BZ114</f>
        <v>435.875</v>
      </c>
      <c r="CB114" s="197"/>
      <c r="CC114" s="897">
        <f>'Energy NPV'!U40</f>
        <v>334.11199999999997</v>
      </c>
      <c r="CD114" s="197"/>
      <c r="CE114" s="197">
        <f t="shared" si="261"/>
        <v>668.22399999999993</v>
      </c>
      <c r="CF114" s="197">
        <f t="shared" si="262"/>
        <v>-452.34899999999993</v>
      </c>
      <c r="CG114" s="197">
        <f t="shared" si="263"/>
        <v>-232.34899999999993</v>
      </c>
      <c r="CH114" s="196">
        <f t="shared" ref="CH114:CH128" si="296">BY114/((1+$B$4)^($BV114-1))</f>
        <v>207.57211538461542</v>
      </c>
      <c r="CI114" s="197">
        <f t="shared" ref="CI114:CI128" si="297">BZ114/((1+$B$4)^($BV114-1))</f>
        <v>211.53846153846152</v>
      </c>
      <c r="CJ114" s="197">
        <f t="shared" ref="CJ114:CJ128" si="298">CE114/((1+$B$4)^($BV114-1))</f>
        <v>642.52307692307681</v>
      </c>
      <c r="CK114" s="197">
        <f t="shared" ref="CK114:CK128" si="299">CF114/((1+$B$4)^($BV114-1))</f>
        <v>-434.95096153846146</v>
      </c>
      <c r="CL114" s="199">
        <f t="shared" ref="CL114:CL127" si="300">CG114/((1+$B$4)^($BV114-1))</f>
        <v>-223.41249999999994</v>
      </c>
      <c r="CM114" s="196">
        <f>CM113+CH114</f>
        <v>240.57211538461542</v>
      </c>
      <c r="CN114" s="197">
        <f t="shared" ref="CN114:CN128" si="301">CN113+CI114</f>
        <v>431.53846153846155</v>
      </c>
      <c r="CO114" s="197">
        <f t="shared" ref="CO114:CO128" si="302">CO113+CJ114</f>
        <v>4630.1470769230764</v>
      </c>
      <c r="CP114" s="197">
        <f t="shared" ref="CP114:CP128" si="303">CP113+CK114</f>
        <v>-4389.5749615384611</v>
      </c>
      <c r="CQ114" s="199">
        <f t="shared" ref="CQ114:CQ128" si="304">CQ113+CL114</f>
        <v>-3958.0364999999997</v>
      </c>
      <c r="CT114" s="204">
        <v>2</v>
      </c>
      <c r="CU114" s="747">
        <f>'Energy NPV'!$D40</f>
        <v>3.9250000000000007</v>
      </c>
      <c r="CV114" s="197">
        <f>'Energy margins'!$L$12</f>
        <v>55</v>
      </c>
      <c r="CW114" s="197">
        <f t="shared" si="264"/>
        <v>215.87500000000003</v>
      </c>
      <c r="CX114" s="197">
        <f>'Margins summary'!$S$14</f>
        <v>220</v>
      </c>
      <c r="CY114" s="197">
        <f t="shared" ref="CY114:CY128" si="305">CW114+CX114</f>
        <v>435.875</v>
      </c>
      <c r="CZ114" s="197"/>
      <c r="DA114" s="897">
        <f>'Energy NPV'!U40</f>
        <v>334.11199999999997</v>
      </c>
      <c r="DB114" s="197"/>
      <c r="DC114" s="197">
        <f t="shared" si="265"/>
        <v>0</v>
      </c>
      <c r="DD114" s="197">
        <f t="shared" si="266"/>
        <v>215.87500000000003</v>
      </c>
      <c r="DE114" s="197">
        <f t="shared" si="267"/>
        <v>435.875</v>
      </c>
      <c r="DF114" s="196">
        <f t="shared" ref="DF114:DF128" si="306">CW114/((1+$B$4)^($CT114-1))</f>
        <v>207.57211538461542</v>
      </c>
      <c r="DG114" s="197">
        <f t="shared" ref="DG114:DG128" si="307">CX114/((1+$B$4)^($CT114-1))</f>
        <v>211.53846153846152</v>
      </c>
      <c r="DH114" s="197">
        <f t="shared" ref="DH114:DH128" si="308">DC114/((1+$B$4)^($CT114-1))</f>
        <v>0</v>
      </c>
      <c r="DI114" s="197">
        <f t="shared" ref="DI114:DI128" si="309">DD114/((1+$B$4)^($CT114-1))</f>
        <v>207.57211538461542</v>
      </c>
      <c r="DJ114" s="199">
        <f t="shared" ref="DJ114:DJ127" si="310">DE114/((1+$B$4)^($CT114-1))</f>
        <v>419.11057692307691</v>
      </c>
      <c r="DK114" s="196">
        <f>DK113+DF114</f>
        <v>240.57211538461542</v>
      </c>
      <c r="DL114" s="197">
        <f t="shared" ref="DL114:DL128" si="311">DL113+DG114</f>
        <v>431.53846153846155</v>
      </c>
      <c r="DM114" s="197">
        <f t="shared" ref="DM114:DM128" si="312">DM113+DH114</f>
        <v>0</v>
      </c>
      <c r="DN114" s="197">
        <f t="shared" ref="DN114:DN128" si="313">DN113+DI114</f>
        <v>240.57211538461542</v>
      </c>
      <c r="DO114" s="199">
        <f t="shared" ref="DO114:DO128" si="314">DO113+DJ114</f>
        <v>672.11057692307691</v>
      </c>
    </row>
    <row r="115" spans="2:119" x14ac:dyDescent="0.3">
      <c r="B115" s="204">
        <f t="shared" ref="B115:B128" si="315">B114+1</f>
        <v>3</v>
      </c>
      <c r="C115" s="747">
        <f>'Energy NPV'!$D41</f>
        <v>11.099999999999998</v>
      </c>
      <c r="D115" s="197">
        <f>'Energy margins'!$L$12</f>
        <v>55</v>
      </c>
      <c r="E115" s="197">
        <f t="shared" ref="E115:E128" si="316">C115*D115</f>
        <v>610.49999999999989</v>
      </c>
      <c r="F115" s="197">
        <f>'Margins summary'!$S$14</f>
        <v>220</v>
      </c>
      <c r="G115" s="197">
        <f t="shared" si="268"/>
        <v>830.49999999999989</v>
      </c>
      <c r="H115" s="197"/>
      <c r="I115" s="897">
        <f>'Energy NPV'!U41</f>
        <v>334.11199999999997</v>
      </c>
      <c r="J115" s="197"/>
      <c r="K115" s="197">
        <f t="shared" si="252"/>
        <v>334.11199999999997</v>
      </c>
      <c r="L115" s="197">
        <f t="shared" si="253"/>
        <v>276.38799999999992</v>
      </c>
      <c r="M115" s="197">
        <f t="shared" si="254"/>
        <v>496.38799999999992</v>
      </c>
      <c r="N115" s="196">
        <f t="shared" si="269"/>
        <v>564.44156804733711</v>
      </c>
      <c r="O115" s="197">
        <f t="shared" si="269"/>
        <v>203.40236686390531</v>
      </c>
      <c r="P115" s="197">
        <f t="shared" si="270"/>
        <v>308.90532544378692</v>
      </c>
      <c r="Q115" s="197">
        <f t="shared" si="270"/>
        <v>255.53624260355019</v>
      </c>
      <c r="R115" s="199">
        <f t="shared" si="270"/>
        <v>458.93860946745548</v>
      </c>
      <c r="S115" s="196">
        <f t="shared" ref="S115:S128" si="317">S114+N115</f>
        <v>805.01368343195259</v>
      </c>
      <c r="T115" s="197">
        <f t="shared" si="271"/>
        <v>634.94082840236683</v>
      </c>
      <c r="U115" s="197">
        <f t="shared" si="272"/>
        <v>2623.9788639053249</v>
      </c>
      <c r="V115" s="197">
        <f t="shared" si="273"/>
        <v>-1818.9651804733728</v>
      </c>
      <c r="W115" s="199">
        <f t="shared" si="274"/>
        <v>-1184.024352071006</v>
      </c>
      <c r="Z115" s="204">
        <f t="shared" ref="Z115:Z128" si="318">Z114+1</f>
        <v>3</v>
      </c>
      <c r="AA115" s="747">
        <f>'Energy NPV'!$D41</f>
        <v>11.099999999999998</v>
      </c>
      <c r="AB115" s="197">
        <f>'Energy margins'!$L$12</f>
        <v>55</v>
      </c>
      <c r="AC115" s="197">
        <f t="shared" ref="AC115:AC128" si="319">AA115*AB115</f>
        <v>610.49999999999989</v>
      </c>
      <c r="AD115" s="197">
        <f>'Margins summary'!$S$14</f>
        <v>220</v>
      </c>
      <c r="AE115" s="197">
        <f t="shared" si="275"/>
        <v>830.49999999999989</v>
      </c>
      <c r="AF115" s="197"/>
      <c r="AG115" s="897">
        <f>'Energy NPV'!U41</f>
        <v>334.11199999999997</v>
      </c>
      <c r="AH115" s="197"/>
      <c r="AI115" s="197">
        <f t="shared" si="255"/>
        <v>501.16799999999995</v>
      </c>
      <c r="AJ115" s="197">
        <f t="shared" si="256"/>
        <v>109.33199999999994</v>
      </c>
      <c r="AK115" s="197">
        <f t="shared" si="257"/>
        <v>329.33199999999994</v>
      </c>
      <c r="AL115" s="196">
        <f t="shared" si="276"/>
        <v>564.44156804733711</v>
      </c>
      <c r="AM115" s="197">
        <f t="shared" si="277"/>
        <v>203.40236686390531</v>
      </c>
      <c r="AN115" s="197">
        <f t="shared" si="278"/>
        <v>463.35798816568035</v>
      </c>
      <c r="AO115" s="197">
        <f t="shared" si="279"/>
        <v>101.08357988165673</v>
      </c>
      <c r="AP115" s="199">
        <f t="shared" si="280"/>
        <v>304.48594674556205</v>
      </c>
      <c r="AQ115" s="196">
        <f t="shared" ref="AQ115:AQ127" si="320">AQ114+AL115</f>
        <v>805.01368343195259</v>
      </c>
      <c r="AR115" s="197">
        <f t="shared" si="281"/>
        <v>634.94082840236683</v>
      </c>
      <c r="AS115" s="197">
        <f t="shared" si="282"/>
        <v>3935.9682958579879</v>
      </c>
      <c r="AT115" s="197">
        <f t="shared" si="283"/>
        <v>-3130.9546124260355</v>
      </c>
      <c r="AU115" s="199">
        <f t="shared" si="284"/>
        <v>-2496.0137840236684</v>
      </c>
      <c r="AX115" s="204">
        <f t="shared" ref="AX115:AX128" si="321">AX114+1</f>
        <v>3</v>
      </c>
      <c r="AY115" s="747">
        <f>'Energy NPV'!$D41</f>
        <v>11.099999999999998</v>
      </c>
      <c r="AZ115" s="197">
        <f>'Energy margins'!$L$12</f>
        <v>55</v>
      </c>
      <c r="BA115" s="197">
        <f t="shared" ref="BA115:BA128" si="322">AY115*AZ115</f>
        <v>610.49999999999989</v>
      </c>
      <c r="BB115" s="197">
        <f>'Margins summary'!$S$14</f>
        <v>220</v>
      </c>
      <c r="BC115" s="197">
        <f t="shared" si="285"/>
        <v>830.49999999999989</v>
      </c>
      <c r="BD115" s="197"/>
      <c r="BE115" s="897">
        <f>'Energy NPV'!U41</f>
        <v>334.11199999999997</v>
      </c>
      <c r="BF115" s="197"/>
      <c r="BG115" s="197">
        <f t="shared" si="258"/>
        <v>167.05599999999998</v>
      </c>
      <c r="BH115" s="197">
        <f t="shared" si="259"/>
        <v>443.4439999999999</v>
      </c>
      <c r="BI115" s="197">
        <f t="shared" si="260"/>
        <v>663.44399999999996</v>
      </c>
      <c r="BJ115" s="196">
        <f t="shared" si="286"/>
        <v>564.44156804733711</v>
      </c>
      <c r="BK115" s="197">
        <f t="shared" si="287"/>
        <v>203.40236686390531</v>
      </c>
      <c r="BL115" s="197">
        <f t="shared" si="288"/>
        <v>154.45266272189346</v>
      </c>
      <c r="BM115" s="197">
        <f t="shared" si="289"/>
        <v>409.98890532544362</v>
      </c>
      <c r="BN115" s="199">
        <f t="shared" si="290"/>
        <v>613.39127218934902</v>
      </c>
      <c r="BO115" s="196">
        <f t="shared" ref="BO115:BO128" si="323">BO114+BJ115</f>
        <v>805.01368343195259</v>
      </c>
      <c r="BP115" s="197">
        <f t="shared" si="291"/>
        <v>634.94082840236683</v>
      </c>
      <c r="BQ115" s="197">
        <f t="shared" si="292"/>
        <v>1311.9894319526625</v>
      </c>
      <c r="BR115" s="197">
        <f t="shared" si="293"/>
        <v>-506.97574852071011</v>
      </c>
      <c r="BS115" s="199">
        <f t="shared" si="294"/>
        <v>127.96507988165678</v>
      </c>
      <c r="BV115" s="204">
        <f t="shared" ref="BV115:BV128" si="324">BV114+1</f>
        <v>3</v>
      </c>
      <c r="BW115" s="747">
        <f>'Energy NPV'!$D41</f>
        <v>11.099999999999998</v>
      </c>
      <c r="BX115" s="197">
        <f>'Energy margins'!$L$12</f>
        <v>55</v>
      </c>
      <c r="BY115" s="197">
        <f t="shared" ref="BY115:BY128" si="325">BW115*BX115</f>
        <v>610.49999999999989</v>
      </c>
      <c r="BZ115" s="197">
        <f>'Margins summary'!$S$14</f>
        <v>220</v>
      </c>
      <c r="CA115" s="197">
        <f t="shared" si="295"/>
        <v>830.49999999999989</v>
      </c>
      <c r="CB115" s="197"/>
      <c r="CC115" s="897">
        <f>'Energy NPV'!U41</f>
        <v>334.11199999999997</v>
      </c>
      <c r="CD115" s="197"/>
      <c r="CE115" s="197">
        <f t="shared" si="261"/>
        <v>668.22399999999993</v>
      </c>
      <c r="CF115" s="197">
        <f t="shared" si="262"/>
        <v>-57.724000000000046</v>
      </c>
      <c r="CG115" s="197">
        <f t="shared" si="263"/>
        <v>162.27599999999995</v>
      </c>
      <c r="CH115" s="196">
        <f t="shared" si="296"/>
        <v>564.44156804733711</v>
      </c>
      <c r="CI115" s="197">
        <f t="shared" si="297"/>
        <v>203.40236686390531</v>
      </c>
      <c r="CJ115" s="197">
        <f t="shared" si="298"/>
        <v>617.81065088757384</v>
      </c>
      <c r="CK115" s="197">
        <f t="shared" si="299"/>
        <v>-53.369082840236722</v>
      </c>
      <c r="CL115" s="199">
        <f t="shared" si="300"/>
        <v>150.03328402366859</v>
      </c>
      <c r="CM115" s="196">
        <f t="shared" ref="CM115:CM128" si="326">CM114+CH115</f>
        <v>805.01368343195259</v>
      </c>
      <c r="CN115" s="197">
        <f t="shared" si="301"/>
        <v>634.94082840236683</v>
      </c>
      <c r="CO115" s="197">
        <f t="shared" si="302"/>
        <v>5247.9577278106499</v>
      </c>
      <c r="CP115" s="197">
        <f t="shared" si="303"/>
        <v>-4442.944044378698</v>
      </c>
      <c r="CQ115" s="199">
        <f t="shared" si="304"/>
        <v>-3808.0032159763309</v>
      </c>
      <c r="CT115" s="204">
        <f t="shared" ref="CT115:CT128" si="327">CT114+1</f>
        <v>3</v>
      </c>
      <c r="CU115" s="747">
        <f>'Energy NPV'!$D41</f>
        <v>11.099999999999998</v>
      </c>
      <c r="CV115" s="197">
        <f>'Energy margins'!$L$12</f>
        <v>55</v>
      </c>
      <c r="CW115" s="197">
        <f t="shared" si="264"/>
        <v>610.49999999999989</v>
      </c>
      <c r="CX115" s="197">
        <f>'Margins summary'!$S$14</f>
        <v>220</v>
      </c>
      <c r="CY115" s="197">
        <f t="shared" si="305"/>
        <v>830.49999999999989</v>
      </c>
      <c r="CZ115" s="197"/>
      <c r="DA115" s="897">
        <f>'Energy NPV'!U41</f>
        <v>334.11199999999997</v>
      </c>
      <c r="DB115" s="197"/>
      <c r="DC115" s="197">
        <f t="shared" si="265"/>
        <v>0</v>
      </c>
      <c r="DD115" s="197">
        <f t="shared" si="266"/>
        <v>610.49999999999989</v>
      </c>
      <c r="DE115" s="197">
        <f t="shared" si="267"/>
        <v>830.49999999999989</v>
      </c>
      <c r="DF115" s="196">
        <f t="shared" si="306"/>
        <v>564.44156804733711</v>
      </c>
      <c r="DG115" s="197">
        <f t="shared" si="307"/>
        <v>203.40236686390531</v>
      </c>
      <c r="DH115" s="197">
        <f t="shared" si="308"/>
        <v>0</v>
      </c>
      <c r="DI115" s="197">
        <f t="shared" si="309"/>
        <v>564.44156804733711</v>
      </c>
      <c r="DJ115" s="199">
        <f t="shared" si="310"/>
        <v>767.8439349112424</v>
      </c>
      <c r="DK115" s="196">
        <f t="shared" ref="DK115:DK128" si="328">DK114+DF115</f>
        <v>805.01368343195259</v>
      </c>
      <c r="DL115" s="197">
        <f t="shared" si="311"/>
        <v>634.94082840236683</v>
      </c>
      <c r="DM115" s="197">
        <f t="shared" si="312"/>
        <v>0</v>
      </c>
      <c r="DN115" s="197">
        <f t="shared" si="313"/>
        <v>805.01368343195259</v>
      </c>
      <c r="DO115" s="199">
        <f t="shared" si="314"/>
        <v>1439.9545118343194</v>
      </c>
    </row>
    <row r="116" spans="2:119" x14ac:dyDescent="0.3">
      <c r="B116" s="204">
        <f t="shared" si="315"/>
        <v>4</v>
      </c>
      <c r="C116" s="747">
        <f>'Energy NPV'!$D42</f>
        <v>12.54</v>
      </c>
      <c r="D116" s="197">
        <f>'Energy margins'!$L$12</f>
        <v>55</v>
      </c>
      <c r="E116" s="197">
        <f t="shared" si="316"/>
        <v>689.69999999999993</v>
      </c>
      <c r="F116" s="197">
        <f>'Margins summary'!$S$14</f>
        <v>220</v>
      </c>
      <c r="G116" s="197">
        <f t="shared" si="268"/>
        <v>909.69999999999993</v>
      </c>
      <c r="H116" s="197"/>
      <c r="I116" s="897">
        <f>'Energy NPV'!U42</f>
        <v>233.81200000000001</v>
      </c>
      <c r="J116" s="197"/>
      <c r="K116" s="197">
        <f t="shared" si="252"/>
        <v>233.81200000000001</v>
      </c>
      <c r="L116" s="197">
        <f t="shared" si="253"/>
        <v>455.88799999999992</v>
      </c>
      <c r="M116" s="197">
        <f t="shared" si="254"/>
        <v>675.88799999999992</v>
      </c>
      <c r="N116" s="196">
        <f t="shared" si="269"/>
        <v>613.14078857532991</v>
      </c>
      <c r="O116" s="197">
        <f t="shared" si="269"/>
        <v>195.57919890760127</v>
      </c>
      <c r="P116" s="197">
        <f t="shared" si="270"/>
        <v>207.85801661356393</v>
      </c>
      <c r="Q116" s="197">
        <f t="shared" si="270"/>
        <v>405.28277196176595</v>
      </c>
      <c r="R116" s="199">
        <f t="shared" si="270"/>
        <v>600.86197086936716</v>
      </c>
      <c r="S116" s="196">
        <f t="shared" si="317"/>
        <v>1418.1544720072825</v>
      </c>
      <c r="T116" s="197">
        <f t="shared" si="271"/>
        <v>830.5200273099681</v>
      </c>
      <c r="U116" s="197">
        <f t="shared" si="272"/>
        <v>2831.8368805188888</v>
      </c>
      <c r="V116" s="197">
        <f t="shared" si="273"/>
        <v>-1413.6824085116068</v>
      </c>
      <c r="W116" s="199">
        <f t="shared" si="274"/>
        <v>-583.16238120163882</v>
      </c>
      <c r="Z116" s="204">
        <f t="shared" si="318"/>
        <v>4</v>
      </c>
      <c r="AA116" s="747">
        <f>'Energy NPV'!$D42</f>
        <v>12.54</v>
      </c>
      <c r="AB116" s="197">
        <f>'Energy margins'!$L$12</f>
        <v>55</v>
      </c>
      <c r="AC116" s="197">
        <f t="shared" si="319"/>
        <v>689.69999999999993</v>
      </c>
      <c r="AD116" s="197">
        <f>'Margins summary'!$S$14</f>
        <v>220</v>
      </c>
      <c r="AE116" s="197">
        <f t="shared" si="275"/>
        <v>909.69999999999993</v>
      </c>
      <c r="AF116" s="197"/>
      <c r="AG116" s="897">
        <f>'Energy NPV'!U42</f>
        <v>233.81200000000001</v>
      </c>
      <c r="AH116" s="197"/>
      <c r="AI116" s="197">
        <f t="shared" si="255"/>
        <v>350.71800000000002</v>
      </c>
      <c r="AJ116" s="197">
        <f t="shared" si="256"/>
        <v>338.98199999999991</v>
      </c>
      <c r="AK116" s="197">
        <f t="shared" si="257"/>
        <v>558.98199999999997</v>
      </c>
      <c r="AL116" s="196">
        <f t="shared" si="276"/>
        <v>613.14078857532991</v>
      </c>
      <c r="AM116" s="197">
        <f t="shared" si="277"/>
        <v>195.57919890760127</v>
      </c>
      <c r="AN116" s="197">
        <f t="shared" si="278"/>
        <v>311.78702492034591</v>
      </c>
      <c r="AO116" s="197">
        <f t="shared" si="279"/>
        <v>301.35376365498399</v>
      </c>
      <c r="AP116" s="199">
        <f t="shared" si="280"/>
        <v>496.93296256258526</v>
      </c>
      <c r="AQ116" s="196">
        <f t="shared" si="320"/>
        <v>1418.1544720072825</v>
      </c>
      <c r="AR116" s="197">
        <f t="shared" si="281"/>
        <v>830.5200273099681</v>
      </c>
      <c r="AS116" s="197">
        <f t="shared" si="282"/>
        <v>4247.755320778334</v>
      </c>
      <c r="AT116" s="197">
        <f t="shared" si="283"/>
        <v>-2829.6008487710515</v>
      </c>
      <c r="AU116" s="199">
        <f t="shared" si="284"/>
        <v>-1999.0808214610831</v>
      </c>
      <c r="AX116" s="204">
        <f t="shared" si="321"/>
        <v>4</v>
      </c>
      <c r="AY116" s="747">
        <f>'Energy NPV'!$D42</f>
        <v>12.54</v>
      </c>
      <c r="AZ116" s="197">
        <f>'Energy margins'!$L$12</f>
        <v>55</v>
      </c>
      <c r="BA116" s="197">
        <f t="shared" si="322"/>
        <v>689.69999999999993</v>
      </c>
      <c r="BB116" s="197">
        <f>'Margins summary'!$S$14</f>
        <v>220</v>
      </c>
      <c r="BC116" s="197">
        <f t="shared" si="285"/>
        <v>909.69999999999993</v>
      </c>
      <c r="BD116" s="197"/>
      <c r="BE116" s="897">
        <f>'Energy NPV'!U42</f>
        <v>233.81200000000001</v>
      </c>
      <c r="BF116" s="197"/>
      <c r="BG116" s="197">
        <f t="shared" si="258"/>
        <v>116.90600000000001</v>
      </c>
      <c r="BH116" s="197">
        <f t="shared" si="259"/>
        <v>572.79399999999987</v>
      </c>
      <c r="BI116" s="197">
        <f t="shared" si="260"/>
        <v>792.79399999999987</v>
      </c>
      <c r="BJ116" s="196">
        <f t="shared" si="286"/>
        <v>613.14078857532991</v>
      </c>
      <c r="BK116" s="197">
        <f t="shared" si="287"/>
        <v>195.57919890760127</v>
      </c>
      <c r="BL116" s="197">
        <f t="shared" si="288"/>
        <v>103.92900830678197</v>
      </c>
      <c r="BM116" s="197">
        <f t="shared" si="289"/>
        <v>509.21178026854784</v>
      </c>
      <c r="BN116" s="199">
        <f t="shared" si="290"/>
        <v>704.79097917614911</v>
      </c>
      <c r="BO116" s="196">
        <f t="shared" si="323"/>
        <v>1418.1544720072825</v>
      </c>
      <c r="BP116" s="197">
        <f t="shared" si="291"/>
        <v>830.5200273099681</v>
      </c>
      <c r="BQ116" s="197">
        <f t="shared" si="292"/>
        <v>1415.9184402594444</v>
      </c>
      <c r="BR116" s="197">
        <f t="shared" si="293"/>
        <v>2.2360317478377283</v>
      </c>
      <c r="BS116" s="199">
        <f t="shared" si="294"/>
        <v>832.75605905780594</v>
      </c>
      <c r="BV116" s="204">
        <f t="shared" si="324"/>
        <v>4</v>
      </c>
      <c r="BW116" s="747">
        <f>'Energy NPV'!$D42</f>
        <v>12.54</v>
      </c>
      <c r="BX116" s="197">
        <f>'Energy margins'!$L$12</f>
        <v>55</v>
      </c>
      <c r="BY116" s="197">
        <f t="shared" si="325"/>
        <v>689.69999999999993</v>
      </c>
      <c r="BZ116" s="197">
        <f>'Margins summary'!$S$14</f>
        <v>220</v>
      </c>
      <c r="CA116" s="197">
        <f t="shared" si="295"/>
        <v>909.69999999999993</v>
      </c>
      <c r="CB116" s="197"/>
      <c r="CC116" s="897">
        <f>'Energy NPV'!U42</f>
        <v>233.81200000000001</v>
      </c>
      <c r="CD116" s="197"/>
      <c r="CE116" s="197">
        <f t="shared" si="261"/>
        <v>467.62400000000002</v>
      </c>
      <c r="CF116" s="197">
        <f t="shared" si="262"/>
        <v>222.07599999999991</v>
      </c>
      <c r="CG116" s="197">
        <f t="shared" si="263"/>
        <v>442.07599999999991</v>
      </c>
      <c r="CH116" s="196">
        <f t="shared" si="296"/>
        <v>613.14078857532991</v>
      </c>
      <c r="CI116" s="197">
        <f t="shared" si="297"/>
        <v>195.57919890760127</v>
      </c>
      <c r="CJ116" s="197">
        <f t="shared" si="298"/>
        <v>415.71603322712787</v>
      </c>
      <c r="CK116" s="197">
        <f t="shared" si="299"/>
        <v>197.42475534820198</v>
      </c>
      <c r="CL116" s="199">
        <f t="shared" si="300"/>
        <v>393.00395425580325</v>
      </c>
      <c r="CM116" s="196">
        <f t="shared" si="326"/>
        <v>1418.1544720072825</v>
      </c>
      <c r="CN116" s="197">
        <f t="shared" si="301"/>
        <v>830.5200273099681</v>
      </c>
      <c r="CO116" s="197">
        <f t="shared" si="302"/>
        <v>5663.6737610377777</v>
      </c>
      <c r="CP116" s="197">
        <f t="shared" si="303"/>
        <v>-4245.5192890304961</v>
      </c>
      <c r="CQ116" s="199">
        <f t="shared" si="304"/>
        <v>-3414.9992617205276</v>
      </c>
      <c r="CT116" s="204">
        <f t="shared" si="327"/>
        <v>4</v>
      </c>
      <c r="CU116" s="747">
        <f>'Energy NPV'!$D42</f>
        <v>12.54</v>
      </c>
      <c r="CV116" s="197">
        <f>'Energy margins'!$L$12</f>
        <v>55</v>
      </c>
      <c r="CW116" s="197">
        <f t="shared" si="264"/>
        <v>689.69999999999993</v>
      </c>
      <c r="CX116" s="197">
        <f>'Margins summary'!$S$14</f>
        <v>220</v>
      </c>
      <c r="CY116" s="197">
        <f t="shared" si="305"/>
        <v>909.69999999999993</v>
      </c>
      <c r="CZ116" s="197"/>
      <c r="DA116" s="897">
        <f>'Energy NPV'!U42</f>
        <v>233.81200000000001</v>
      </c>
      <c r="DB116" s="197"/>
      <c r="DC116" s="197">
        <f t="shared" si="265"/>
        <v>0</v>
      </c>
      <c r="DD116" s="197">
        <f t="shared" si="266"/>
        <v>689.69999999999993</v>
      </c>
      <c r="DE116" s="197">
        <f t="shared" si="267"/>
        <v>909.69999999999993</v>
      </c>
      <c r="DF116" s="196">
        <f t="shared" si="306"/>
        <v>613.14078857532991</v>
      </c>
      <c r="DG116" s="197">
        <f t="shared" si="307"/>
        <v>195.57919890760127</v>
      </c>
      <c r="DH116" s="197">
        <f t="shared" si="308"/>
        <v>0</v>
      </c>
      <c r="DI116" s="197">
        <f t="shared" si="309"/>
        <v>613.14078857532991</v>
      </c>
      <c r="DJ116" s="199">
        <f t="shared" si="310"/>
        <v>808.71998748293117</v>
      </c>
      <c r="DK116" s="196">
        <f t="shared" si="328"/>
        <v>1418.1544720072825</v>
      </c>
      <c r="DL116" s="197">
        <f t="shared" si="311"/>
        <v>830.5200273099681</v>
      </c>
      <c r="DM116" s="197">
        <f t="shared" si="312"/>
        <v>0</v>
      </c>
      <c r="DN116" s="197">
        <f t="shared" si="313"/>
        <v>1418.1544720072825</v>
      </c>
      <c r="DO116" s="199">
        <f t="shared" si="314"/>
        <v>2248.6744993172506</v>
      </c>
    </row>
    <row r="117" spans="2:119" x14ac:dyDescent="0.3">
      <c r="B117" s="204">
        <f t="shared" si="315"/>
        <v>5</v>
      </c>
      <c r="C117" s="747">
        <f>'Energy NPV'!$D43</f>
        <v>12.54</v>
      </c>
      <c r="D117" s="197">
        <f>'Energy margins'!$L$12</f>
        <v>55</v>
      </c>
      <c r="E117" s="197">
        <f t="shared" si="316"/>
        <v>689.69999999999993</v>
      </c>
      <c r="F117" s="197">
        <f>'Margins summary'!$S$14</f>
        <v>220</v>
      </c>
      <c r="G117" s="197">
        <f t="shared" si="268"/>
        <v>909.69999999999993</v>
      </c>
      <c r="H117" s="197"/>
      <c r="I117" s="897">
        <f>'Energy NPV'!U43</f>
        <v>233.81200000000001</v>
      </c>
      <c r="J117" s="197"/>
      <c r="K117" s="197">
        <f t="shared" si="252"/>
        <v>233.81200000000001</v>
      </c>
      <c r="L117" s="197">
        <f t="shared" si="253"/>
        <v>455.88799999999992</v>
      </c>
      <c r="M117" s="197">
        <f t="shared" si="254"/>
        <v>675.88799999999992</v>
      </c>
      <c r="N117" s="196">
        <f t="shared" si="269"/>
        <v>589.55845055320174</v>
      </c>
      <c r="O117" s="197">
        <f t="shared" si="269"/>
        <v>188.05692202653967</v>
      </c>
      <c r="P117" s="197">
        <f t="shared" si="270"/>
        <v>199.86347751304223</v>
      </c>
      <c r="Q117" s="197">
        <f t="shared" si="270"/>
        <v>389.69497304015954</v>
      </c>
      <c r="R117" s="199">
        <f t="shared" si="270"/>
        <v>577.75189506669915</v>
      </c>
      <c r="S117" s="196">
        <f t="shared" si="317"/>
        <v>2007.7129225604842</v>
      </c>
      <c r="T117" s="197">
        <f t="shared" si="271"/>
        <v>1018.5769493365078</v>
      </c>
      <c r="U117" s="197">
        <f t="shared" si="272"/>
        <v>3031.700358031931</v>
      </c>
      <c r="V117" s="197">
        <f t="shared" si="273"/>
        <v>-1023.9874354714473</v>
      </c>
      <c r="W117" s="199">
        <f t="shared" si="274"/>
        <v>-5.4104861349396742</v>
      </c>
      <c r="Z117" s="204">
        <f t="shared" si="318"/>
        <v>5</v>
      </c>
      <c r="AA117" s="747">
        <f>'Energy NPV'!$D43</f>
        <v>12.54</v>
      </c>
      <c r="AB117" s="197">
        <f>'Energy margins'!$L$12</f>
        <v>55</v>
      </c>
      <c r="AC117" s="197">
        <f t="shared" si="319"/>
        <v>689.69999999999993</v>
      </c>
      <c r="AD117" s="197">
        <f>'Margins summary'!$S$14</f>
        <v>220</v>
      </c>
      <c r="AE117" s="197">
        <f t="shared" si="275"/>
        <v>909.69999999999993</v>
      </c>
      <c r="AF117" s="197"/>
      <c r="AG117" s="897">
        <f>'Energy NPV'!U43</f>
        <v>233.81200000000001</v>
      </c>
      <c r="AH117" s="197"/>
      <c r="AI117" s="197">
        <f t="shared" si="255"/>
        <v>350.71800000000002</v>
      </c>
      <c r="AJ117" s="197">
        <f t="shared" si="256"/>
        <v>338.98199999999991</v>
      </c>
      <c r="AK117" s="197">
        <f t="shared" si="257"/>
        <v>558.98199999999997</v>
      </c>
      <c r="AL117" s="196">
        <f t="shared" si="276"/>
        <v>589.55845055320174</v>
      </c>
      <c r="AM117" s="197">
        <f t="shared" si="277"/>
        <v>188.05692202653967</v>
      </c>
      <c r="AN117" s="197">
        <f t="shared" si="278"/>
        <v>299.79521626956335</v>
      </c>
      <c r="AO117" s="197">
        <f t="shared" si="279"/>
        <v>289.76323428363838</v>
      </c>
      <c r="AP117" s="199">
        <f t="shared" si="280"/>
        <v>477.82015631017811</v>
      </c>
      <c r="AQ117" s="196">
        <f t="shared" si="320"/>
        <v>2007.7129225604842</v>
      </c>
      <c r="AR117" s="197">
        <f t="shared" si="281"/>
        <v>1018.5769493365078</v>
      </c>
      <c r="AS117" s="197">
        <f t="shared" si="282"/>
        <v>4547.5505370478977</v>
      </c>
      <c r="AT117" s="197">
        <f t="shared" si="283"/>
        <v>-2539.8376144874132</v>
      </c>
      <c r="AU117" s="199">
        <f t="shared" si="284"/>
        <v>-1521.260665150905</v>
      </c>
      <c r="AX117" s="204">
        <f t="shared" si="321"/>
        <v>5</v>
      </c>
      <c r="AY117" s="747">
        <f>'Energy NPV'!$D43</f>
        <v>12.54</v>
      </c>
      <c r="AZ117" s="197">
        <f>'Energy margins'!$L$12</f>
        <v>55</v>
      </c>
      <c r="BA117" s="197">
        <f t="shared" si="322"/>
        <v>689.69999999999993</v>
      </c>
      <c r="BB117" s="197">
        <f>'Margins summary'!$S$14</f>
        <v>220</v>
      </c>
      <c r="BC117" s="197">
        <f t="shared" si="285"/>
        <v>909.69999999999993</v>
      </c>
      <c r="BD117" s="197"/>
      <c r="BE117" s="897">
        <f>'Energy NPV'!U43</f>
        <v>233.81200000000001</v>
      </c>
      <c r="BF117" s="197"/>
      <c r="BG117" s="197">
        <f t="shared" si="258"/>
        <v>116.90600000000001</v>
      </c>
      <c r="BH117" s="197">
        <f t="shared" si="259"/>
        <v>572.79399999999987</v>
      </c>
      <c r="BI117" s="197">
        <f t="shared" si="260"/>
        <v>792.79399999999987</v>
      </c>
      <c r="BJ117" s="196">
        <f t="shared" si="286"/>
        <v>589.55845055320174</v>
      </c>
      <c r="BK117" s="197">
        <f t="shared" si="287"/>
        <v>188.05692202653967</v>
      </c>
      <c r="BL117" s="197">
        <f t="shared" si="288"/>
        <v>99.931738756521113</v>
      </c>
      <c r="BM117" s="197">
        <f t="shared" si="289"/>
        <v>489.62671179668058</v>
      </c>
      <c r="BN117" s="199">
        <f t="shared" si="290"/>
        <v>677.68363382322025</v>
      </c>
      <c r="BO117" s="196">
        <f t="shared" si="323"/>
        <v>2007.7129225604842</v>
      </c>
      <c r="BP117" s="197">
        <f t="shared" si="291"/>
        <v>1018.5769493365078</v>
      </c>
      <c r="BQ117" s="197">
        <f t="shared" si="292"/>
        <v>1515.8501790159655</v>
      </c>
      <c r="BR117" s="197">
        <f t="shared" si="293"/>
        <v>491.86274354451831</v>
      </c>
      <c r="BS117" s="199">
        <f t="shared" si="294"/>
        <v>1510.4396928810261</v>
      </c>
      <c r="BV117" s="204">
        <f t="shared" si="324"/>
        <v>5</v>
      </c>
      <c r="BW117" s="747">
        <f>'Energy NPV'!$D43</f>
        <v>12.54</v>
      </c>
      <c r="BX117" s="197">
        <f>'Energy margins'!$L$12</f>
        <v>55</v>
      </c>
      <c r="BY117" s="197">
        <f t="shared" si="325"/>
        <v>689.69999999999993</v>
      </c>
      <c r="BZ117" s="197">
        <f>'Margins summary'!$S$14</f>
        <v>220</v>
      </c>
      <c r="CA117" s="197">
        <f t="shared" si="295"/>
        <v>909.69999999999993</v>
      </c>
      <c r="CB117" s="197"/>
      <c r="CC117" s="897">
        <f>'Energy NPV'!U43</f>
        <v>233.81200000000001</v>
      </c>
      <c r="CD117" s="197"/>
      <c r="CE117" s="197">
        <f t="shared" si="261"/>
        <v>467.62400000000002</v>
      </c>
      <c r="CF117" s="197">
        <f t="shared" si="262"/>
        <v>222.07599999999991</v>
      </c>
      <c r="CG117" s="197">
        <f t="shared" si="263"/>
        <v>442.07599999999991</v>
      </c>
      <c r="CH117" s="196">
        <f t="shared" si="296"/>
        <v>589.55845055320174</v>
      </c>
      <c r="CI117" s="197">
        <f t="shared" si="297"/>
        <v>188.05692202653967</v>
      </c>
      <c r="CJ117" s="197">
        <f t="shared" si="298"/>
        <v>399.72695502608445</v>
      </c>
      <c r="CK117" s="197">
        <f t="shared" si="299"/>
        <v>189.83149552711728</v>
      </c>
      <c r="CL117" s="199">
        <f t="shared" si="300"/>
        <v>377.88841755365695</v>
      </c>
      <c r="CM117" s="196">
        <f t="shared" si="326"/>
        <v>2007.7129225604842</v>
      </c>
      <c r="CN117" s="197">
        <f t="shared" si="301"/>
        <v>1018.5769493365078</v>
      </c>
      <c r="CO117" s="197">
        <f t="shared" si="302"/>
        <v>6063.4007160638621</v>
      </c>
      <c r="CP117" s="197">
        <f t="shared" si="303"/>
        <v>-4055.687793503379</v>
      </c>
      <c r="CQ117" s="199">
        <f t="shared" si="304"/>
        <v>-3037.1108441668707</v>
      </c>
      <c r="CT117" s="204">
        <f t="shared" si="327"/>
        <v>5</v>
      </c>
      <c r="CU117" s="747">
        <f>'Energy NPV'!$D43</f>
        <v>12.54</v>
      </c>
      <c r="CV117" s="197">
        <f>'Energy margins'!$L$12</f>
        <v>55</v>
      </c>
      <c r="CW117" s="197">
        <f t="shared" si="264"/>
        <v>689.69999999999993</v>
      </c>
      <c r="CX117" s="197">
        <f>'Margins summary'!$S$14</f>
        <v>220</v>
      </c>
      <c r="CY117" s="197">
        <f t="shared" si="305"/>
        <v>909.69999999999993</v>
      </c>
      <c r="CZ117" s="197"/>
      <c r="DA117" s="897">
        <f>'Energy NPV'!U43</f>
        <v>233.81200000000001</v>
      </c>
      <c r="DB117" s="197"/>
      <c r="DC117" s="197">
        <f t="shared" si="265"/>
        <v>0</v>
      </c>
      <c r="DD117" s="197">
        <f t="shared" si="266"/>
        <v>689.69999999999993</v>
      </c>
      <c r="DE117" s="197">
        <f t="shared" si="267"/>
        <v>909.69999999999993</v>
      </c>
      <c r="DF117" s="196">
        <f t="shared" si="306"/>
        <v>589.55845055320174</v>
      </c>
      <c r="DG117" s="197">
        <f t="shared" si="307"/>
        <v>188.05692202653967</v>
      </c>
      <c r="DH117" s="197">
        <f t="shared" si="308"/>
        <v>0</v>
      </c>
      <c r="DI117" s="197">
        <f t="shared" si="309"/>
        <v>589.55845055320174</v>
      </c>
      <c r="DJ117" s="199">
        <f t="shared" si="310"/>
        <v>777.61537257974146</v>
      </c>
      <c r="DK117" s="196">
        <f t="shared" si="328"/>
        <v>2007.7129225604842</v>
      </c>
      <c r="DL117" s="197">
        <f t="shared" si="311"/>
        <v>1018.5769493365078</v>
      </c>
      <c r="DM117" s="197">
        <f t="shared" si="312"/>
        <v>0</v>
      </c>
      <c r="DN117" s="197">
        <f t="shared" si="313"/>
        <v>2007.7129225604842</v>
      </c>
      <c r="DO117" s="199">
        <f t="shared" si="314"/>
        <v>3026.2898718969918</v>
      </c>
    </row>
    <row r="118" spans="2:119" x14ac:dyDescent="0.3">
      <c r="B118" s="204">
        <f t="shared" si="315"/>
        <v>6</v>
      </c>
      <c r="C118" s="747">
        <f>'Energy NPV'!$D44</f>
        <v>12.54</v>
      </c>
      <c r="D118" s="197">
        <f>'Energy margins'!$L$12</f>
        <v>55</v>
      </c>
      <c r="E118" s="197">
        <f t="shared" si="316"/>
        <v>689.69999999999993</v>
      </c>
      <c r="F118" s="197">
        <f>'Margins summary'!$S$14</f>
        <v>220</v>
      </c>
      <c r="G118" s="197">
        <f t="shared" si="268"/>
        <v>909.69999999999993</v>
      </c>
      <c r="H118" s="197"/>
      <c r="I118" s="897">
        <f>'Energy NPV'!U44</f>
        <v>233.81200000000001</v>
      </c>
      <c r="J118" s="197"/>
      <c r="K118" s="197">
        <f t="shared" si="252"/>
        <v>233.81200000000001</v>
      </c>
      <c r="L118" s="197">
        <f t="shared" si="253"/>
        <v>455.88799999999992</v>
      </c>
      <c r="M118" s="197">
        <f t="shared" si="254"/>
        <v>675.88799999999992</v>
      </c>
      <c r="N118" s="196">
        <f t="shared" si="269"/>
        <v>566.88312553192475</v>
      </c>
      <c r="O118" s="197">
        <f t="shared" si="269"/>
        <v>180.82396348705734</v>
      </c>
      <c r="P118" s="197">
        <f t="shared" si="270"/>
        <v>192.1764206856175</v>
      </c>
      <c r="Q118" s="197">
        <f t="shared" si="270"/>
        <v>374.70670484630722</v>
      </c>
      <c r="R118" s="199">
        <f t="shared" si="270"/>
        <v>555.53066833336447</v>
      </c>
      <c r="S118" s="196">
        <f t="shared" si="317"/>
        <v>2574.5960480924091</v>
      </c>
      <c r="T118" s="197">
        <f t="shared" si="271"/>
        <v>1199.4009128235652</v>
      </c>
      <c r="U118" s="197">
        <f t="shared" si="272"/>
        <v>3223.8767787175484</v>
      </c>
      <c r="V118" s="197">
        <f t="shared" si="273"/>
        <v>-649.28073062514</v>
      </c>
      <c r="W118" s="199">
        <f t="shared" si="274"/>
        <v>550.1201821984248</v>
      </c>
      <c r="Z118" s="204">
        <f t="shared" si="318"/>
        <v>6</v>
      </c>
      <c r="AA118" s="747">
        <f>'Energy NPV'!$D44</f>
        <v>12.54</v>
      </c>
      <c r="AB118" s="197">
        <f>'Energy margins'!$L$12</f>
        <v>55</v>
      </c>
      <c r="AC118" s="197">
        <f t="shared" si="319"/>
        <v>689.69999999999993</v>
      </c>
      <c r="AD118" s="197">
        <f>'Margins summary'!$S$14</f>
        <v>220</v>
      </c>
      <c r="AE118" s="197">
        <f t="shared" si="275"/>
        <v>909.69999999999993</v>
      </c>
      <c r="AF118" s="197"/>
      <c r="AG118" s="897">
        <f>'Energy NPV'!U44</f>
        <v>233.81200000000001</v>
      </c>
      <c r="AH118" s="197"/>
      <c r="AI118" s="197">
        <f t="shared" si="255"/>
        <v>350.71800000000002</v>
      </c>
      <c r="AJ118" s="197">
        <f t="shared" si="256"/>
        <v>338.98199999999991</v>
      </c>
      <c r="AK118" s="197">
        <f t="shared" si="257"/>
        <v>558.98199999999997</v>
      </c>
      <c r="AL118" s="196">
        <f t="shared" si="276"/>
        <v>566.88312553192475</v>
      </c>
      <c r="AM118" s="197">
        <f t="shared" si="277"/>
        <v>180.82396348705734</v>
      </c>
      <c r="AN118" s="197">
        <f t="shared" si="278"/>
        <v>288.26463102842627</v>
      </c>
      <c r="AO118" s="197">
        <f t="shared" si="279"/>
        <v>278.61849450349843</v>
      </c>
      <c r="AP118" s="199">
        <f t="shared" si="280"/>
        <v>459.44245799055579</v>
      </c>
      <c r="AQ118" s="196">
        <f t="shared" si="320"/>
        <v>2574.5960480924091</v>
      </c>
      <c r="AR118" s="197">
        <f t="shared" si="281"/>
        <v>1199.4009128235652</v>
      </c>
      <c r="AS118" s="197">
        <f t="shared" si="282"/>
        <v>4835.815168076324</v>
      </c>
      <c r="AT118" s="197">
        <f t="shared" si="283"/>
        <v>-2261.2191199839149</v>
      </c>
      <c r="AU118" s="199">
        <f t="shared" si="284"/>
        <v>-1061.8182071603492</v>
      </c>
      <c r="AX118" s="204">
        <f t="shared" si="321"/>
        <v>6</v>
      </c>
      <c r="AY118" s="747">
        <f>'Energy NPV'!$D44</f>
        <v>12.54</v>
      </c>
      <c r="AZ118" s="197">
        <f>'Energy margins'!$L$12</f>
        <v>55</v>
      </c>
      <c r="BA118" s="197">
        <f t="shared" si="322"/>
        <v>689.69999999999993</v>
      </c>
      <c r="BB118" s="197">
        <f>'Margins summary'!$S$14</f>
        <v>220</v>
      </c>
      <c r="BC118" s="197">
        <f t="shared" si="285"/>
        <v>909.69999999999993</v>
      </c>
      <c r="BD118" s="197"/>
      <c r="BE118" s="897">
        <f>'Energy NPV'!U44</f>
        <v>233.81200000000001</v>
      </c>
      <c r="BF118" s="197"/>
      <c r="BG118" s="197">
        <f t="shared" si="258"/>
        <v>116.90600000000001</v>
      </c>
      <c r="BH118" s="197">
        <f t="shared" si="259"/>
        <v>572.79399999999987</v>
      </c>
      <c r="BI118" s="197">
        <f t="shared" si="260"/>
        <v>792.79399999999987</v>
      </c>
      <c r="BJ118" s="196">
        <f t="shared" si="286"/>
        <v>566.88312553192475</v>
      </c>
      <c r="BK118" s="197">
        <f t="shared" si="287"/>
        <v>180.82396348705734</v>
      </c>
      <c r="BL118" s="197">
        <f t="shared" si="288"/>
        <v>96.08821034280875</v>
      </c>
      <c r="BM118" s="197">
        <f t="shared" si="289"/>
        <v>470.7949151891159</v>
      </c>
      <c r="BN118" s="199">
        <f t="shared" si="290"/>
        <v>651.61887867617327</v>
      </c>
      <c r="BO118" s="196">
        <f t="shared" si="323"/>
        <v>2574.5960480924091</v>
      </c>
      <c r="BP118" s="197">
        <f t="shared" si="291"/>
        <v>1199.4009128235652</v>
      </c>
      <c r="BQ118" s="197">
        <f t="shared" si="292"/>
        <v>1611.9383893587742</v>
      </c>
      <c r="BR118" s="197">
        <f t="shared" si="293"/>
        <v>962.65765873363421</v>
      </c>
      <c r="BS118" s="199">
        <f t="shared" si="294"/>
        <v>2162.0585715571992</v>
      </c>
      <c r="BV118" s="204">
        <f t="shared" si="324"/>
        <v>6</v>
      </c>
      <c r="BW118" s="747">
        <f>'Energy NPV'!$D44</f>
        <v>12.54</v>
      </c>
      <c r="BX118" s="197">
        <f>'Energy margins'!$L$12</f>
        <v>55</v>
      </c>
      <c r="BY118" s="197">
        <f t="shared" si="325"/>
        <v>689.69999999999993</v>
      </c>
      <c r="BZ118" s="197">
        <f>'Margins summary'!$S$14</f>
        <v>220</v>
      </c>
      <c r="CA118" s="197">
        <f t="shared" si="295"/>
        <v>909.69999999999993</v>
      </c>
      <c r="CB118" s="197"/>
      <c r="CC118" s="897">
        <f>'Energy NPV'!U44</f>
        <v>233.81200000000001</v>
      </c>
      <c r="CD118" s="197"/>
      <c r="CE118" s="197">
        <f t="shared" si="261"/>
        <v>467.62400000000002</v>
      </c>
      <c r="CF118" s="197">
        <f t="shared" si="262"/>
        <v>222.07599999999991</v>
      </c>
      <c r="CG118" s="197">
        <f t="shared" si="263"/>
        <v>442.07599999999991</v>
      </c>
      <c r="CH118" s="196">
        <f t="shared" si="296"/>
        <v>566.88312553192475</v>
      </c>
      <c r="CI118" s="197">
        <f t="shared" si="297"/>
        <v>180.82396348705734</v>
      </c>
      <c r="CJ118" s="197">
        <f t="shared" si="298"/>
        <v>384.352841371235</v>
      </c>
      <c r="CK118" s="197">
        <f t="shared" si="299"/>
        <v>182.53028416068969</v>
      </c>
      <c r="CL118" s="199">
        <f t="shared" si="300"/>
        <v>363.354247647747</v>
      </c>
      <c r="CM118" s="196">
        <f t="shared" si="326"/>
        <v>2574.5960480924091</v>
      </c>
      <c r="CN118" s="197">
        <f t="shared" si="301"/>
        <v>1199.4009128235652</v>
      </c>
      <c r="CO118" s="197">
        <f t="shared" si="302"/>
        <v>6447.7535574350968</v>
      </c>
      <c r="CP118" s="197">
        <f t="shared" si="303"/>
        <v>-3873.1575093426891</v>
      </c>
      <c r="CQ118" s="199">
        <f t="shared" si="304"/>
        <v>-2673.7565965191238</v>
      </c>
      <c r="CT118" s="204">
        <f t="shared" si="327"/>
        <v>6</v>
      </c>
      <c r="CU118" s="747">
        <f>'Energy NPV'!$D44</f>
        <v>12.54</v>
      </c>
      <c r="CV118" s="197">
        <f>'Energy margins'!$L$12</f>
        <v>55</v>
      </c>
      <c r="CW118" s="197">
        <f t="shared" si="264"/>
        <v>689.69999999999993</v>
      </c>
      <c r="CX118" s="197">
        <f>'Margins summary'!$S$14</f>
        <v>220</v>
      </c>
      <c r="CY118" s="197">
        <f t="shared" si="305"/>
        <v>909.69999999999993</v>
      </c>
      <c r="CZ118" s="197"/>
      <c r="DA118" s="897">
        <f>'Energy NPV'!U44</f>
        <v>233.81200000000001</v>
      </c>
      <c r="DB118" s="197"/>
      <c r="DC118" s="197">
        <f t="shared" si="265"/>
        <v>0</v>
      </c>
      <c r="DD118" s="197">
        <f t="shared" si="266"/>
        <v>689.69999999999993</v>
      </c>
      <c r="DE118" s="197">
        <f t="shared" si="267"/>
        <v>909.69999999999993</v>
      </c>
      <c r="DF118" s="196">
        <f t="shared" si="306"/>
        <v>566.88312553192475</v>
      </c>
      <c r="DG118" s="197">
        <f t="shared" si="307"/>
        <v>180.82396348705734</v>
      </c>
      <c r="DH118" s="197">
        <f t="shared" si="308"/>
        <v>0</v>
      </c>
      <c r="DI118" s="197">
        <f t="shared" si="309"/>
        <v>566.88312553192475</v>
      </c>
      <c r="DJ118" s="199">
        <f t="shared" si="310"/>
        <v>747.70708901898206</v>
      </c>
      <c r="DK118" s="196">
        <f t="shared" si="328"/>
        <v>2574.5960480924091</v>
      </c>
      <c r="DL118" s="197">
        <f t="shared" si="311"/>
        <v>1199.4009128235652</v>
      </c>
      <c r="DM118" s="197">
        <f t="shared" si="312"/>
        <v>0</v>
      </c>
      <c r="DN118" s="197">
        <f t="shared" si="313"/>
        <v>2574.5960480924091</v>
      </c>
      <c r="DO118" s="199">
        <f t="shared" si="314"/>
        <v>3773.9969609159739</v>
      </c>
    </row>
    <row r="119" spans="2:119" x14ac:dyDescent="0.3">
      <c r="B119" s="204">
        <f t="shared" si="315"/>
        <v>7</v>
      </c>
      <c r="C119" s="747">
        <f>'Energy NPV'!$D45</f>
        <v>12.54</v>
      </c>
      <c r="D119" s="197">
        <f>'Energy margins'!$L$12</f>
        <v>55</v>
      </c>
      <c r="E119" s="197">
        <f t="shared" si="316"/>
        <v>689.69999999999993</v>
      </c>
      <c r="F119" s="197">
        <f>'Margins summary'!$S$14</f>
        <v>220</v>
      </c>
      <c r="G119" s="197">
        <f t="shared" si="268"/>
        <v>909.69999999999993</v>
      </c>
      <c r="H119" s="197"/>
      <c r="I119" s="897">
        <f>'Energy NPV'!U45</f>
        <v>233.81200000000001</v>
      </c>
      <c r="J119" s="197"/>
      <c r="K119" s="197">
        <f t="shared" si="252"/>
        <v>233.81200000000001</v>
      </c>
      <c r="L119" s="197">
        <f t="shared" si="253"/>
        <v>455.88799999999992</v>
      </c>
      <c r="M119" s="197">
        <f t="shared" si="254"/>
        <v>675.88799999999992</v>
      </c>
      <c r="N119" s="196">
        <f t="shared" si="269"/>
        <v>545.07992839608141</v>
      </c>
      <c r="O119" s="197">
        <f t="shared" si="269"/>
        <v>173.86919566063204</v>
      </c>
      <c r="P119" s="197">
        <f t="shared" si="270"/>
        <v>184.78501989001683</v>
      </c>
      <c r="Q119" s="197">
        <f t="shared" si="270"/>
        <v>360.29490850606459</v>
      </c>
      <c r="R119" s="199">
        <f t="shared" si="270"/>
        <v>534.16410416669669</v>
      </c>
      <c r="S119" s="196">
        <f t="shared" si="317"/>
        <v>3119.6759764884905</v>
      </c>
      <c r="T119" s="197">
        <f t="shared" si="271"/>
        <v>1373.2701084841974</v>
      </c>
      <c r="U119" s="197">
        <f t="shared" si="272"/>
        <v>3408.6617986075653</v>
      </c>
      <c r="V119" s="197">
        <f t="shared" si="273"/>
        <v>-288.98582211907541</v>
      </c>
      <c r="W119" s="199">
        <f t="shared" si="274"/>
        <v>1084.2842863651215</v>
      </c>
      <c r="Z119" s="204">
        <f t="shared" si="318"/>
        <v>7</v>
      </c>
      <c r="AA119" s="747">
        <f>'Energy NPV'!$D45</f>
        <v>12.54</v>
      </c>
      <c r="AB119" s="197">
        <f>'Energy margins'!$L$12</f>
        <v>55</v>
      </c>
      <c r="AC119" s="197">
        <f t="shared" si="319"/>
        <v>689.69999999999993</v>
      </c>
      <c r="AD119" s="197">
        <f>'Margins summary'!$S$14</f>
        <v>220</v>
      </c>
      <c r="AE119" s="197">
        <f t="shared" si="275"/>
        <v>909.69999999999993</v>
      </c>
      <c r="AF119" s="197"/>
      <c r="AG119" s="897">
        <f>'Energy NPV'!U45</f>
        <v>233.81200000000001</v>
      </c>
      <c r="AH119" s="197"/>
      <c r="AI119" s="197">
        <f t="shared" si="255"/>
        <v>350.71800000000002</v>
      </c>
      <c r="AJ119" s="197">
        <f t="shared" si="256"/>
        <v>338.98199999999991</v>
      </c>
      <c r="AK119" s="197">
        <f t="shared" si="257"/>
        <v>558.98199999999997</v>
      </c>
      <c r="AL119" s="196">
        <f t="shared" si="276"/>
        <v>545.07992839608141</v>
      </c>
      <c r="AM119" s="197">
        <f t="shared" si="277"/>
        <v>173.86919566063204</v>
      </c>
      <c r="AN119" s="197">
        <f t="shared" si="278"/>
        <v>277.17752983502527</v>
      </c>
      <c r="AO119" s="197">
        <f t="shared" si="279"/>
        <v>267.9023985610562</v>
      </c>
      <c r="AP119" s="199">
        <f t="shared" si="280"/>
        <v>441.7715942216883</v>
      </c>
      <c r="AQ119" s="196">
        <f t="shared" si="320"/>
        <v>3119.6759764884905</v>
      </c>
      <c r="AR119" s="197">
        <f t="shared" si="281"/>
        <v>1373.2701084841974</v>
      </c>
      <c r="AS119" s="197">
        <f t="shared" si="282"/>
        <v>5112.9926979113488</v>
      </c>
      <c r="AT119" s="197">
        <f t="shared" si="283"/>
        <v>-1993.3167214228588</v>
      </c>
      <c r="AU119" s="199">
        <f t="shared" si="284"/>
        <v>-620.04661293866093</v>
      </c>
      <c r="AX119" s="204">
        <f t="shared" si="321"/>
        <v>7</v>
      </c>
      <c r="AY119" s="747">
        <f>'Energy NPV'!$D45</f>
        <v>12.54</v>
      </c>
      <c r="AZ119" s="197">
        <f>'Energy margins'!$L$12</f>
        <v>55</v>
      </c>
      <c r="BA119" s="197">
        <f t="shared" si="322"/>
        <v>689.69999999999993</v>
      </c>
      <c r="BB119" s="197">
        <f>'Margins summary'!$S$14</f>
        <v>220</v>
      </c>
      <c r="BC119" s="197">
        <f t="shared" si="285"/>
        <v>909.69999999999993</v>
      </c>
      <c r="BD119" s="197"/>
      <c r="BE119" s="897">
        <f>'Energy NPV'!U45</f>
        <v>233.81200000000001</v>
      </c>
      <c r="BF119" s="197"/>
      <c r="BG119" s="197">
        <f t="shared" si="258"/>
        <v>116.90600000000001</v>
      </c>
      <c r="BH119" s="197">
        <f t="shared" si="259"/>
        <v>572.79399999999987</v>
      </c>
      <c r="BI119" s="197">
        <f t="shared" si="260"/>
        <v>792.79399999999987</v>
      </c>
      <c r="BJ119" s="196">
        <f t="shared" si="286"/>
        <v>545.07992839608141</v>
      </c>
      <c r="BK119" s="197">
        <f t="shared" si="287"/>
        <v>173.86919566063204</v>
      </c>
      <c r="BL119" s="197">
        <f t="shared" si="288"/>
        <v>92.392509945008413</v>
      </c>
      <c r="BM119" s="197">
        <f t="shared" si="289"/>
        <v>452.68741845107297</v>
      </c>
      <c r="BN119" s="199">
        <f t="shared" si="290"/>
        <v>626.55661411170502</v>
      </c>
      <c r="BO119" s="196">
        <f t="shared" si="323"/>
        <v>3119.6759764884905</v>
      </c>
      <c r="BP119" s="197">
        <f t="shared" si="291"/>
        <v>1373.2701084841974</v>
      </c>
      <c r="BQ119" s="197">
        <f t="shared" si="292"/>
        <v>1704.3308993037826</v>
      </c>
      <c r="BR119" s="197">
        <f t="shared" si="293"/>
        <v>1415.3450771847072</v>
      </c>
      <c r="BS119" s="199">
        <f t="shared" si="294"/>
        <v>2788.6151856689044</v>
      </c>
      <c r="BV119" s="204">
        <f t="shared" si="324"/>
        <v>7</v>
      </c>
      <c r="BW119" s="747">
        <f>'Energy NPV'!$D45</f>
        <v>12.54</v>
      </c>
      <c r="BX119" s="197">
        <f>'Energy margins'!$L$12</f>
        <v>55</v>
      </c>
      <c r="BY119" s="197">
        <f t="shared" si="325"/>
        <v>689.69999999999993</v>
      </c>
      <c r="BZ119" s="197">
        <f>'Margins summary'!$S$14</f>
        <v>220</v>
      </c>
      <c r="CA119" s="197">
        <f t="shared" si="295"/>
        <v>909.69999999999993</v>
      </c>
      <c r="CB119" s="197"/>
      <c r="CC119" s="897">
        <f>'Energy NPV'!U45</f>
        <v>233.81200000000001</v>
      </c>
      <c r="CD119" s="197"/>
      <c r="CE119" s="197">
        <f t="shared" si="261"/>
        <v>467.62400000000002</v>
      </c>
      <c r="CF119" s="197">
        <f t="shared" si="262"/>
        <v>222.07599999999991</v>
      </c>
      <c r="CG119" s="197">
        <f t="shared" si="263"/>
        <v>442.07599999999991</v>
      </c>
      <c r="CH119" s="196">
        <f t="shared" si="296"/>
        <v>545.07992839608141</v>
      </c>
      <c r="CI119" s="197">
        <f t="shared" si="297"/>
        <v>173.86919566063204</v>
      </c>
      <c r="CJ119" s="197">
        <f t="shared" si="298"/>
        <v>369.57003978003365</v>
      </c>
      <c r="CK119" s="197">
        <f t="shared" si="299"/>
        <v>175.50988861604776</v>
      </c>
      <c r="CL119" s="199">
        <f t="shared" si="300"/>
        <v>349.37908427667981</v>
      </c>
      <c r="CM119" s="196">
        <f t="shared" si="326"/>
        <v>3119.6759764884905</v>
      </c>
      <c r="CN119" s="197">
        <f t="shared" si="301"/>
        <v>1373.2701084841974</v>
      </c>
      <c r="CO119" s="197">
        <f t="shared" si="302"/>
        <v>6817.3235972151306</v>
      </c>
      <c r="CP119" s="197">
        <f t="shared" si="303"/>
        <v>-3697.6476207266414</v>
      </c>
      <c r="CQ119" s="199">
        <f t="shared" si="304"/>
        <v>-2324.377512242444</v>
      </c>
      <c r="CT119" s="204">
        <f t="shared" si="327"/>
        <v>7</v>
      </c>
      <c r="CU119" s="747">
        <f>'Energy NPV'!$D45</f>
        <v>12.54</v>
      </c>
      <c r="CV119" s="197">
        <f>'Energy margins'!$L$12</f>
        <v>55</v>
      </c>
      <c r="CW119" s="197">
        <f t="shared" si="264"/>
        <v>689.69999999999993</v>
      </c>
      <c r="CX119" s="197">
        <f>'Margins summary'!$S$14</f>
        <v>220</v>
      </c>
      <c r="CY119" s="197">
        <f t="shared" si="305"/>
        <v>909.69999999999993</v>
      </c>
      <c r="CZ119" s="197"/>
      <c r="DA119" s="897">
        <f>'Energy NPV'!U45</f>
        <v>233.81200000000001</v>
      </c>
      <c r="DB119" s="197"/>
      <c r="DC119" s="197">
        <f t="shared" si="265"/>
        <v>0</v>
      </c>
      <c r="DD119" s="197">
        <f t="shared" si="266"/>
        <v>689.69999999999993</v>
      </c>
      <c r="DE119" s="197">
        <f t="shared" si="267"/>
        <v>909.69999999999993</v>
      </c>
      <c r="DF119" s="196">
        <f t="shared" si="306"/>
        <v>545.07992839608141</v>
      </c>
      <c r="DG119" s="197">
        <f t="shared" si="307"/>
        <v>173.86919566063204</v>
      </c>
      <c r="DH119" s="197">
        <f t="shared" si="308"/>
        <v>0</v>
      </c>
      <c r="DI119" s="197">
        <f t="shared" si="309"/>
        <v>545.07992839608141</v>
      </c>
      <c r="DJ119" s="199">
        <f t="shared" si="310"/>
        <v>718.94912405671346</v>
      </c>
      <c r="DK119" s="196">
        <f t="shared" si="328"/>
        <v>3119.6759764884905</v>
      </c>
      <c r="DL119" s="197">
        <f t="shared" si="311"/>
        <v>1373.2701084841974</v>
      </c>
      <c r="DM119" s="197">
        <f t="shared" si="312"/>
        <v>0</v>
      </c>
      <c r="DN119" s="197">
        <f t="shared" si="313"/>
        <v>3119.6759764884905</v>
      </c>
      <c r="DO119" s="199">
        <f t="shared" si="314"/>
        <v>4492.9460849726875</v>
      </c>
    </row>
    <row r="120" spans="2:119" x14ac:dyDescent="0.3">
      <c r="B120" s="204">
        <f t="shared" si="315"/>
        <v>8</v>
      </c>
      <c r="C120" s="747">
        <f>'Energy NPV'!$D46</f>
        <v>12.54</v>
      </c>
      <c r="D120" s="197">
        <f>'Energy margins'!$L$12</f>
        <v>55</v>
      </c>
      <c r="E120" s="197">
        <f t="shared" si="316"/>
        <v>689.69999999999993</v>
      </c>
      <c r="F120" s="197">
        <f>'Margins summary'!$S$14</f>
        <v>220</v>
      </c>
      <c r="G120" s="197">
        <f t="shared" si="268"/>
        <v>909.69999999999993</v>
      </c>
      <c r="H120" s="197"/>
      <c r="I120" s="897">
        <f>'Energy NPV'!U46</f>
        <v>233.81200000000001</v>
      </c>
      <c r="J120" s="197"/>
      <c r="K120" s="197">
        <f t="shared" si="252"/>
        <v>233.81200000000001</v>
      </c>
      <c r="L120" s="197">
        <f t="shared" si="253"/>
        <v>455.88799999999992</v>
      </c>
      <c r="M120" s="197">
        <f t="shared" si="254"/>
        <v>675.88799999999992</v>
      </c>
      <c r="N120" s="196">
        <f t="shared" si="269"/>
        <v>524.11531576546292</v>
      </c>
      <c r="O120" s="197">
        <f t="shared" si="269"/>
        <v>167.18191890445391</v>
      </c>
      <c r="P120" s="197">
        <f t="shared" si="270"/>
        <v>177.67790374040084</v>
      </c>
      <c r="Q120" s="197">
        <f t="shared" si="270"/>
        <v>346.43741202506214</v>
      </c>
      <c r="R120" s="199">
        <f t="shared" si="270"/>
        <v>513.61933092951608</v>
      </c>
      <c r="S120" s="196">
        <f t="shared" si="317"/>
        <v>3643.7912922539535</v>
      </c>
      <c r="T120" s="197">
        <f t="shared" si="271"/>
        <v>1540.4520273886512</v>
      </c>
      <c r="U120" s="197">
        <f t="shared" si="272"/>
        <v>3586.3397023479661</v>
      </c>
      <c r="V120" s="197">
        <f t="shared" si="273"/>
        <v>57.451589905986737</v>
      </c>
      <c r="W120" s="199">
        <f t="shared" si="274"/>
        <v>1597.9036172946376</v>
      </c>
      <c r="Z120" s="204">
        <f t="shared" si="318"/>
        <v>8</v>
      </c>
      <c r="AA120" s="747">
        <f>'Energy NPV'!$D46</f>
        <v>12.54</v>
      </c>
      <c r="AB120" s="197">
        <f>'Energy margins'!$L$12</f>
        <v>55</v>
      </c>
      <c r="AC120" s="197">
        <f t="shared" si="319"/>
        <v>689.69999999999993</v>
      </c>
      <c r="AD120" s="197">
        <f>'Margins summary'!$S$14</f>
        <v>220</v>
      </c>
      <c r="AE120" s="197">
        <f t="shared" si="275"/>
        <v>909.69999999999993</v>
      </c>
      <c r="AF120" s="197"/>
      <c r="AG120" s="897">
        <f>'Energy NPV'!U46</f>
        <v>233.81200000000001</v>
      </c>
      <c r="AH120" s="197"/>
      <c r="AI120" s="197">
        <f t="shared" si="255"/>
        <v>350.71800000000002</v>
      </c>
      <c r="AJ120" s="197">
        <f t="shared" si="256"/>
        <v>338.98199999999991</v>
      </c>
      <c r="AK120" s="197">
        <f t="shared" si="257"/>
        <v>558.98199999999997</v>
      </c>
      <c r="AL120" s="196">
        <f t="shared" si="276"/>
        <v>524.11531576546292</v>
      </c>
      <c r="AM120" s="197">
        <f t="shared" si="277"/>
        <v>167.18191890445391</v>
      </c>
      <c r="AN120" s="197">
        <f t="shared" si="278"/>
        <v>266.51685561060123</v>
      </c>
      <c r="AO120" s="197">
        <f t="shared" si="279"/>
        <v>257.59846015486175</v>
      </c>
      <c r="AP120" s="199">
        <f t="shared" si="280"/>
        <v>424.78037905931569</v>
      </c>
      <c r="AQ120" s="196">
        <f t="shared" si="320"/>
        <v>3643.7912922539535</v>
      </c>
      <c r="AR120" s="197">
        <f t="shared" si="281"/>
        <v>1540.4520273886512</v>
      </c>
      <c r="AS120" s="197">
        <f t="shared" si="282"/>
        <v>5379.5095535219498</v>
      </c>
      <c r="AT120" s="197">
        <f t="shared" si="283"/>
        <v>-1735.7182612679971</v>
      </c>
      <c r="AU120" s="199">
        <f t="shared" si="284"/>
        <v>-195.26623387934524</v>
      </c>
      <c r="AX120" s="204">
        <f t="shared" si="321"/>
        <v>8</v>
      </c>
      <c r="AY120" s="747">
        <f>'Energy NPV'!$D46</f>
        <v>12.54</v>
      </c>
      <c r="AZ120" s="197">
        <f>'Energy margins'!$L$12</f>
        <v>55</v>
      </c>
      <c r="BA120" s="197">
        <f t="shared" si="322"/>
        <v>689.69999999999993</v>
      </c>
      <c r="BB120" s="197">
        <f>'Margins summary'!$S$14</f>
        <v>220</v>
      </c>
      <c r="BC120" s="197">
        <f t="shared" si="285"/>
        <v>909.69999999999993</v>
      </c>
      <c r="BD120" s="197"/>
      <c r="BE120" s="897">
        <f>'Energy NPV'!U46</f>
        <v>233.81200000000001</v>
      </c>
      <c r="BF120" s="197"/>
      <c r="BG120" s="197">
        <f t="shared" si="258"/>
        <v>116.90600000000001</v>
      </c>
      <c r="BH120" s="197">
        <f t="shared" si="259"/>
        <v>572.79399999999987</v>
      </c>
      <c r="BI120" s="197">
        <f t="shared" si="260"/>
        <v>792.79399999999987</v>
      </c>
      <c r="BJ120" s="196">
        <f t="shared" si="286"/>
        <v>524.11531576546292</v>
      </c>
      <c r="BK120" s="197">
        <f t="shared" si="287"/>
        <v>167.18191890445391</v>
      </c>
      <c r="BL120" s="197">
        <f t="shared" si="288"/>
        <v>88.838951870200418</v>
      </c>
      <c r="BM120" s="197">
        <f t="shared" si="289"/>
        <v>435.27636389526253</v>
      </c>
      <c r="BN120" s="199">
        <f t="shared" si="290"/>
        <v>602.45828279971647</v>
      </c>
      <c r="BO120" s="196">
        <f t="shared" si="323"/>
        <v>3643.7912922539535</v>
      </c>
      <c r="BP120" s="197">
        <f t="shared" si="291"/>
        <v>1540.4520273886512</v>
      </c>
      <c r="BQ120" s="197">
        <f t="shared" si="292"/>
        <v>1793.169851173983</v>
      </c>
      <c r="BR120" s="197">
        <f t="shared" si="293"/>
        <v>1850.6214410799698</v>
      </c>
      <c r="BS120" s="199">
        <f t="shared" si="294"/>
        <v>3391.0734684686208</v>
      </c>
      <c r="BV120" s="204">
        <f t="shared" si="324"/>
        <v>8</v>
      </c>
      <c r="BW120" s="747">
        <f>'Energy NPV'!$D46</f>
        <v>12.54</v>
      </c>
      <c r="BX120" s="197">
        <f>'Energy margins'!$L$12</f>
        <v>55</v>
      </c>
      <c r="BY120" s="197">
        <f t="shared" si="325"/>
        <v>689.69999999999993</v>
      </c>
      <c r="BZ120" s="197">
        <f>'Margins summary'!$S$14</f>
        <v>220</v>
      </c>
      <c r="CA120" s="197">
        <f t="shared" si="295"/>
        <v>909.69999999999993</v>
      </c>
      <c r="CB120" s="197"/>
      <c r="CC120" s="897">
        <f>'Energy NPV'!U46</f>
        <v>233.81200000000001</v>
      </c>
      <c r="CD120" s="197"/>
      <c r="CE120" s="197">
        <f t="shared" si="261"/>
        <v>467.62400000000002</v>
      </c>
      <c r="CF120" s="197">
        <f t="shared" si="262"/>
        <v>222.07599999999991</v>
      </c>
      <c r="CG120" s="197">
        <f t="shared" si="263"/>
        <v>442.07599999999991</v>
      </c>
      <c r="CH120" s="196">
        <f t="shared" si="296"/>
        <v>524.11531576546292</v>
      </c>
      <c r="CI120" s="197">
        <f t="shared" si="297"/>
        <v>167.18191890445391</v>
      </c>
      <c r="CJ120" s="197">
        <f t="shared" si="298"/>
        <v>355.35580748080167</v>
      </c>
      <c r="CK120" s="197">
        <f t="shared" si="299"/>
        <v>168.75950828466134</v>
      </c>
      <c r="CL120" s="199">
        <f t="shared" si="300"/>
        <v>335.94142718911525</v>
      </c>
      <c r="CM120" s="196">
        <f t="shared" si="326"/>
        <v>3643.7912922539535</v>
      </c>
      <c r="CN120" s="197">
        <f t="shared" si="301"/>
        <v>1540.4520273886512</v>
      </c>
      <c r="CO120" s="197">
        <f t="shared" si="302"/>
        <v>7172.6794046959321</v>
      </c>
      <c r="CP120" s="197">
        <f t="shared" si="303"/>
        <v>-3528.88811244198</v>
      </c>
      <c r="CQ120" s="199">
        <f t="shared" si="304"/>
        <v>-1988.4360850533287</v>
      </c>
      <c r="CT120" s="204">
        <f t="shared" si="327"/>
        <v>8</v>
      </c>
      <c r="CU120" s="747">
        <f>'Energy NPV'!$D46</f>
        <v>12.54</v>
      </c>
      <c r="CV120" s="197">
        <f>'Energy margins'!$L$12</f>
        <v>55</v>
      </c>
      <c r="CW120" s="197">
        <f t="shared" si="264"/>
        <v>689.69999999999993</v>
      </c>
      <c r="CX120" s="197">
        <f>'Margins summary'!$S$14</f>
        <v>220</v>
      </c>
      <c r="CY120" s="197">
        <f t="shared" si="305"/>
        <v>909.69999999999993</v>
      </c>
      <c r="CZ120" s="197"/>
      <c r="DA120" s="897">
        <f>'Energy NPV'!U46</f>
        <v>233.81200000000001</v>
      </c>
      <c r="DB120" s="197"/>
      <c r="DC120" s="197">
        <f t="shared" si="265"/>
        <v>0</v>
      </c>
      <c r="DD120" s="197">
        <f t="shared" si="266"/>
        <v>689.69999999999993</v>
      </c>
      <c r="DE120" s="197">
        <f t="shared" si="267"/>
        <v>909.69999999999993</v>
      </c>
      <c r="DF120" s="196">
        <f t="shared" si="306"/>
        <v>524.11531576546292</v>
      </c>
      <c r="DG120" s="197">
        <f t="shared" si="307"/>
        <v>167.18191890445391</v>
      </c>
      <c r="DH120" s="197">
        <f t="shared" si="308"/>
        <v>0</v>
      </c>
      <c r="DI120" s="197">
        <f t="shared" si="309"/>
        <v>524.11531576546292</v>
      </c>
      <c r="DJ120" s="199">
        <f t="shared" si="310"/>
        <v>691.29723466991686</v>
      </c>
      <c r="DK120" s="196">
        <f t="shared" si="328"/>
        <v>3643.7912922539535</v>
      </c>
      <c r="DL120" s="197">
        <f t="shared" si="311"/>
        <v>1540.4520273886512</v>
      </c>
      <c r="DM120" s="197">
        <f t="shared" si="312"/>
        <v>0</v>
      </c>
      <c r="DN120" s="197">
        <f t="shared" si="313"/>
        <v>3643.7912922539535</v>
      </c>
      <c r="DO120" s="199">
        <f t="shared" si="314"/>
        <v>5184.2433196426045</v>
      </c>
    </row>
    <row r="121" spans="2:119" x14ac:dyDescent="0.3">
      <c r="B121" s="204">
        <f t="shared" si="315"/>
        <v>9</v>
      </c>
      <c r="C121" s="747">
        <f>'Energy NPV'!$D47</f>
        <v>12.54</v>
      </c>
      <c r="D121" s="197">
        <f>'Energy margins'!$L$12</f>
        <v>55</v>
      </c>
      <c r="E121" s="197">
        <f t="shared" si="316"/>
        <v>689.69999999999993</v>
      </c>
      <c r="F121" s="197">
        <f>'Margins summary'!$S$14</f>
        <v>220</v>
      </c>
      <c r="G121" s="197">
        <f t="shared" si="268"/>
        <v>909.69999999999993</v>
      </c>
      <c r="H121" s="197"/>
      <c r="I121" s="897">
        <f>'Energy NPV'!U47</f>
        <v>233.81200000000001</v>
      </c>
      <c r="J121" s="197"/>
      <c r="K121" s="197">
        <f t="shared" si="252"/>
        <v>233.81200000000001</v>
      </c>
      <c r="L121" s="197">
        <f t="shared" si="253"/>
        <v>455.88799999999992</v>
      </c>
      <c r="M121" s="197">
        <f t="shared" si="254"/>
        <v>675.88799999999992</v>
      </c>
      <c r="N121" s="196">
        <f t="shared" si="269"/>
        <v>503.95703438986817</v>
      </c>
      <c r="O121" s="197">
        <f t="shared" si="269"/>
        <v>160.75184510043644</v>
      </c>
      <c r="P121" s="197">
        <f t="shared" si="270"/>
        <v>170.84413821192385</v>
      </c>
      <c r="Q121" s="197">
        <f t="shared" si="270"/>
        <v>333.11289617794432</v>
      </c>
      <c r="R121" s="199">
        <f t="shared" si="270"/>
        <v>493.86474127838073</v>
      </c>
      <c r="S121" s="196">
        <f t="shared" si="317"/>
        <v>4147.7483266438221</v>
      </c>
      <c r="T121" s="197">
        <f t="shared" si="271"/>
        <v>1701.2038724890876</v>
      </c>
      <c r="U121" s="197">
        <f t="shared" si="272"/>
        <v>3757.1838405598901</v>
      </c>
      <c r="V121" s="197">
        <f t="shared" si="273"/>
        <v>390.56448608393106</v>
      </c>
      <c r="W121" s="199">
        <f t="shared" si="274"/>
        <v>2091.7683585730183</v>
      </c>
      <c r="Z121" s="204">
        <f t="shared" si="318"/>
        <v>9</v>
      </c>
      <c r="AA121" s="747">
        <f>'Energy NPV'!$D47</f>
        <v>12.54</v>
      </c>
      <c r="AB121" s="197">
        <f>'Energy margins'!$L$12</f>
        <v>55</v>
      </c>
      <c r="AC121" s="197">
        <f t="shared" si="319"/>
        <v>689.69999999999993</v>
      </c>
      <c r="AD121" s="197">
        <f>'Margins summary'!$S$14</f>
        <v>220</v>
      </c>
      <c r="AE121" s="197">
        <f t="shared" si="275"/>
        <v>909.69999999999993</v>
      </c>
      <c r="AF121" s="197"/>
      <c r="AG121" s="897">
        <f>'Energy NPV'!U47</f>
        <v>233.81200000000001</v>
      </c>
      <c r="AH121" s="197"/>
      <c r="AI121" s="197">
        <f t="shared" si="255"/>
        <v>350.71800000000002</v>
      </c>
      <c r="AJ121" s="197">
        <f t="shared" si="256"/>
        <v>338.98199999999991</v>
      </c>
      <c r="AK121" s="197">
        <f t="shared" si="257"/>
        <v>558.98199999999997</v>
      </c>
      <c r="AL121" s="196">
        <f t="shared" si="276"/>
        <v>503.95703438986817</v>
      </c>
      <c r="AM121" s="197">
        <f t="shared" si="277"/>
        <v>160.75184510043644</v>
      </c>
      <c r="AN121" s="197">
        <f t="shared" si="278"/>
        <v>256.26620731788574</v>
      </c>
      <c r="AO121" s="197">
        <f t="shared" si="279"/>
        <v>247.6908270719824</v>
      </c>
      <c r="AP121" s="199">
        <f t="shared" si="280"/>
        <v>408.4426721724189</v>
      </c>
      <c r="AQ121" s="196">
        <f t="shared" si="320"/>
        <v>4147.7483266438221</v>
      </c>
      <c r="AR121" s="197">
        <f t="shared" si="281"/>
        <v>1701.2038724890876</v>
      </c>
      <c r="AS121" s="197">
        <f t="shared" si="282"/>
        <v>5635.7757608398351</v>
      </c>
      <c r="AT121" s="197">
        <f t="shared" si="283"/>
        <v>-1488.0274341960148</v>
      </c>
      <c r="AU121" s="199">
        <f t="shared" si="284"/>
        <v>213.17643829307366</v>
      </c>
      <c r="AX121" s="204">
        <f t="shared" si="321"/>
        <v>9</v>
      </c>
      <c r="AY121" s="747">
        <f>'Energy NPV'!$D47</f>
        <v>12.54</v>
      </c>
      <c r="AZ121" s="197">
        <f>'Energy margins'!$L$12</f>
        <v>55</v>
      </c>
      <c r="BA121" s="197">
        <f t="shared" si="322"/>
        <v>689.69999999999993</v>
      </c>
      <c r="BB121" s="197">
        <f>'Margins summary'!$S$14</f>
        <v>220</v>
      </c>
      <c r="BC121" s="197">
        <f t="shared" si="285"/>
        <v>909.69999999999993</v>
      </c>
      <c r="BD121" s="197"/>
      <c r="BE121" s="897">
        <f>'Energy NPV'!U47</f>
        <v>233.81200000000001</v>
      </c>
      <c r="BF121" s="197"/>
      <c r="BG121" s="197">
        <f t="shared" si="258"/>
        <v>116.90600000000001</v>
      </c>
      <c r="BH121" s="197">
        <f t="shared" si="259"/>
        <v>572.79399999999987</v>
      </c>
      <c r="BI121" s="197">
        <f t="shared" si="260"/>
        <v>792.79399999999987</v>
      </c>
      <c r="BJ121" s="196">
        <f t="shared" si="286"/>
        <v>503.95703438986817</v>
      </c>
      <c r="BK121" s="197">
        <f t="shared" si="287"/>
        <v>160.75184510043644</v>
      </c>
      <c r="BL121" s="197">
        <f t="shared" si="288"/>
        <v>85.422069105961924</v>
      </c>
      <c r="BM121" s="197">
        <f t="shared" si="289"/>
        <v>418.53496528390622</v>
      </c>
      <c r="BN121" s="199">
        <f t="shared" si="290"/>
        <v>579.28681038434263</v>
      </c>
      <c r="BO121" s="196">
        <f t="shared" si="323"/>
        <v>4147.7483266438221</v>
      </c>
      <c r="BP121" s="197">
        <f t="shared" si="291"/>
        <v>1701.2038724890876</v>
      </c>
      <c r="BQ121" s="197">
        <f t="shared" si="292"/>
        <v>1878.591920279945</v>
      </c>
      <c r="BR121" s="197">
        <f t="shared" si="293"/>
        <v>2269.1564063638762</v>
      </c>
      <c r="BS121" s="199">
        <f t="shared" si="294"/>
        <v>3970.3602788529633</v>
      </c>
      <c r="BV121" s="204">
        <f t="shared" si="324"/>
        <v>9</v>
      </c>
      <c r="BW121" s="747">
        <f>'Energy NPV'!$D47</f>
        <v>12.54</v>
      </c>
      <c r="BX121" s="197">
        <f>'Energy margins'!$L$12</f>
        <v>55</v>
      </c>
      <c r="BY121" s="197">
        <f t="shared" si="325"/>
        <v>689.69999999999993</v>
      </c>
      <c r="BZ121" s="197">
        <f>'Margins summary'!$S$14</f>
        <v>220</v>
      </c>
      <c r="CA121" s="197">
        <f t="shared" si="295"/>
        <v>909.69999999999993</v>
      </c>
      <c r="CB121" s="197"/>
      <c r="CC121" s="897">
        <f>'Energy NPV'!U47</f>
        <v>233.81200000000001</v>
      </c>
      <c r="CD121" s="197"/>
      <c r="CE121" s="197">
        <f t="shared" si="261"/>
        <v>467.62400000000002</v>
      </c>
      <c r="CF121" s="197">
        <f t="shared" si="262"/>
        <v>222.07599999999991</v>
      </c>
      <c r="CG121" s="197">
        <f t="shared" si="263"/>
        <v>442.07599999999991</v>
      </c>
      <c r="CH121" s="196">
        <f t="shared" si="296"/>
        <v>503.95703438986817</v>
      </c>
      <c r="CI121" s="197">
        <f t="shared" si="297"/>
        <v>160.75184510043644</v>
      </c>
      <c r="CJ121" s="197">
        <f t="shared" si="298"/>
        <v>341.6882764238477</v>
      </c>
      <c r="CK121" s="197">
        <f t="shared" si="299"/>
        <v>162.26875796602047</v>
      </c>
      <c r="CL121" s="199">
        <f t="shared" si="300"/>
        <v>323.02060306645689</v>
      </c>
      <c r="CM121" s="196">
        <f t="shared" si="326"/>
        <v>4147.7483266438221</v>
      </c>
      <c r="CN121" s="197">
        <f t="shared" si="301"/>
        <v>1701.2038724890876</v>
      </c>
      <c r="CO121" s="197">
        <f t="shared" si="302"/>
        <v>7514.3676811197802</v>
      </c>
      <c r="CP121" s="197">
        <f t="shared" si="303"/>
        <v>-3366.6193544759594</v>
      </c>
      <c r="CQ121" s="199">
        <f t="shared" si="304"/>
        <v>-1665.4154819868718</v>
      </c>
      <c r="CT121" s="204">
        <f t="shared" si="327"/>
        <v>9</v>
      </c>
      <c r="CU121" s="747">
        <f>'Energy NPV'!$D47</f>
        <v>12.54</v>
      </c>
      <c r="CV121" s="197">
        <f>'Energy margins'!$L$12</f>
        <v>55</v>
      </c>
      <c r="CW121" s="197">
        <f t="shared" si="264"/>
        <v>689.69999999999993</v>
      </c>
      <c r="CX121" s="197">
        <f>'Margins summary'!$S$14</f>
        <v>220</v>
      </c>
      <c r="CY121" s="197">
        <f t="shared" si="305"/>
        <v>909.69999999999993</v>
      </c>
      <c r="CZ121" s="197"/>
      <c r="DA121" s="897">
        <f>'Energy NPV'!U47</f>
        <v>233.81200000000001</v>
      </c>
      <c r="DB121" s="197"/>
      <c r="DC121" s="197">
        <f t="shared" si="265"/>
        <v>0</v>
      </c>
      <c r="DD121" s="197">
        <f t="shared" si="266"/>
        <v>689.69999999999993</v>
      </c>
      <c r="DE121" s="197">
        <f t="shared" si="267"/>
        <v>909.69999999999993</v>
      </c>
      <c r="DF121" s="196">
        <f t="shared" si="306"/>
        <v>503.95703438986817</v>
      </c>
      <c r="DG121" s="197">
        <f t="shared" si="307"/>
        <v>160.75184510043644</v>
      </c>
      <c r="DH121" s="197">
        <f t="shared" si="308"/>
        <v>0</v>
      </c>
      <c r="DI121" s="197">
        <f t="shared" si="309"/>
        <v>503.95703438986817</v>
      </c>
      <c r="DJ121" s="199">
        <f t="shared" si="310"/>
        <v>664.70887949030464</v>
      </c>
      <c r="DK121" s="196">
        <f t="shared" si="328"/>
        <v>4147.7483266438221</v>
      </c>
      <c r="DL121" s="197">
        <f t="shared" si="311"/>
        <v>1701.2038724890876</v>
      </c>
      <c r="DM121" s="197">
        <f t="shared" si="312"/>
        <v>0</v>
      </c>
      <c r="DN121" s="197">
        <f t="shared" si="313"/>
        <v>4147.7483266438221</v>
      </c>
      <c r="DO121" s="199">
        <f t="shared" si="314"/>
        <v>5848.9521991329093</v>
      </c>
    </row>
    <row r="122" spans="2:119" x14ac:dyDescent="0.3">
      <c r="B122" s="204">
        <f t="shared" si="315"/>
        <v>10</v>
      </c>
      <c r="C122" s="747">
        <f>'Energy NPV'!$D48</f>
        <v>12.54</v>
      </c>
      <c r="D122" s="197">
        <f>'Energy margins'!$L$12</f>
        <v>55</v>
      </c>
      <c r="E122" s="197">
        <f t="shared" si="316"/>
        <v>689.69999999999993</v>
      </c>
      <c r="F122" s="197">
        <f>'Margins summary'!$S$14</f>
        <v>220</v>
      </c>
      <c r="G122" s="197">
        <f t="shared" si="268"/>
        <v>909.69999999999993</v>
      </c>
      <c r="H122" s="197"/>
      <c r="I122" s="897">
        <f>'Energy NPV'!U48</f>
        <v>233.81200000000001</v>
      </c>
      <c r="J122" s="197"/>
      <c r="K122" s="197">
        <f t="shared" si="252"/>
        <v>233.81200000000001</v>
      </c>
      <c r="L122" s="197">
        <f t="shared" si="253"/>
        <v>455.88799999999992</v>
      </c>
      <c r="M122" s="197">
        <f t="shared" si="254"/>
        <v>675.88799999999992</v>
      </c>
      <c r="N122" s="196">
        <f t="shared" si="269"/>
        <v>484.57407152871934</v>
      </c>
      <c r="O122" s="197">
        <f t="shared" si="269"/>
        <v>154.5690818273427</v>
      </c>
      <c r="P122" s="197">
        <f t="shared" si="270"/>
        <v>164.27320981915753</v>
      </c>
      <c r="Q122" s="197">
        <f t="shared" si="270"/>
        <v>320.30086170956184</v>
      </c>
      <c r="R122" s="199">
        <f t="shared" si="270"/>
        <v>474.86994353690454</v>
      </c>
      <c r="S122" s="196">
        <f t="shared" si="317"/>
        <v>4632.3223981725414</v>
      </c>
      <c r="T122" s="197">
        <f t="shared" si="271"/>
        <v>1855.7729543164303</v>
      </c>
      <c r="U122" s="197">
        <f t="shared" si="272"/>
        <v>3921.4570503790478</v>
      </c>
      <c r="V122" s="197">
        <f t="shared" si="273"/>
        <v>710.8653477934929</v>
      </c>
      <c r="W122" s="199">
        <f t="shared" si="274"/>
        <v>2566.6383021099227</v>
      </c>
      <c r="Z122" s="204">
        <f t="shared" si="318"/>
        <v>10</v>
      </c>
      <c r="AA122" s="747">
        <f>'Energy NPV'!$D48</f>
        <v>12.54</v>
      </c>
      <c r="AB122" s="197">
        <f>'Energy margins'!$L$12</f>
        <v>55</v>
      </c>
      <c r="AC122" s="197">
        <f t="shared" si="319"/>
        <v>689.69999999999993</v>
      </c>
      <c r="AD122" s="197">
        <f>'Margins summary'!$S$14</f>
        <v>220</v>
      </c>
      <c r="AE122" s="197">
        <f t="shared" si="275"/>
        <v>909.69999999999993</v>
      </c>
      <c r="AF122" s="197"/>
      <c r="AG122" s="897">
        <f>'Energy NPV'!U48</f>
        <v>233.81200000000001</v>
      </c>
      <c r="AH122" s="197"/>
      <c r="AI122" s="197">
        <f t="shared" si="255"/>
        <v>350.71800000000002</v>
      </c>
      <c r="AJ122" s="197">
        <f t="shared" si="256"/>
        <v>338.98199999999991</v>
      </c>
      <c r="AK122" s="197">
        <f t="shared" si="257"/>
        <v>558.98199999999997</v>
      </c>
      <c r="AL122" s="196">
        <f t="shared" si="276"/>
        <v>484.57407152871934</v>
      </c>
      <c r="AM122" s="197">
        <f t="shared" si="277"/>
        <v>154.5690818273427</v>
      </c>
      <c r="AN122" s="197">
        <f t="shared" si="278"/>
        <v>246.40981472873628</v>
      </c>
      <c r="AO122" s="197">
        <f t="shared" si="279"/>
        <v>238.16425679998306</v>
      </c>
      <c r="AP122" s="199">
        <f t="shared" si="280"/>
        <v>392.73333862732579</v>
      </c>
      <c r="AQ122" s="196">
        <f t="shared" si="320"/>
        <v>4632.3223981725414</v>
      </c>
      <c r="AR122" s="197">
        <f t="shared" si="281"/>
        <v>1855.7729543164303</v>
      </c>
      <c r="AS122" s="197">
        <f t="shared" si="282"/>
        <v>5882.185575568571</v>
      </c>
      <c r="AT122" s="197">
        <f t="shared" si="283"/>
        <v>-1249.8631773960317</v>
      </c>
      <c r="AU122" s="199">
        <f t="shared" si="284"/>
        <v>605.90977692039951</v>
      </c>
      <c r="AX122" s="204">
        <f t="shared" si="321"/>
        <v>10</v>
      </c>
      <c r="AY122" s="747">
        <f>'Energy NPV'!$D48</f>
        <v>12.54</v>
      </c>
      <c r="AZ122" s="197">
        <f>'Energy margins'!$L$12</f>
        <v>55</v>
      </c>
      <c r="BA122" s="197">
        <f t="shared" si="322"/>
        <v>689.69999999999993</v>
      </c>
      <c r="BB122" s="197">
        <f>'Margins summary'!$S$14</f>
        <v>220</v>
      </c>
      <c r="BC122" s="197">
        <f t="shared" si="285"/>
        <v>909.69999999999993</v>
      </c>
      <c r="BD122" s="197"/>
      <c r="BE122" s="897">
        <f>'Energy NPV'!U48</f>
        <v>233.81200000000001</v>
      </c>
      <c r="BF122" s="197"/>
      <c r="BG122" s="197">
        <f t="shared" si="258"/>
        <v>116.90600000000001</v>
      </c>
      <c r="BH122" s="197">
        <f t="shared" si="259"/>
        <v>572.79399999999987</v>
      </c>
      <c r="BI122" s="197">
        <f t="shared" si="260"/>
        <v>792.79399999999987</v>
      </c>
      <c r="BJ122" s="196">
        <f t="shared" si="286"/>
        <v>484.57407152871934</v>
      </c>
      <c r="BK122" s="197">
        <f t="shared" si="287"/>
        <v>154.5690818273427</v>
      </c>
      <c r="BL122" s="197">
        <f t="shared" si="288"/>
        <v>82.136604909578764</v>
      </c>
      <c r="BM122" s="197">
        <f t="shared" si="289"/>
        <v>402.43746661914054</v>
      </c>
      <c r="BN122" s="199">
        <f t="shared" si="290"/>
        <v>557.00654844648329</v>
      </c>
      <c r="BO122" s="196">
        <f t="shared" si="323"/>
        <v>4632.3223981725414</v>
      </c>
      <c r="BP122" s="197">
        <f t="shared" si="291"/>
        <v>1855.7729543164303</v>
      </c>
      <c r="BQ122" s="197">
        <f t="shared" si="292"/>
        <v>1960.7285251895239</v>
      </c>
      <c r="BR122" s="197">
        <f t="shared" si="293"/>
        <v>2671.5938729830168</v>
      </c>
      <c r="BS122" s="199">
        <f t="shared" si="294"/>
        <v>4527.3668272994464</v>
      </c>
      <c r="BV122" s="204">
        <f t="shared" si="324"/>
        <v>10</v>
      </c>
      <c r="BW122" s="747">
        <f>'Energy NPV'!$D48</f>
        <v>12.54</v>
      </c>
      <c r="BX122" s="197">
        <f>'Energy margins'!$L$12</f>
        <v>55</v>
      </c>
      <c r="BY122" s="197">
        <f t="shared" si="325"/>
        <v>689.69999999999993</v>
      </c>
      <c r="BZ122" s="197">
        <f>'Margins summary'!$S$14</f>
        <v>220</v>
      </c>
      <c r="CA122" s="197">
        <f t="shared" si="295"/>
        <v>909.69999999999993</v>
      </c>
      <c r="CB122" s="197"/>
      <c r="CC122" s="897">
        <f>'Energy NPV'!U48</f>
        <v>233.81200000000001</v>
      </c>
      <c r="CD122" s="197"/>
      <c r="CE122" s="197">
        <f t="shared" si="261"/>
        <v>467.62400000000002</v>
      </c>
      <c r="CF122" s="197">
        <f t="shared" si="262"/>
        <v>222.07599999999991</v>
      </c>
      <c r="CG122" s="197">
        <f t="shared" si="263"/>
        <v>442.07599999999991</v>
      </c>
      <c r="CH122" s="196">
        <f t="shared" si="296"/>
        <v>484.57407152871934</v>
      </c>
      <c r="CI122" s="197">
        <f t="shared" si="297"/>
        <v>154.5690818273427</v>
      </c>
      <c r="CJ122" s="197">
        <f t="shared" si="298"/>
        <v>328.54641963831506</v>
      </c>
      <c r="CK122" s="197">
        <f t="shared" si="299"/>
        <v>156.02765189040429</v>
      </c>
      <c r="CL122" s="199">
        <f t="shared" si="300"/>
        <v>310.59673371774699</v>
      </c>
      <c r="CM122" s="196">
        <f t="shared" si="326"/>
        <v>4632.3223981725414</v>
      </c>
      <c r="CN122" s="197">
        <f t="shared" si="301"/>
        <v>1855.7729543164303</v>
      </c>
      <c r="CO122" s="197">
        <f t="shared" si="302"/>
        <v>7842.9141007580956</v>
      </c>
      <c r="CP122" s="197">
        <f t="shared" si="303"/>
        <v>-3210.5917025855551</v>
      </c>
      <c r="CQ122" s="199">
        <f t="shared" si="304"/>
        <v>-1354.8187482691249</v>
      </c>
      <c r="CT122" s="204">
        <f t="shared" si="327"/>
        <v>10</v>
      </c>
      <c r="CU122" s="747">
        <f>'Energy NPV'!$D48</f>
        <v>12.54</v>
      </c>
      <c r="CV122" s="197">
        <f>'Energy margins'!$L$12</f>
        <v>55</v>
      </c>
      <c r="CW122" s="197">
        <f t="shared" si="264"/>
        <v>689.69999999999993</v>
      </c>
      <c r="CX122" s="197">
        <f>'Margins summary'!$S$14</f>
        <v>220</v>
      </c>
      <c r="CY122" s="197">
        <f t="shared" si="305"/>
        <v>909.69999999999993</v>
      </c>
      <c r="CZ122" s="197"/>
      <c r="DA122" s="897">
        <f>'Energy NPV'!U48</f>
        <v>233.81200000000001</v>
      </c>
      <c r="DB122" s="197"/>
      <c r="DC122" s="197">
        <f t="shared" si="265"/>
        <v>0</v>
      </c>
      <c r="DD122" s="197">
        <f t="shared" si="266"/>
        <v>689.69999999999993</v>
      </c>
      <c r="DE122" s="197">
        <f t="shared" si="267"/>
        <v>909.69999999999993</v>
      </c>
      <c r="DF122" s="196">
        <f t="shared" si="306"/>
        <v>484.57407152871934</v>
      </c>
      <c r="DG122" s="197">
        <f t="shared" si="307"/>
        <v>154.5690818273427</v>
      </c>
      <c r="DH122" s="197">
        <f t="shared" si="308"/>
        <v>0</v>
      </c>
      <c r="DI122" s="197">
        <f t="shared" si="309"/>
        <v>484.57407152871934</v>
      </c>
      <c r="DJ122" s="199">
        <f t="shared" si="310"/>
        <v>639.14315335606204</v>
      </c>
      <c r="DK122" s="196">
        <f t="shared" si="328"/>
        <v>4632.3223981725414</v>
      </c>
      <c r="DL122" s="197">
        <f t="shared" si="311"/>
        <v>1855.7729543164303</v>
      </c>
      <c r="DM122" s="197">
        <f t="shared" si="312"/>
        <v>0</v>
      </c>
      <c r="DN122" s="197">
        <f t="shared" si="313"/>
        <v>4632.3223981725414</v>
      </c>
      <c r="DO122" s="199">
        <f t="shared" si="314"/>
        <v>6488.095352488971</v>
      </c>
    </row>
    <row r="123" spans="2:119" x14ac:dyDescent="0.3">
      <c r="B123" s="204">
        <f t="shared" si="315"/>
        <v>11</v>
      </c>
      <c r="C123" s="747">
        <f>'Energy NPV'!$D49</f>
        <v>12.54</v>
      </c>
      <c r="D123" s="197">
        <f>'Energy margins'!$L$12</f>
        <v>55</v>
      </c>
      <c r="E123" s="197">
        <f t="shared" si="316"/>
        <v>689.69999999999993</v>
      </c>
      <c r="F123" s="197">
        <f>'Margins summary'!$S$14</f>
        <v>220</v>
      </c>
      <c r="G123" s="197">
        <f t="shared" si="268"/>
        <v>909.69999999999993</v>
      </c>
      <c r="H123" s="197"/>
      <c r="I123" s="897">
        <f>'Energy NPV'!U49</f>
        <v>233.81200000000001</v>
      </c>
      <c r="J123" s="197"/>
      <c r="K123" s="197">
        <f t="shared" si="252"/>
        <v>233.81200000000001</v>
      </c>
      <c r="L123" s="197">
        <f t="shared" si="253"/>
        <v>455.88799999999992</v>
      </c>
      <c r="M123" s="197">
        <f t="shared" si="254"/>
        <v>675.88799999999992</v>
      </c>
      <c r="N123" s="196">
        <f t="shared" si="269"/>
        <v>465.9366072391532</v>
      </c>
      <c r="O123" s="197">
        <f t="shared" si="269"/>
        <v>148.62411714167567</v>
      </c>
      <c r="P123" s="197">
        <f t="shared" si="270"/>
        <v>157.95500944149762</v>
      </c>
      <c r="Q123" s="197">
        <f t="shared" si="270"/>
        <v>307.98159779765558</v>
      </c>
      <c r="R123" s="199">
        <f t="shared" si="270"/>
        <v>456.60571493933128</v>
      </c>
      <c r="S123" s="196">
        <f t="shared" si="317"/>
        <v>5098.2590054116945</v>
      </c>
      <c r="T123" s="197">
        <f t="shared" si="271"/>
        <v>2004.397071458106</v>
      </c>
      <c r="U123" s="197">
        <f t="shared" si="272"/>
        <v>4079.4120598205454</v>
      </c>
      <c r="V123" s="197">
        <f t="shared" si="273"/>
        <v>1018.8469455911485</v>
      </c>
      <c r="W123" s="199">
        <f t="shared" si="274"/>
        <v>3023.2440170492541</v>
      </c>
      <c r="Z123" s="204">
        <f t="shared" si="318"/>
        <v>11</v>
      </c>
      <c r="AA123" s="747">
        <f>'Energy NPV'!$D49</f>
        <v>12.54</v>
      </c>
      <c r="AB123" s="197">
        <f>'Energy margins'!$L$12</f>
        <v>55</v>
      </c>
      <c r="AC123" s="197">
        <f t="shared" si="319"/>
        <v>689.69999999999993</v>
      </c>
      <c r="AD123" s="197">
        <f>'Margins summary'!$S$14</f>
        <v>220</v>
      </c>
      <c r="AE123" s="197">
        <f t="shared" si="275"/>
        <v>909.69999999999993</v>
      </c>
      <c r="AF123" s="197"/>
      <c r="AG123" s="897">
        <f>'Energy NPV'!U49</f>
        <v>233.81200000000001</v>
      </c>
      <c r="AH123" s="197"/>
      <c r="AI123" s="197">
        <f t="shared" si="255"/>
        <v>350.71800000000002</v>
      </c>
      <c r="AJ123" s="197">
        <f t="shared" si="256"/>
        <v>338.98199999999991</v>
      </c>
      <c r="AK123" s="197">
        <f t="shared" si="257"/>
        <v>558.98199999999997</v>
      </c>
      <c r="AL123" s="196">
        <f t="shared" si="276"/>
        <v>465.9366072391532</v>
      </c>
      <c r="AM123" s="197">
        <f t="shared" si="277"/>
        <v>148.62411714167567</v>
      </c>
      <c r="AN123" s="197">
        <f t="shared" si="278"/>
        <v>236.93251416224643</v>
      </c>
      <c r="AO123" s="197">
        <f t="shared" si="279"/>
        <v>229.0040930769068</v>
      </c>
      <c r="AP123" s="199">
        <f t="shared" si="280"/>
        <v>377.62821021858252</v>
      </c>
      <c r="AQ123" s="196">
        <f t="shared" si="320"/>
        <v>5098.2590054116945</v>
      </c>
      <c r="AR123" s="197">
        <f t="shared" si="281"/>
        <v>2004.397071458106</v>
      </c>
      <c r="AS123" s="197">
        <f t="shared" si="282"/>
        <v>6119.1180897308177</v>
      </c>
      <c r="AT123" s="197">
        <f t="shared" si="283"/>
        <v>-1020.8590843191249</v>
      </c>
      <c r="AU123" s="199">
        <f t="shared" si="284"/>
        <v>983.53798713898209</v>
      </c>
      <c r="AX123" s="204">
        <f t="shared" si="321"/>
        <v>11</v>
      </c>
      <c r="AY123" s="747">
        <f>'Energy NPV'!$D49</f>
        <v>12.54</v>
      </c>
      <c r="AZ123" s="197">
        <f>'Energy margins'!$L$12</f>
        <v>55</v>
      </c>
      <c r="BA123" s="197">
        <f t="shared" si="322"/>
        <v>689.69999999999993</v>
      </c>
      <c r="BB123" s="197">
        <f>'Margins summary'!$S$14</f>
        <v>220</v>
      </c>
      <c r="BC123" s="197">
        <f t="shared" si="285"/>
        <v>909.69999999999993</v>
      </c>
      <c r="BD123" s="197"/>
      <c r="BE123" s="897">
        <f>'Energy NPV'!U49</f>
        <v>233.81200000000001</v>
      </c>
      <c r="BF123" s="197"/>
      <c r="BG123" s="197">
        <f t="shared" si="258"/>
        <v>116.90600000000001</v>
      </c>
      <c r="BH123" s="197">
        <f t="shared" si="259"/>
        <v>572.79399999999987</v>
      </c>
      <c r="BI123" s="197">
        <f t="shared" si="260"/>
        <v>792.79399999999987</v>
      </c>
      <c r="BJ123" s="196">
        <f t="shared" si="286"/>
        <v>465.9366072391532</v>
      </c>
      <c r="BK123" s="197">
        <f t="shared" si="287"/>
        <v>148.62411714167567</v>
      </c>
      <c r="BL123" s="197">
        <f t="shared" si="288"/>
        <v>78.977504720748811</v>
      </c>
      <c r="BM123" s="197">
        <f t="shared" si="289"/>
        <v>386.95910251840439</v>
      </c>
      <c r="BN123" s="199">
        <f t="shared" si="290"/>
        <v>535.58321966008009</v>
      </c>
      <c r="BO123" s="196">
        <f t="shared" si="323"/>
        <v>5098.2590054116945</v>
      </c>
      <c r="BP123" s="197">
        <f t="shared" si="291"/>
        <v>2004.397071458106</v>
      </c>
      <c r="BQ123" s="197">
        <f t="shared" si="292"/>
        <v>2039.7060299102727</v>
      </c>
      <c r="BR123" s="197">
        <f t="shared" si="293"/>
        <v>3058.5529755014213</v>
      </c>
      <c r="BS123" s="199">
        <f t="shared" si="294"/>
        <v>5062.9500469595268</v>
      </c>
      <c r="BV123" s="204">
        <f t="shared" si="324"/>
        <v>11</v>
      </c>
      <c r="BW123" s="747">
        <f>'Energy NPV'!$D49</f>
        <v>12.54</v>
      </c>
      <c r="BX123" s="197">
        <f>'Energy margins'!$L$12</f>
        <v>55</v>
      </c>
      <c r="BY123" s="197">
        <f t="shared" si="325"/>
        <v>689.69999999999993</v>
      </c>
      <c r="BZ123" s="197">
        <f>'Margins summary'!$S$14</f>
        <v>220</v>
      </c>
      <c r="CA123" s="197">
        <f t="shared" si="295"/>
        <v>909.69999999999993</v>
      </c>
      <c r="CB123" s="197"/>
      <c r="CC123" s="897">
        <f>'Energy NPV'!U49</f>
        <v>233.81200000000001</v>
      </c>
      <c r="CD123" s="197"/>
      <c r="CE123" s="197">
        <f t="shared" si="261"/>
        <v>467.62400000000002</v>
      </c>
      <c r="CF123" s="197">
        <f t="shared" si="262"/>
        <v>222.07599999999991</v>
      </c>
      <c r="CG123" s="197">
        <f t="shared" si="263"/>
        <v>442.07599999999991</v>
      </c>
      <c r="CH123" s="196">
        <f t="shared" si="296"/>
        <v>465.9366072391532</v>
      </c>
      <c r="CI123" s="197">
        <f t="shared" si="297"/>
        <v>148.62411714167567</v>
      </c>
      <c r="CJ123" s="197">
        <f t="shared" si="298"/>
        <v>315.91001888299525</v>
      </c>
      <c r="CK123" s="197">
        <f t="shared" si="299"/>
        <v>150.02658835615799</v>
      </c>
      <c r="CL123" s="199">
        <f t="shared" si="300"/>
        <v>298.65070549783366</v>
      </c>
      <c r="CM123" s="196">
        <f t="shared" si="326"/>
        <v>5098.2590054116945</v>
      </c>
      <c r="CN123" s="197">
        <f t="shared" si="301"/>
        <v>2004.397071458106</v>
      </c>
      <c r="CO123" s="197">
        <f t="shared" si="302"/>
        <v>8158.8241196410909</v>
      </c>
      <c r="CP123" s="197">
        <f t="shared" si="303"/>
        <v>-3060.5651142293973</v>
      </c>
      <c r="CQ123" s="199">
        <f t="shared" si="304"/>
        <v>-1056.1680427712913</v>
      </c>
      <c r="CT123" s="204">
        <f t="shared" si="327"/>
        <v>11</v>
      </c>
      <c r="CU123" s="747">
        <f>'Energy NPV'!$D49</f>
        <v>12.54</v>
      </c>
      <c r="CV123" s="197">
        <f>'Energy margins'!$L$12</f>
        <v>55</v>
      </c>
      <c r="CW123" s="197">
        <f t="shared" si="264"/>
        <v>689.69999999999993</v>
      </c>
      <c r="CX123" s="197">
        <f>'Margins summary'!$S$14</f>
        <v>220</v>
      </c>
      <c r="CY123" s="197">
        <f t="shared" si="305"/>
        <v>909.69999999999993</v>
      </c>
      <c r="CZ123" s="197"/>
      <c r="DA123" s="897">
        <f>'Energy NPV'!U49</f>
        <v>233.81200000000001</v>
      </c>
      <c r="DB123" s="197"/>
      <c r="DC123" s="197">
        <f t="shared" si="265"/>
        <v>0</v>
      </c>
      <c r="DD123" s="197">
        <f t="shared" si="266"/>
        <v>689.69999999999993</v>
      </c>
      <c r="DE123" s="197">
        <f t="shared" si="267"/>
        <v>909.69999999999993</v>
      </c>
      <c r="DF123" s="196">
        <f t="shared" si="306"/>
        <v>465.9366072391532</v>
      </c>
      <c r="DG123" s="197">
        <f t="shared" si="307"/>
        <v>148.62411714167567</v>
      </c>
      <c r="DH123" s="197">
        <f t="shared" si="308"/>
        <v>0</v>
      </c>
      <c r="DI123" s="197">
        <f t="shared" si="309"/>
        <v>465.9366072391532</v>
      </c>
      <c r="DJ123" s="199">
        <f t="shared" si="310"/>
        <v>614.5607243808289</v>
      </c>
      <c r="DK123" s="196">
        <f t="shared" si="328"/>
        <v>5098.2590054116945</v>
      </c>
      <c r="DL123" s="197">
        <f t="shared" si="311"/>
        <v>2004.397071458106</v>
      </c>
      <c r="DM123" s="197">
        <f t="shared" si="312"/>
        <v>0</v>
      </c>
      <c r="DN123" s="197">
        <f t="shared" si="313"/>
        <v>5098.2590054116945</v>
      </c>
      <c r="DO123" s="199">
        <f t="shared" si="314"/>
        <v>7102.6560768698</v>
      </c>
    </row>
    <row r="124" spans="2:119" x14ac:dyDescent="0.3">
      <c r="B124" s="204">
        <f t="shared" si="315"/>
        <v>12</v>
      </c>
      <c r="C124" s="747">
        <f>'Energy NPV'!$D50</f>
        <v>12.54</v>
      </c>
      <c r="D124" s="197">
        <f>'Energy margins'!$L$12</f>
        <v>55</v>
      </c>
      <c r="E124" s="197">
        <f t="shared" si="316"/>
        <v>689.69999999999993</v>
      </c>
      <c r="F124" s="197">
        <f>'Margins summary'!$S$14</f>
        <v>220</v>
      </c>
      <c r="G124" s="197">
        <f t="shared" si="268"/>
        <v>909.69999999999993</v>
      </c>
      <c r="H124" s="197"/>
      <c r="I124" s="897">
        <f>'Energy NPV'!U50</f>
        <v>233.81200000000001</v>
      </c>
      <c r="J124" s="197"/>
      <c r="K124" s="197">
        <f t="shared" si="252"/>
        <v>233.81200000000001</v>
      </c>
      <c r="L124" s="197">
        <f t="shared" si="253"/>
        <v>455.88799999999992</v>
      </c>
      <c r="M124" s="197">
        <f t="shared" si="254"/>
        <v>675.88799999999992</v>
      </c>
      <c r="N124" s="196">
        <f t="shared" si="269"/>
        <v>448.01596849918582</v>
      </c>
      <c r="O124" s="197">
        <f t="shared" si="269"/>
        <v>142.90780494391893</v>
      </c>
      <c r="P124" s="197">
        <f t="shared" si="270"/>
        <v>151.8798167706708</v>
      </c>
      <c r="Q124" s="197">
        <f t="shared" si="270"/>
        <v>296.13615172851502</v>
      </c>
      <c r="R124" s="199">
        <f t="shared" si="270"/>
        <v>439.04395667243398</v>
      </c>
      <c r="S124" s="196">
        <f t="shared" si="317"/>
        <v>5546.2749739108804</v>
      </c>
      <c r="T124" s="197">
        <f t="shared" si="271"/>
        <v>2147.304876402025</v>
      </c>
      <c r="U124" s="197">
        <f t="shared" si="272"/>
        <v>4231.2918765912164</v>
      </c>
      <c r="V124" s="197">
        <f t="shared" si="273"/>
        <v>1314.9830973196636</v>
      </c>
      <c r="W124" s="199">
        <f t="shared" si="274"/>
        <v>3462.2879737216881</v>
      </c>
      <c r="Z124" s="204">
        <f t="shared" si="318"/>
        <v>12</v>
      </c>
      <c r="AA124" s="747">
        <f>'Energy NPV'!$D50</f>
        <v>12.54</v>
      </c>
      <c r="AB124" s="197">
        <f>'Energy margins'!$L$12</f>
        <v>55</v>
      </c>
      <c r="AC124" s="197">
        <f t="shared" si="319"/>
        <v>689.69999999999993</v>
      </c>
      <c r="AD124" s="197">
        <f>'Margins summary'!$S$14</f>
        <v>220</v>
      </c>
      <c r="AE124" s="197">
        <f t="shared" si="275"/>
        <v>909.69999999999993</v>
      </c>
      <c r="AF124" s="197"/>
      <c r="AG124" s="897">
        <f>'Energy NPV'!U50</f>
        <v>233.81200000000001</v>
      </c>
      <c r="AH124" s="197"/>
      <c r="AI124" s="197">
        <f t="shared" si="255"/>
        <v>350.71800000000002</v>
      </c>
      <c r="AJ124" s="197">
        <f t="shared" si="256"/>
        <v>338.98199999999991</v>
      </c>
      <c r="AK124" s="197">
        <f t="shared" si="257"/>
        <v>558.98199999999997</v>
      </c>
      <c r="AL124" s="196">
        <f t="shared" si="276"/>
        <v>448.01596849918582</v>
      </c>
      <c r="AM124" s="197">
        <f t="shared" si="277"/>
        <v>142.90780494391893</v>
      </c>
      <c r="AN124" s="197">
        <f t="shared" si="278"/>
        <v>227.8197251560062</v>
      </c>
      <c r="AO124" s="197">
        <f t="shared" si="279"/>
        <v>220.19624334317962</v>
      </c>
      <c r="AP124" s="199">
        <f t="shared" si="280"/>
        <v>363.10404828709858</v>
      </c>
      <c r="AQ124" s="196">
        <f t="shared" si="320"/>
        <v>5546.2749739108804</v>
      </c>
      <c r="AR124" s="197">
        <f t="shared" si="281"/>
        <v>2147.304876402025</v>
      </c>
      <c r="AS124" s="197">
        <f t="shared" si="282"/>
        <v>6346.9378148868236</v>
      </c>
      <c r="AT124" s="197">
        <f t="shared" si="283"/>
        <v>-800.6628409759453</v>
      </c>
      <c r="AU124" s="199">
        <f t="shared" si="284"/>
        <v>1346.6420354260806</v>
      </c>
      <c r="AX124" s="204">
        <f t="shared" si="321"/>
        <v>12</v>
      </c>
      <c r="AY124" s="747">
        <f>'Energy NPV'!$D50</f>
        <v>12.54</v>
      </c>
      <c r="AZ124" s="197">
        <f>'Energy margins'!$L$12</f>
        <v>55</v>
      </c>
      <c r="BA124" s="197">
        <f t="shared" si="322"/>
        <v>689.69999999999993</v>
      </c>
      <c r="BB124" s="197">
        <f>'Margins summary'!$S$14</f>
        <v>220</v>
      </c>
      <c r="BC124" s="197">
        <f t="shared" si="285"/>
        <v>909.69999999999993</v>
      </c>
      <c r="BD124" s="197"/>
      <c r="BE124" s="897">
        <f>'Energy NPV'!U50</f>
        <v>233.81200000000001</v>
      </c>
      <c r="BF124" s="197"/>
      <c r="BG124" s="197">
        <f t="shared" si="258"/>
        <v>116.90600000000001</v>
      </c>
      <c r="BH124" s="197">
        <f t="shared" si="259"/>
        <v>572.79399999999987</v>
      </c>
      <c r="BI124" s="197">
        <f t="shared" si="260"/>
        <v>792.79399999999987</v>
      </c>
      <c r="BJ124" s="196">
        <f t="shared" si="286"/>
        <v>448.01596849918582</v>
      </c>
      <c r="BK124" s="197">
        <f t="shared" si="287"/>
        <v>142.90780494391893</v>
      </c>
      <c r="BL124" s="197">
        <f t="shared" si="288"/>
        <v>75.9399083853354</v>
      </c>
      <c r="BM124" s="197">
        <f t="shared" si="289"/>
        <v>372.07606011385036</v>
      </c>
      <c r="BN124" s="199">
        <f t="shared" si="290"/>
        <v>514.98386505776932</v>
      </c>
      <c r="BO124" s="196">
        <f t="shared" si="323"/>
        <v>5546.2749739108804</v>
      </c>
      <c r="BP124" s="197">
        <f t="shared" si="291"/>
        <v>2147.304876402025</v>
      </c>
      <c r="BQ124" s="197">
        <f t="shared" si="292"/>
        <v>2115.6459382956082</v>
      </c>
      <c r="BR124" s="197">
        <f t="shared" si="293"/>
        <v>3430.6290356152717</v>
      </c>
      <c r="BS124" s="199">
        <f t="shared" si="294"/>
        <v>5577.9339120172963</v>
      </c>
      <c r="BV124" s="204">
        <f t="shared" si="324"/>
        <v>12</v>
      </c>
      <c r="BW124" s="747">
        <f>'Energy NPV'!$D50</f>
        <v>12.54</v>
      </c>
      <c r="BX124" s="197">
        <f>'Energy margins'!$L$12</f>
        <v>55</v>
      </c>
      <c r="BY124" s="197">
        <f t="shared" si="325"/>
        <v>689.69999999999993</v>
      </c>
      <c r="BZ124" s="197">
        <f>'Margins summary'!$S$14</f>
        <v>220</v>
      </c>
      <c r="CA124" s="197">
        <f t="shared" si="295"/>
        <v>909.69999999999993</v>
      </c>
      <c r="CB124" s="197"/>
      <c r="CC124" s="897">
        <f>'Energy NPV'!U50</f>
        <v>233.81200000000001</v>
      </c>
      <c r="CD124" s="197"/>
      <c r="CE124" s="197">
        <f t="shared" si="261"/>
        <v>467.62400000000002</v>
      </c>
      <c r="CF124" s="197">
        <f t="shared" si="262"/>
        <v>222.07599999999991</v>
      </c>
      <c r="CG124" s="197">
        <f t="shared" si="263"/>
        <v>442.07599999999991</v>
      </c>
      <c r="CH124" s="196">
        <f t="shared" si="296"/>
        <v>448.01596849918582</v>
      </c>
      <c r="CI124" s="197">
        <f t="shared" si="297"/>
        <v>142.90780494391893</v>
      </c>
      <c r="CJ124" s="197">
        <f t="shared" si="298"/>
        <v>303.7596335413416</v>
      </c>
      <c r="CK124" s="197">
        <f t="shared" si="299"/>
        <v>144.25633495784422</v>
      </c>
      <c r="CL124" s="199">
        <f t="shared" si="300"/>
        <v>287.16413990176318</v>
      </c>
      <c r="CM124" s="196">
        <f t="shared" si="326"/>
        <v>5546.2749739108804</v>
      </c>
      <c r="CN124" s="197">
        <f t="shared" si="301"/>
        <v>2147.304876402025</v>
      </c>
      <c r="CO124" s="197">
        <f t="shared" si="302"/>
        <v>8462.5837531824327</v>
      </c>
      <c r="CP124" s="197">
        <f t="shared" si="303"/>
        <v>-2916.3087792715532</v>
      </c>
      <c r="CQ124" s="199">
        <f t="shared" si="304"/>
        <v>-769.00390286952813</v>
      </c>
      <c r="CT124" s="204">
        <f t="shared" si="327"/>
        <v>12</v>
      </c>
      <c r="CU124" s="747">
        <f>'Energy NPV'!$D50</f>
        <v>12.54</v>
      </c>
      <c r="CV124" s="197">
        <f>'Energy margins'!$L$12</f>
        <v>55</v>
      </c>
      <c r="CW124" s="197">
        <f t="shared" si="264"/>
        <v>689.69999999999993</v>
      </c>
      <c r="CX124" s="197">
        <f>'Margins summary'!$S$14</f>
        <v>220</v>
      </c>
      <c r="CY124" s="197">
        <f t="shared" si="305"/>
        <v>909.69999999999993</v>
      </c>
      <c r="CZ124" s="197"/>
      <c r="DA124" s="897">
        <f>'Energy NPV'!U50</f>
        <v>233.81200000000001</v>
      </c>
      <c r="DB124" s="197"/>
      <c r="DC124" s="197">
        <f t="shared" si="265"/>
        <v>0</v>
      </c>
      <c r="DD124" s="197">
        <f t="shared" si="266"/>
        <v>689.69999999999993</v>
      </c>
      <c r="DE124" s="197">
        <f t="shared" si="267"/>
        <v>909.69999999999993</v>
      </c>
      <c r="DF124" s="196">
        <f t="shared" si="306"/>
        <v>448.01596849918582</v>
      </c>
      <c r="DG124" s="197">
        <f t="shared" si="307"/>
        <v>142.90780494391893</v>
      </c>
      <c r="DH124" s="197">
        <f t="shared" si="308"/>
        <v>0</v>
      </c>
      <c r="DI124" s="197">
        <f t="shared" si="309"/>
        <v>448.01596849918582</v>
      </c>
      <c r="DJ124" s="199">
        <f t="shared" si="310"/>
        <v>590.92377344310478</v>
      </c>
      <c r="DK124" s="196">
        <f t="shared" si="328"/>
        <v>5546.2749739108804</v>
      </c>
      <c r="DL124" s="197">
        <f t="shared" si="311"/>
        <v>2147.304876402025</v>
      </c>
      <c r="DM124" s="197">
        <f t="shared" si="312"/>
        <v>0</v>
      </c>
      <c r="DN124" s="197">
        <f t="shared" si="313"/>
        <v>5546.2749739108804</v>
      </c>
      <c r="DO124" s="199">
        <f t="shared" si="314"/>
        <v>7693.5798503129045</v>
      </c>
    </row>
    <row r="125" spans="2:119" x14ac:dyDescent="0.3">
      <c r="B125" s="204">
        <f t="shared" si="315"/>
        <v>13</v>
      </c>
      <c r="C125" s="747">
        <f>'Energy NPV'!$D51</f>
        <v>12.54</v>
      </c>
      <c r="D125" s="197">
        <f>'Energy margins'!$L$12</f>
        <v>55</v>
      </c>
      <c r="E125" s="197">
        <f t="shared" si="316"/>
        <v>689.69999999999993</v>
      </c>
      <c r="F125" s="197">
        <f>'Margins summary'!$S$14</f>
        <v>220</v>
      </c>
      <c r="G125" s="197">
        <f t="shared" si="268"/>
        <v>909.69999999999993</v>
      </c>
      <c r="H125" s="197"/>
      <c r="I125" s="897">
        <f>'Energy NPV'!U51</f>
        <v>233.81200000000001</v>
      </c>
      <c r="J125" s="197"/>
      <c r="K125" s="197">
        <f t="shared" si="252"/>
        <v>233.81200000000001</v>
      </c>
      <c r="L125" s="197">
        <f t="shared" si="253"/>
        <v>455.88799999999992</v>
      </c>
      <c r="M125" s="197">
        <f t="shared" si="254"/>
        <v>675.88799999999992</v>
      </c>
      <c r="N125" s="196">
        <f t="shared" si="269"/>
        <v>430.78458509537086</v>
      </c>
      <c r="O125" s="197">
        <f t="shared" si="269"/>
        <v>137.41135090761432</v>
      </c>
      <c r="P125" s="197">
        <f t="shared" si="270"/>
        <v>146.03828535641421</v>
      </c>
      <c r="Q125" s="197">
        <f t="shared" si="270"/>
        <v>284.74629973895668</v>
      </c>
      <c r="R125" s="199">
        <f t="shared" si="270"/>
        <v>422.15765064657103</v>
      </c>
      <c r="S125" s="196">
        <f t="shared" si="317"/>
        <v>5977.0595590062512</v>
      </c>
      <c r="T125" s="197">
        <f t="shared" si="271"/>
        <v>2284.7162273096392</v>
      </c>
      <c r="U125" s="197">
        <f t="shared" si="272"/>
        <v>4377.3301619476306</v>
      </c>
      <c r="V125" s="197">
        <f t="shared" si="273"/>
        <v>1599.7293970586202</v>
      </c>
      <c r="W125" s="199">
        <f t="shared" si="274"/>
        <v>3884.4456243682589</v>
      </c>
      <c r="Z125" s="204">
        <f t="shared" si="318"/>
        <v>13</v>
      </c>
      <c r="AA125" s="747">
        <f>'Energy NPV'!$D51</f>
        <v>12.54</v>
      </c>
      <c r="AB125" s="197">
        <f>'Energy margins'!$L$12</f>
        <v>55</v>
      </c>
      <c r="AC125" s="197">
        <f t="shared" si="319"/>
        <v>689.69999999999993</v>
      </c>
      <c r="AD125" s="197">
        <f>'Margins summary'!$S$14</f>
        <v>220</v>
      </c>
      <c r="AE125" s="197">
        <f t="shared" si="275"/>
        <v>909.69999999999993</v>
      </c>
      <c r="AF125" s="197"/>
      <c r="AG125" s="897">
        <f>'Energy NPV'!U51</f>
        <v>233.81200000000001</v>
      </c>
      <c r="AH125" s="197"/>
      <c r="AI125" s="197">
        <f t="shared" si="255"/>
        <v>350.71800000000002</v>
      </c>
      <c r="AJ125" s="197">
        <f t="shared" si="256"/>
        <v>338.98199999999991</v>
      </c>
      <c r="AK125" s="197">
        <f t="shared" si="257"/>
        <v>558.98199999999997</v>
      </c>
      <c r="AL125" s="196">
        <f t="shared" si="276"/>
        <v>430.78458509537086</v>
      </c>
      <c r="AM125" s="197">
        <f t="shared" si="277"/>
        <v>137.41135090761432</v>
      </c>
      <c r="AN125" s="197">
        <f t="shared" si="278"/>
        <v>219.0574280346213</v>
      </c>
      <c r="AO125" s="197">
        <f t="shared" si="279"/>
        <v>211.72715706074959</v>
      </c>
      <c r="AP125" s="199">
        <f t="shared" si="280"/>
        <v>349.13850796836397</v>
      </c>
      <c r="AQ125" s="196">
        <f t="shared" si="320"/>
        <v>5977.0595590062512</v>
      </c>
      <c r="AR125" s="197">
        <f t="shared" si="281"/>
        <v>2284.7162273096392</v>
      </c>
      <c r="AS125" s="197">
        <f t="shared" si="282"/>
        <v>6565.9952429214445</v>
      </c>
      <c r="AT125" s="197">
        <f t="shared" si="283"/>
        <v>-588.93568391519568</v>
      </c>
      <c r="AU125" s="199">
        <f t="shared" si="284"/>
        <v>1695.7805433944445</v>
      </c>
      <c r="AX125" s="204">
        <f t="shared" si="321"/>
        <v>13</v>
      </c>
      <c r="AY125" s="747">
        <f>'Energy NPV'!$D51</f>
        <v>12.54</v>
      </c>
      <c r="AZ125" s="197">
        <f>'Energy margins'!$L$12</f>
        <v>55</v>
      </c>
      <c r="BA125" s="197">
        <f t="shared" si="322"/>
        <v>689.69999999999993</v>
      </c>
      <c r="BB125" s="197">
        <f>'Margins summary'!$S$14</f>
        <v>220</v>
      </c>
      <c r="BC125" s="197">
        <f t="shared" si="285"/>
        <v>909.69999999999993</v>
      </c>
      <c r="BD125" s="197"/>
      <c r="BE125" s="897">
        <f>'Energy NPV'!U51</f>
        <v>233.81200000000001</v>
      </c>
      <c r="BF125" s="197"/>
      <c r="BG125" s="197">
        <f t="shared" si="258"/>
        <v>116.90600000000001</v>
      </c>
      <c r="BH125" s="197">
        <f t="shared" si="259"/>
        <v>572.79399999999987</v>
      </c>
      <c r="BI125" s="197">
        <f t="shared" si="260"/>
        <v>792.79399999999987</v>
      </c>
      <c r="BJ125" s="196">
        <f t="shared" si="286"/>
        <v>430.78458509537086</v>
      </c>
      <c r="BK125" s="197">
        <f t="shared" si="287"/>
        <v>137.41135090761432</v>
      </c>
      <c r="BL125" s="197">
        <f t="shared" si="288"/>
        <v>73.019142678207103</v>
      </c>
      <c r="BM125" s="197">
        <f t="shared" si="289"/>
        <v>357.76544241716374</v>
      </c>
      <c r="BN125" s="199">
        <f t="shared" si="290"/>
        <v>495.17679332477809</v>
      </c>
      <c r="BO125" s="196">
        <f t="shared" si="323"/>
        <v>5977.0595590062512</v>
      </c>
      <c r="BP125" s="197">
        <f t="shared" si="291"/>
        <v>2284.7162273096392</v>
      </c>
      <c r="BQ125" s="197">
        <f t="shared" si="292"/>
        <v>2188.6650809738153</v>
      </c>
      <c r="BR125" s="197">
        <f t="shared" si="293"/>
        <v>3788.3944780324355</v>
      </c>
      <c r="BS125" s="199">
        <f t="shared" si="294"/>
        <v>6073.1107053420747</v>
      </c>
      <c r="BV125" s="204">
        <f t="shared" si="324"/>
        <v>13</v>
      </c>
      <c r="BW125" s="747">
        <f>'Energy NPV'!$D51</f>
        <v>12.54</v>
      </c>
      <c r="BX125" s="197">
        <f>'Energy margins'!$L$12</f>
        <v>55</v>
      </c>
      <c r="BY125" s="197">
        <f t="shared" si="325"/>
        <v>689.69999999999993</v>
      </c>
      <c r="BZ125" s="197">
        <f>'Margins summary'!$S$14</f>
        <v>220</v>
      </c>
      <c r="CA125" s="197">
        <f t="shared" si="295"/>
        <v>909.69999999999993</v>
      </c>
      <c r="CB125" s="197"/>
      <c r="CC125" s="897">
        <f>'Energy NPV'!U51</f>
        <v>233.81200000000001</v>
      </c>
      <c r="CD125" s="197"/>
      <c r="CE125" s="197">
        <f t="shared" si="261"/>
        <v>467.62400000000002</v>
      </c>
      <c r="CF125" s="197">
        <f t="shared" si="262"/>
        <v>222.07599999999991</v>
      </c>
      <c r="CG125" s="197">
        <f t="shared" si="263"/>
        <v>442.07599999999991</v>
      </c>
      <c r="CH125" s="196">
        <f t="shared" si="296"/>
        <v>430.78458509537086</v>
      </c>
      <c r="CI125" s="197">
        <f t="shared" si="297"/>
        <v>137.41135090761432</v>
      </c>
      <c r="CJ125" s="197">
        <f t="shared" si="298"/>
        <v>292.07657071282841</v>
      </c>
      <c r="CK125" s="197">
        <f t="shared" si="299"/>
        <v>138.7080143825425</v>
      </c>
      <c r="CL125" s="199">
        <f t="shared" si="300"/>
        <v>276.11936529015679</v>
      </c>
      <c r="CM125" s="196">
        <f t="shared" si="326"/>
        <v>5977.0595590062512</v>
      </c>
      <c r="CN125" s="197">
        <f t="shared" si="301"/>
        <v>2284.7162273096392</v>
      </c>
      <c r="CO125" s="197">
        <f t="shared" si="302"/>
        <v>8754.6603238952612</v>
      </c>
      <c r="CP125" s="197">
        <f t="shared" si="303"/>
        <v>-2777.6007648890109</v>
      </c>
      <c r="CQ125" s="199">
        <f t="shared" si="304"/>
        <v>-492.88453757937134</v>
      </c>
      <c r="CT125" s="204">
        <f t="shared" si="327"/>
        <v>13</v>
      </c>
      <c r="CU125" s="747">
        <f>'Energy NPV'!$D51</f>
        <v>12.54</v>
      </c>
      <c r="CV125" s="197">
        <f>'Energy margins'!$L$12</f>
        <v>55</v>
      </c>
      <c r="CW125" s="197">
        <f t="shared" si="264"/>
        <v>689.69999999999993</v>
      </c>
      <c r="CX125" s="197">
        <f>'Margins summary'!$S$14</f>
        <v>220</v>
      </c>
      <c r="CY125" s="197">
        <f t="shared" si="305"/>
        <v>909.69999999999993</v>
      </c>
      <c r="CZ125" s="197"/>
      <c r="DA125" s="897">
        <f>'Energy NPV'!U51</f>
        <v>233.81200000000001</v>
      </c>
      <c r="DB125" s="197"/>
      <c r="DC125" s="197">
        <f t="shared" si="265"/>
        <v>0</v>
      </c>
      <c r="DD125" s="197">
        <f t="shared" si="266"/>
        <v>689.69999999999993</v>
      </c>
      <c r="DE125" s="197">
        <f t="shared" si="267"/>
        <v>909.69999999999993</v>
      </c>
      <c r="DF125" s="196">
        <f t="shared" si="306"/>
        <v>430.78458509537086</v>
      </c>
      <c r="DG125" s="197">
        <f t="shared" si="307"/>
        <v>137.41135090761432</v>
      </c>
      <c r="DH125" s="197">
        <f t="shared" si="308"/>
        <v>0</v>
      </c>
      <c r="DI125" s="197">
        <f t="shared" si="309"/>
        <v>430.78458509537086</v>
      </c>
      <c r="DJ125" s="199">
        <f t="shared" si="310"/>
        <v>568.19593600298526</v>
      </c>
      <c r="DK125" s="196">
        <f t="shared" si="328"/>
        <v>5977.0595590062512</v>
      </c>
      <c r="DL125" s="197">
        <f t="shared" si="311"/>
        <v>2284.7162273096392</v>
      </c>
      <c r="DM125" s="197">
        <f t="shared" si="312"/>
        <v>0</v>
      </c>
      <c r="DN125" s="197">
        <f t="shared" si="313"/>
        <v>5977.0595590062512</v>
      </c>
      <c r="DO125" s="199">
        <f t="shared" si="314"/>
        <v>8261.7757863158895</v>
      </c>
    </row>
    <row r="126" spans="2:119" x14ac:dyDescent="0.3">
      <c r="B126" s="204">
        <f t="shared" si="315"/>
        <v>14</v>
      </c>
      <c r="C126" s="747">
        <f>'Energy NPV'!$D52</f>
        <v>12.54</v>
      </c>
      <c r="D126" s="197">
        <f>'Energy margins'!$L$12</f>
        <v>55</v>
      </c>
      <c r="E126" s="197">
        <f t="shared" si="316"/>
        <v>689.69999999999993</v>
      </c>
      <c r="F126" s="197">
        <f>'Margins summary'!$S$14</f>
        <v>220</v>
      </c>
      <c r="G126" s="197">
        <f t="shared" si="268"/>
        <v>909.69999999999993</v>
      </c>
      <c r="H126" s="197"/>
      <c r="I126" s="897">
        <f>'Energy NPV'!U52</f>
        <v>233.81200000000001</v>
      </c>
      <c r="J126" s="197"/>
      <c r="K126" s="197">
        <f t="shared" si="252"/>
        <v>233.81200000000001</v>
      </c>
      <c r="L126" s="197">
        <f t="shared" si="253"/>
        <v>455.88799999999992</v>
      </c>
      <c r="M126" s="197">
        <f t="shared" si="254"/>
        <v>675.88799999999992</v>
      </c>
      <c r="N126" s="196">
        <f t="shared" si="269"/>
        <v>414.21594720708737</v>
      </c>
      <c r="O126" s="197">
        <f t="shared" si="269"/>
        <v>132.12629894962916</v>
      </c>
      <c r="P126" s="197">
        <f t="shared" si="270"/>
        <v>140.42142822732134</v>
      </c>
      <c r="Q126" s="197">
        <f t="shared" si="270"/>
        <v>273.79451897976605</v>
      </c>
      <c r="R126" s="199">
        <f t="shared" si="270"/>
        <v>405.92081792939518</v>
      </c>
      <c r="S126" s="196">
        <f t="shared" si="317"/>
        <v>6391.2755062133383</v>
      </c>
      <c r="T126" s="197">
        <f t="shared" si="271"/>
        <v>2416.8425262592682</v>
      </c>
      <c r="U126" s="197">
        <f t="shared" si="272"/>
        <v>4517.7515901749521</v>
      </c>
      <c r="V126" s="197">
        <f t="shared" si="273"/>
        <v>1873.5239160383862</v>
      </c>
      <c r="W126" s="199">
        <f t="shared" si="274"/>
        <v>4290.3664422976544</v>
      </c>
      <c r="Z126" s="204">
        <f t="shared" si="318"/>
        <v>14</v>
      </c>
      <c r="AA126" s="747">
        <f>'Energy NPV'!$D52</f>
        <v>12.54</v>
      </c>
      <c r="AB126" s="197">
        <f>'Energy margins'!$L$12</f>
        <v>55</v>
      </c>
      <c r="AC126" s="197">
        <f t="shared" si="319"/>
        <v>689.69999999999993</v>
      </c>
      <c r="AD126" s="197">
        <f>'Margins summary'!$S$14</f>
        <v>220</v>
      </c>
      <c r="AE126" s="197">
        <f t="shared" si="275"/>
        <v>909.69999999999993</v>
      </c>
      <c r="AF126" s="197"/>
      <c r="AG126" s="897">
        <f>'Energy NPV'!U52</f>
        <v>233.81200000000001</v>
      </c>
      <c r="AH126" s="197"/>
      <c r="AI126" s="197">
        <f t="shared" si="255"/>
        <v>350.71800000000002</v>
      </c>
      <c r="AJ126" s="197">
        <f t="shared" si="256"/>
        <v>338.98199999999991</v>
      </c>
      <c r="AK126" s="197">
        <f t="shared" si="257"/>
        <v>558.98199999999997</v>
      </c>
      <c r="AL126" s="196">
        <f t="shared" si="276"/>
        <v>414.21594720708737</v>
      </c>
      <c r="AM126" s="197">
        <f t="shared" si="277"/>
        <v>132.12629894962916</v>
      </c>
      <c r="AN126" s="197">
        <f t="shared" si="278"/>
        <v>210.632142340982</v>
      </c>
      <c r="AO126" s="197">
        <f t="shared" si="279"/>
        <v>203.58380486610537</v>
      </c>
      <c r="AP126" s="199">
        <f t="shared" si="280"/>
        <v>335.71010381573456</v>
      </c>
      <c r="AQ126" s="196">
        <f t="shared" si="320"/>
        <v>6391.2755062133383</v>
      </c>
      <c r="AR126" s="197">
        <f t="shared" si="281"/>
        <v>2416.8425262592682</v>
      </c>
      <c r="AS126" s="197">
        <f t="shared" si="282"/>
        <v>6776.6273852624263</v>
      </c>
      <c r="AT126" s="197">
        <f t="shared" si="283"/>
        <v>-385.35187904909031</v>
      </c>
      <c r="AU126" s="199">
        <f t="shared" si="284"/>
        <v>2031.4906472101791</v>
      </c>
      <c r="AX126" s="204">
        <f t="shared" si="321"/>
        <v>14</v>
      </c>
      <c r="AY126" s="747">
        <f>'Energy NPV'!$D52</f>
        <v>12.54</v>
      </c>
      <c r="AZ126" s="197">
        <f>'Energy margins'!$L$12</f>
        <v>55</v>
      </c>
      <c r="BA126" s="197">
        <f t="shared" si="322"/>
        <v>689.69999999999993</v>
      </c>
      <c r="BB126" s="197">
        <f>'Margins summary'!$S$14</f>
        <v>220</v>
      </c>
      <c r="BC126" s="197">
        <f t="shared" si="285"/>
        <v>909.69999999999993</v>
      </c>
      <c r="BD126" s="197"/>
      <c r="BE126" s="897">
        <f>'Energy NPV'!U52</f>
        <v>233.81200000000001</v>
      </c>
      <c r="BF126" s="197"/>
      <c r="BG126" s="197">
        <f t="shared" si="258"/>
        <v>116.90600000000001</v>
      </c>
      <c r="BH126" s="197">
        <f t="shared" si="259"/>
        <v>572.79399999999987</v>
      </c>
      <c r="BI126" s="197">
        <f t="shared" si="260"/>
        <v>792.79399999999987</v>
      </c>
      <c r="BJ126" s="196">
        <f t="shared" si="286"/>
        <v>414.21594720708737</v>
      </c>
      <c r="BK126" s="197">
        <f t="shared" si="287"/>
        <v>132.12629894962916</v>
      </c>
      <c r="BL126" s="197">
        <f t="shared" si="288"/>
        <v>70.210714113660671</v>
      </c>
      <c r="BM126" s="197">
        <f t="shared" si="289"/>
        <v>344.00523309342668</v>
      </c>
      <c r="BN126" s="199">
        <f t="shared" si="290"/>
        <v>476.13153204305581</v>
      </c>
      <c r="BO126" s="196">
        <f t="shared" si="323"/>
        <v>6391.2755062133383</v>
      </c>
      <c r="BP126" s="197">
        <f t="shared" si="291"/>
        <v>2416.8425262592682</v>
      </c>
      <c r="BQ126" s="197">
        <f t="shared" si="292"/>
        <v>2258.875795087476</v>
      </c>
      <c r="BR126" s="197">
        <f t="shared" si="293"/>
        <v>4132.3997111258623</v>
      </c>
      <c r="BS126" s="199">
        <f t="shared" si="294"/>
        <v>6549.2422373851305</v>
      </c>
      <c r="BV126" s="204">
        <f t="shared" si="324"/>
        <v>14</v>
      </c>
      <c r="BW126" s="747">
        <f>'Energy NPV'!$D52</f>
        <v>12.54</v>
      </c>
      <c r="BX126" s="197">
        <f>'Energy margins'!$L$12</f>
        <v>55</v>
      </c>
      <c r="BY126" s="197">
        <f t="shared" si="325"/>
        <v>689.69999999999993</v>
      </c>
      <c r="BZ126" s="197">
        <f>'Margins summary'!$S$14</f>
        <v>220</v>
      </c>
      <c r="CA126" s="197">
        <f t="shared" si="295"/>
        <v>909.69999999999993</v>
      </c>
      <c r="CB126" s="197"/>
      <c r="CC126" s="897">
        <f>'Energy NPV'!U52</f>
        <v>233.81200000000001</v>
      </c>
      <c r="CD126" s="197"/>
      <c r="CE126" s="197">
        <f t="shared" si="261"/>
        <v>467.62400000000002</v>
      </c>
      <c r="CF126" s="197">
        <f t="shared" si="262"/>
        <v>222.07599999999991</v>
      </c>
      <c r="CG126" s="197">
        <f t="shared" si="263"/>
        <v>442.07599999999991</v>
      </c>
      <c r="CH126" s="196">
        <f t="shared" si="296"/>
        <v>414.21594720708737</v>
      </c>
      <c r="CI126" s="197">
        <f t="shared" si="297"/>
        <v>132.12629894962916</v>
      </c>
      <c r="CJ126" s="197">
        <f t="shared" si="298"/>
        <v>280.84285645464269</v>
      </c>
      <c r="CK126" s="197">
        <f t="shared" si="299"/>
        <v>133.37309075244471</v>
      </c>
      <c r="CL126" s="199">
        <f t="shared" si="300"/>
        <v>265.49938970207387</v>
      </c>
      <c r="CM126" s="196">
        <f t="shared" si="326"/>
        <v>6391.2755062133383</v>
      </c>
      <c r="CN126" s="197">
        <f t="shared" si="301"/>
        <v>2416.8425262592682</v>
      </c>
      <c r="CO126" s="197">
        <f t="shared" si="302"/>
        <v>9035.5031803499041</v>
      </c>
      <c r="CP126" s="197">
        <f t="shared" si="303"/>
        <v>-2644.2276741365663</v>
      </c>
      <c r="CQ126" s="199">
        <f t="shared" si="304"/>
        <v>-227.38514787729747</v>
      </c>
      <c r="CT126" s="204">
        <f t="shared" si="327"/>
        <v>14</v>
      </c>
      <c r="CU126" s="747">
        <f>'Energy NPV'!$D52</f>
        <v>12.54</v>
      </c>
      <c r="CV126" s="197">
        <f>'Energy margins'!$L$12</f>
        <v>55</v>
      </c>
      <c r="CW126" s="197">
        <f t="shared" si="264"/>
        <v>689.69999999999993</v>
      </c>
      <c r="CX126" s="197">
        <f>'Margins summary'!$S$14</f>
        <v>220</v>
      </c>
      <c r="CY126" s="197">
        <f t="shared" si="305"/>
        <v>909.69999999999993</v>
      </c>
      <c r="CZ126" s="197"/>
      <c r="DA126" s="897">
        <f>'Energy NPV'!U52</f>
        <v>233.81200000000001</v>
      </c>
      <c r="DB126" s="197"/>
      <c r="DC126" s="197">
        <f t="shared" si="265"/>
        <v>0</v>
      </c>
      <c r="DD126" s="197">
        <f t="shared" si="266"/>
        <v>689.69999999999993</v>
      </c>
      <c r="DE126" s="197">
        <f t="shared" si="267"/>
        <v>909.69999999999993</v>
      </c>
      <c r="DF126" s="196">
        <f t="shared" si="306"/>
        <v>414.21594720708737</v>
      </c>
      <c r="DG126" s="197">
        <f t="shared" si="307"/>
        <v>132.12629894962916</v>
      </c>
      <c r="DH126" s="197">
        <f t="shared" si="308"/>
        <v>0</v>
      </c>
      <c r="DI126" s="197">
        <f t="shared" si="309"/>
        <v>414.21594720708737</v>
      </c>
      <c r="DJ126" s="199">
        <f t="shared" si="310"/>
        <v>546.34224615671656</v>
      </c>
      <c r="DK126" s="196">
        <f t="shared" si="328"/>
        <v>6391.2755062133383</v>
      </c>
      <c r="DL126" s="197">
        <f t="shared" si="311"/>
        <v>2416.8425262592682</v>
      </c>
      <c r="DM126" s="197">
        <f t="shared" si="312"/>
        <v>0</v>
      </c>
      <c r="DN126" s="197">
        <f t="shared" si="313"/>
        <v>6391.2755062133383</v>
      </c>
      <c r="DO126" s="199">
        <f t="shared" si="314"/>
        <v>8808.1180324726065</v>
      </c>
    </row>
    <row r="127" spans="2:119" x14ac:dyDescent="0.3">
      <c r="B127" s="204">
        <f t="shared" si="315"/>
        <v>15</v>
      </c>
      <c r="C127" s="747">
        <f>'Energy NPV'!$D53</f>
        <v>12.54</v>
      </c>
      <c r="D127" s="197">
        <f>'Energy margins'!$L$12</f>
        <v>55</v>
      </c>
      <c r="E127" s="197">
        <f t="shared" si="316"/>
        <v>689.69999999999993</v>
      </c>
      <c r="F127" s="197">
        <f>'Margins summary'!$S$14</f>
        <v>220</v>
      </c>
      <c r="G127" s="197">
        <f t="shared" si="268"/>
        <v>909.69999999999993</v>
      </c>
      <c r="H127" s="197"/>
      <c r="I127" s="897">
        <f>'Energy NPV'!U53</f>
        <v>233.81200000000001</v>
      </c>
      <c r="J127" s="197"/>
      <c r="K127" s="197">
        <f t="shared" si="252"/>
        <v>233.81200000000001</v>
      </c>
      <c r="L127" s="197">
        <f t="shared" si="253"/>
        <v>455.88799999999992</v>
      </c>
      <c r="M127" s="197">
        <f t="shared" si="254"/>
        <v>675.88799999999992</v>
      </c>
      <c r="N127" s="196">
        <f t="shared" si="269"/>
        <v>398.28456462219941</v>
      </c>
      <c r="O127" s="197">
        <f t="shared" si="269"/>
        <v>127.04451822079727</v>
      </c>
      <c r="P127" s="197">
        <f t="shared" si="270"/>
        <v>135.02060406473205</v>
      </c>
      <c r="Q127" s="197">
        <f t="shared" si="270"/>
        <v>263.26396055746733</v>
      </c>
      <c r="R127" s="199">
        <f t="shared" si="270"/>
        <v>390.3084787782646</v>
      </c>
      <c r="S127" s="196">
        <f t="shared" si="317"/>
        <v>6789.5600708355378</v>
      </c>
      <c r="T127" s="197">
        <f t="shared" si="271"/>
        <v>2543.8870444800655</v>
      </c>
      <c r="U127" s="197">
        <f t="shared" si="272"/>
        <v>4652.7721942396838</v>
      </c>
      <c r="V127" s="197">
        <f t="shared" si="273"/>
        <v>2136.7878765958535</v>
      </c>
      <c r="W127" s="199">
        <f t="shared" si="274"/>
        <v>4680.674921075919</v>
      </c>
      <c r="Z127" s="204">
        <f t="shared" si="318"/>
        <v>15</v>
      </c>
      <c r="AA127" s="747">
        <f>'Energy NPV'!$D53</f>
        <v>12.54</v>
      </c>
      <c r="AB127" s="197">
        <f>'Energy margins'!$L$12</f>
        <v>55</v>
      </c>
      <c r="AC127" s="197">
        <f t="shared" si="319"/>
        <v>689.69999999999993</v>
      </c>
      <c r="AD127" s="197">
        <f>'Margins summary'!$S$14</f>
        <v>220</v>
      </c>
      <c r="AE127" s="197">
        <f t="shared" si="275"/>
        <v>909.69999999999993</v>
      </c>
      <c r="AF127" s="197"/>
      <c r="AG127" s="897">
        <f>'Energy NPV'!U53</f>
        <v>233.81200000000001</v>
      </c>
      <c r="AH127" s="197"/>
      <c r="AI127" s="197">
        <f t="shared" si="255"/>
        <v>350.71800000000002</v>
      </c>
      <c r="AJ127" s="197">
        <f t="shared" si="256"/>
        <v>338.98199999999991</v>
      </c>
      <c r="AK127" s="197">
        <f t="shared" si="257"/>
        <v>558.98199999999997</v>
      </c>
      <c r="AL127" s="196">
        <f t="shared" si="276"/>
        <v>398.28456462219941</v>
      </c>
      <c r="AM127" s="197">
        <f t="shared" si="277"/>
        <v>127.04451822079727</v>
      </c>
      <c r="AN127" s="197">
        <f t="shared" si="278"/>
        <v>202.5309060970981</v>
      </c>
      <c r="AO127" s="197">
        <f t="shared" si="279"/>
        <v>195.75365852510132</v>
      </c>
      <c r="AP127" s="199">
        <f t="shared" si="280"/>
        <v>322.79817674589862</v>
      </c>
      <c r="AQ127" s="196">
        <f t="shared" si="320"/>
        <v>6789.5600708355378</v>
      </c>
      <c r="AR127" s="197">
        <f t="shared" si="281"/>
        <v>2543.8870444800655</v>
      </c>
      <c r="AS127" s="197">
        <f t="shared" si="282"/>
        <v>6979.1582913595248</v>
      </c>
      <c r="AT127" s="197">
        <f t="shared" si="283"/>
        <v>-189.598220523989</v>
      </c>
      <c r="AU127" s="199">
        <f t="shared" si="284"/>
        <v>2354.2888239560775</v>
      </c>
      <c r="AX127" s="204">
        <f t="shared" si="321"/>
        <v>15</v>
      </c>
      <c r="AY127" s="747">
        <f>'Energy NPV'!$D53</f>
        <v>12.54</v>
      </c>
      <c r="AZ127" s="197">
        <f>'Energy margins'!$L$12</f>
        <v>55</v>
      </c>
      <c r="BA127" s="197">
        <f t="shared" si="322"/>
        <v>689.69999999999993</v>
      </c>
      <c r="BB127" s="197">
        <f>'Margins summary'!$S$14</f>
        <v>220</v>
      </c>
      <c r="BC127" s="197">
        <f t="shared" si="285"/>
        <v>909.69999999999993</v>
      </c>
      <c r="BD127" s="197"/>
      <c r="BE127" s="897">
        <f>'Energy NPV'!U53</f>
        <v>233.81200000000001</v>
      </c>
      <c r="BF127" s="197"/>
      <c r="BG127" s="197">
        <f t="shared" si="258"/>
        <v>116.90600000000001</v>
      </c>
      <c r="BH127" s="197">
        <f t="shared" si="259"/>
        <v>572.79399999999987</v>
      </c>
      <c r="BI127" s="197">
        <f t="shared" si="260"/>
        <v>792.79399999999987</v>
      </c>
      <c r="BJ127" s="196">
        <f t="shared" si="286"/>
        <v>398.28456462219941</v>
      </c>
      <c r="BK127" s="197">
        <f t="shared" si="287"/>
        <v>127.04451822079727</v>
      </c>
      <c r="BL127" s="197">
        <f t="shared" si="288"/>
        <v>67.510302032366027</v>
      </c>
      <c r="BM127" s="197">
        <f t="shared" si="289"/>
        <v>330.77426258983337</v>
      </c>
      <c r="BN127" s="199">
        <f t="shared" si="290"/>
        <v>457.81878081063064</v>
      </c>
      <c r="BO127" s="196">
        <f t="shared" si="323"/>
        <v>6789.5600708355378</v>
      </c>
      <c r="BP127" s="197">
        <f t="shared" si="291"/>
        <v>2543.8870444800655</v>
      </c>
      <c r="BQ127" s="197">
        <f t="shared" si="292"/>
        <v>2326.3860971198419</v>
      </c>
      <c r="BR127" s="197">
        <f t="shared" si="293"/>
        <v>4463.1739737156959</v>
      </c>
      <c r="BS127" s="199">
        <f t="shared" si="294"/>
        <v>7007.0610181957609</v>
      </c>
      <c r="BV127" s="204">
        <f t="shared" si="324"/>
        <v>15</v>
      </c>
      <c r="BW127" s="747">
        <f>'Energy NPV'!$D53</f>
        <v>12.54</v>
      </c>
      <c r="BX127" s="197">
        <f>'Energy margins'!$L$12</f>
        <v>55</v>
      </c>
      <c r="BY127" s="197">
        <f t="shared" si="325"/>
        <v>689.69999999999993</v>
      </c>
      <c r="BZ127" s="197">
        <f>'Margins summary'!$S$14</f>
        <v>220</v>
      </c>
      <c r="CA127" s="197">
        <f t="shared" si="295"/>
        <v>909.69999999999993</v>
      </c>
      <c r="CB127" s="197"/>
      <c r="CC127" s="897">
        <f>'Energy NPV'!U53</f>
        <v>233.81200000000001</v>
      </c>
      <c r="CD127" s="197"/>
      <c r="CE127" s="197">
        <f t="shared" si="261"/>
        <v>467.62400000000002</v>
      </c>
      <c r="CF127" s="197">
        <f t="shared" si="262"/>
        <v>222.07599999999991</v>
      </c>
      <c r="CG127" s="197">
        <f t="shared" si="263"/>
        <v>442.07599999999991</v>
      </c>
      <c r="CH127" s="196">
        <f t="shared" si="296"/>
        <v>398.28456462219941</v>
      </c>
      <c r="CI127" s="197">
        <f t="shared" si="297"/>
        <v>127.04451822079727</v>
      </c>
      <c r="CJ127" s="197">
        <f t="shared" si="298"/>
        <v>270.04120812946411</v>
      </c>
      <c r="CK127" s="197">
        <f t="shared" si="299"/>
        <v>128.24335649273527</v>
      </c>
      <c r="CL127" s="199">
        <f t="shared" si="300"/>
        <v>255.28787471353255</v>
      </c>
      <c r="CM127" s="196">
        <f t="shared" si="326"/>
        <v>6789.5600708355378</v>
      </c>
      <c r="CN127" s="197">
        <f t="shared" si="301"/>
        <v>2543.8870444800655</v>
      </c>
      <c r="CO127" s="197">
        <f t="shared" si="302"/>
        <v>9305.5443884793676</v>
      </c>
      <c r="CP127" s="197">
        <f t="shared" si="303"/>
        <v>-2515.9843176438312</v>
      </c>
      <c r="CQ127" s="199">
        <f t="shared" si="304"/>
        <v>27.902726836235075</v>
      </c>
      <c r="CT127" s="204">
        <f t="shared" si="327"/>
        <v>15</v>
      </c>
      <c r="CU127" s="747">
        <f>'Energy NPV'!$D53</f>
        <v>12.54</v>
      </c>
      <c r="CV127" s="197">
        <f>'Energy margins'!$L$12</f>
        <v>55</v>
      </c>
      <c r="CW127" s="197">
        <f t="shared" si="264"/>
        <v>689.69999999999993</v>
      </c>
      <c r="CX127" s="197">
        <f>'Margins summary'!$S$14</f>
        <v>220</v>
      </c>
      <c r="CY127" s="197">
        <f t="shared" si="305"/>
        <v>909.69999999999993</v>
      </c>
      <c r="CZ127" s="197"/>
      <c r="DA127" s="897">
        <f>'Energy NPV'!U53</f>
        <v>233.81200000000001</v>
      </c>
      <c r="DB127" s="197"/>
      <c r="DC127" s="197">
        <f t="shared" si="265"/>
        <v>0</v>
      </c>
      <c r="DD127" s="197">
        <f t="shared" si="266"/>
        <v>689.69999999999993</v>
      </c>
      <c r="DE127" s="197">
        <f t="shared" si="267"/>
        <v>909.69999999999993</v>
      </c>
      <c r="DF127" s="196">
        <f t="shared" si="306"/>
        <v>398.28456462219941</v>
      </c>
      <c r="DG127" s="197">
        <f t="shared" si="307"/>
        <v>127.04451822079727</v>
      </c>
      <c r="DH127" s="197">
        <f t="shared" si="308"/>
        <v>0</v>
      </c>
      <c r="DI127" s="197">
        <f t="shared" si="309"/>
        <v>398.28456462219941</v>
      </c>
      <c r="DJ127" s="199">
        <f t="shared" si="310"/>
        <v>525.32908284299663</v>
      </c>
      <c r="DK127" s="196">
        <f t="shared" si="328"/>
        <v>6789.5600708355378</v>
      </c>
      <c r="DL127" s="197">
        <f t="shared" si="311"/>
        <v>2543.8870444800655</v>
      </c>
      <c r="DM127" s="197">
        <f t="shared" si="312"/>
        <v>0</v>
      </c>
      <c r="DN127" s="197">
        <f t="shared" si="313"/>
        <v>6789.5600708355378</v>
      </c>
      <c r="DO127" s="199">
        <f t="shared" si="314"/>
        <v>9333.4471153156028</v>
      </c>
    </row>
    <row r="128" spans="2:119" x14ac:dyDescent="0.3">
      <c r="B128" s="206">
        <f t="shared" si="315"/>
        <v>16</v>
      </c>
      <c r="C128" s="748">
        <f>'Energy NPV'!$D54</f>
        <v>12.54</v>
      </c>
      <c r="D128" s="207">
        <f>'Energy margins'!$L$12</f>
        <v>55</v>
      </c>
      <c r="E128" s="207">
        <f t="shared" si="316"/>
        <v>689.69999999999993</v>
      </c>
      <c r="F128" s="207">
        <f>'Margins summary'!$S$14</f>
        <v>220</v>
      </c>
      <c r="G128" s="207">
        <f t="shared" si="268"/>
        <v>909.69999999999993</v>
      </c>
      <c r="H128" s="207"/>
      <c r="I128" s="898">
        <f>'Energy NPV'!U54</f>
        <v>233.81200000000001</v>
      </c>
      <c r="J128" s="207">
        <f>'Energy margins'!$Q$67</f>
        <v>170</v>
      </c>
      <c r="K128" s="207">
        <f t="shared" si="252"/>
        <v>403.81200000000001</v>
      </c>
      <c r="L128" s="207">
        <f t="shared" si="253"/>
        <v>285.88799999999992</v>
      </c>
      <c r="M128" s="207">
        <f t="shared" si="254"/>
        <v>505.88799999999992</v>
      </c>
      <c r="N128" s="208">
        <f t="shared" si="269"/>
        <v>382.96592752134558</v>
      </c>
      <c r="O128" s="207">
        <f t="shared" si="269"/>
        <v>122.15819059692046</v>
      </c>
      <c r="P128" s="207">
        <f t="shared" si="270"/>
        <v>224.22246936965294</v>
      </c>
      <c r="Q128" s="207">
        <f>L128/((1+$B$4)^($B128-1))</f>
        <v>158.74345815169266</v>
      </c>
      <c r="R128" s="209">
        <f>M128/((1+$B$4)^($B128-1))</f>
        <v>280.90164874861313</v>
      </c>
      <c r="S128" s="208">
        <f t="shared" si="317"/>
        <v>7172.5259983568831</v>
      </c>
      <c r="T128" s="207">
        <f t="shared" si="271"/>
        <v>2666.045235076986</v>
      </c>
      <c r="U128" s="207">
        <f t="shared" si="272"/>
        <v>4876.9946636093364</v>
      </c>
      <c r="V128" s="207">
        <f t="shared" si="273"/>
        <v>2295.5313347475462</v>
      </c>
      <c r="W128" s="209">
        <f t="shared" si="274"/>
        <v>4961.5765698245323</v>
      </c>
      <c r="Z128" s="206">
        <f t="shared" si="318"/>
        <v>16</v>
      </c>
      <c r="AA128" s="748">
        <f>'Energy NPV'!$D54</f>
        <v>12.54</v>
      </c>
      <c r="AB128" s="207">
        <f>'Energy margins'!$L$12</f>
        <v>55</v>
      </c>
      <c r="AC128" s="207">
        <f t="shared" si="319"/>
        <v>689.69999999999993</v>
      </c>
      <c r="AD128" s="207">
        <f>'Margins summary'!$S$14</f>
        <v>220</v>
      </c>
      <c r="AE128" s="207">
        <f t="shared" si="275"/>
        <v>909.69999999999993</v>
      </c>
      <c r="AF128" s="207"/>
      <c r="AG128" s="898">
        <f>'Energy NPV'!U54</f>
        <v>233.81200000000001</v>
      </c>
      <c r="AH128" s="207">
        <f>'Energy margins'!$Q$67</f>
        <v>170</v>
      </c>
      <c r="AI128" s="207">
        <f t="shared" si="255"/>
        <v>605.71800000000007</v>
      </c>
      <c r="AJ128" s="207">
        <f t="shared" si="256"/>
        <v>83.981999999999857</v>
      </c>
      <c r="AK128" s="207">
        <f t="shared" si="257"/>
        <v>303.98199999999986</v>
      </c>
      <c r="AL128" s="208">
        <f t="shared" si="276"/>
        <v>382.96592752134558</v>
      </c>
      <c r="AM128" s="207">
        <f t="shared" si="277"/>
        <v>122.15819059692046</v>
      </c>
      <c r="AN128" s="207">
        <f t="shared" si="278"/>
        <v>336.33370405447943</v>
      </c>
      <c r="AO128" s="207">
        <f t="shared" si="279"/>
        <v>46.632223466866165</v>
      </c>
      <c r="AP128" s="209">
        <f t="shared" si="280"/>
        <v>168.79041406378661</v>
      </c>
      <c r="AQ128" s="208">
        <f>AQ127+AL128</f>
        <v>7172.5259983568831</v>
      </c>
      <c r="AR128" s="207">
        <f t="shared" si="281"/>
        <v>2666.045235076986</v>
      </c>
      <c r="AS128" s="207">
        <f t="shared" si="282"/>
        <v>7315.4919954140041</v>
      </c>
      <c r="AT128" s="207">
        <f t="shared" si="283"/>
        <v>-142.96599705712282</v>
      </c>
      <c r="AU128" s="209">
        <f t="shared" si="284"/>
        <v>2523.0792380198641</v>
      </c>
      <c r="AX128" s="206">
        <f t="shared" si="321"/>
        <v>16</v>
      </c>
      <c r="AY128" s="748">
        <f>'Energy NPV'!$D54</f>
        <v>12.54</v>
      </c>
      <c r="AZ128" s="207">
        <f>'Energy margins'!$L$12</f>
        <v>55</v>
      </c>
      <c r="BA128" s="207">
        <f t="shared" si="322"/>
        <v>689.69999999999993</v>
      </c>
      <c r="BB128" s="207">
        <f>'Margins summary'!$S$14</f>
        <v>220</v>
      </c>
      <c r="BC128" s="207">
        <f t="shared" si="285"/>
        <v>909.69999999999993</v>
      </c>
      <c r="BD128" s="207"/>
      <c r="BE128" s="898">
        <f>'Energy NPV'!U54</f>
        <v>233.81200000000001</v>
      </c>
      <c r="BF128" s="207">
        <f>'Energy margins'!$Q$67</f>
        <v>170</v>
      </c>
      <c r="BG128" s="207">
        <f t="shared" si="258"/>
        <v>201.90600000000001</v>
      </c>
      <c r="BH128" s="207">
        <f t="shared" si="259"/>
        <v>487.79399999999993</v>
      </c>
      <c r="BI128" s="207">
        <f t="shared" si="260"/>
        <v>707.79399999999987</v>
      </c>
      <c r="BJ128" s="208">
        <f t="shared" si="286"/>
        <v>382.96592752134558</v>
      </c>
      <c r="BK128" s="207">
        <f t="shared" si="287"/>
        <v>122.15819059692046</v>
      </c>
      <c r="BL128" s="207">
        <f t="shared" si="288"/>
        <v>112.11123468482647</v>
      </c>
      <c r="BM128" s="207">
        <f t="shared" si="289"/>
        <v>270.85469283651912</v>
      </c>
      <c r="BN128" s="209">
        <f t="shared" si="290"/>
        <v>393.01288343343953</v>
      </c>
      <c r="BO128" s="208">
        <f t="shared" si="323"/>
        <v>7172.5259983568831</v>
      </c>
      <c r="BP128" s="207">
        <f t="shared" si="291"/>
        <v>2666.045235076986</v>
      </c>
      <c r="BQ128" s="207">
        <f t="shared" si="292"/>
        <v>2438.4973318046682</v>
      </c>
      <c r="BR128" s="207">
        <f t="shared" si="293"/>
        <v>4734.0286665522153</v>
      </c>
      <c r="BS128" s="209">
        <f t="shared" si="294"/>
        <v>7400.0739016292</v>
      </c>
      <c r="BV128" s="206">
        <f t="shared" si="324"/>
        <v>16</v>
      </c>
      <c r="BW128" s="748">
        <f>'Energy NPV'!$D54</f>
        <v>12.54</v>
      </c>
      <c r="BX128" s="207">
        <f>'Energy margins'!$L$12</f>
        <v>55</v>
      </c>
      <c r="BY128" s="207">
        <f t="shared" si="325"/>
        <v>689.69999999999993</v>
      </c>
      <c r="BZ128" s="207">
        <f>'Margins summary'!$S$14</f>
        <v>220</v>
      </c>
      <c r="CA128" s="207">
        <f t="shared" si="295"/>
        <v>909.69999999999993</v>
      </c>
      <c r="CB128" s="207"/>
      <c r="CC128" s="898">
        <f>'Energy NPV'!U54</f>
        <v>233.81200000000001</v>
      </c>
      <c r="CD128" s="207">
        <f>'Energy margins'!$Q$67</f>
        <v>170</v>
      </c>
      <c r="CE128" s="207">
        <f t="shared" si="261"/>
        <v>807.62400000000002</v>
      </c>
      <c r="CF128" s="207">
        <f t="shared" si="262"/>
        <v>-117.92400000000009</v>
      </c>
      <c r="CG128" s="207">
        <f t="shared" si="263"/>
        <v>102.07599999999991</v>
      </c>
      <c r="CH128" s="208">
        <f t="shared" si="296"/>
        <v>382.96592752134558</v>
      </c>
      <c r="CI128" s="207">
        <f t="shared" si="297"/>
        <v>122.15819059692046</v>
      </c>
      <c r="CJ128" s="207">
        <f t="shared" si="298"/>
        <v>448.44493873930588</v>
      </c>
      <c r="CK128" s="207">
        <f t="shared" si="299"/>
        <v>-65.479011217960263</v>
      </c>
      <c r="CL128" s="209">
        <f>CG128/((1+$B$4)^($BV128-1))</f>
        <v>56.679179378960185</v>
      </c>
      <c r="CM128" s="208">
        <f t="shared" si="326"/>
        <v>7172.5259983568831</v>
      </c>
      <c r="CN128" s="207">
        <f t="shared" si="301"/>
        <v>2666.045235076986</v>
      </c>
      <c r="CO128" s="207">
        <f t="shared" si="302"/>
        <v>9753.9893272186728</v>
      </c>
      <c r="CP128" s="207">
        <f t="shared" si="303"/>
        <v>-2581.4633288617915</v>
      </c>
      <c r="CQ128" s="209">
        <f t="shared" si="304"/>
        <v>84.581906215195261</v>
      </c>
      <c r="CT128" s="206">
        <f t="shared" si="327"/>
        <v>16</v>
      </c>
      <c r="CU128" s="748">
        <f>'Energy NPV'!$D54</f>
        <v>12.54</v>
      </c>
      <c r="CV128" s="207">
        <f>'Energy margins'!$L$12</f>
        <v>55</v>
      </c>
      <c r="CW128" s="207">
        <f t="shared" si="264"/>
        <v>689.69999999999993</v>
      </c>
      <c r="CX128" s="207">
        <f>'Margins summary'!$S$14</f>
        <v>220</v>
      </c>
      <c r="CY128" s="207">
        <f t="shared" si="305"/>
        <v>909.69999999999993</v>
      </c>
      <c r="CZ128" s="207"/>
      <c r="DA128" s="898">
        <f>'Energy NPV'!U54</f>
        <v>233.81200000000001</v>
      </c>
      <c r="DB128" s="207">
        <f>'Energy margins'!$Q$67</f>
        <v>170</v>
      </c>
      <c r="DC128" s="207">
        <f t="shared" si="265"/>
        <v>0</v>
      </c>
      <c r="DD128" s="207">
        <f t="shared" si="266"/>
        <v>689.69999999999993</v>
      </c>
      <c r="DE128" s="207">
        <f t="shared" si="267"/>
        <v>909.69999999999993</v>
      </c>
      <c r="DF128" s="208">
        <f t="shared" si="306"/>
        <v>382.96592752134558</v>
      </c>
      <c r="DG128" s="207">
        <f t="shared" si="307"/>
        <v>122.15819059692046</v>
      </c>
      <c r="DH128" s="207">
        <f t="shared" si="308"/>
        <v>0</v>
      </c>
      <c r="DI128" s="207">
        <f t="shared" si="309"/>
        <v>382.96592752134558</v>
      </c>
      <c r="DJ128" s="209">
        <f>DE128/((1+$B$4)^($CT128-1))</f>
        <v>505.12411811826604</v>
      </c>
      <c r="DK128" s="208">
        <f t="shared" si="328"/>
        <v>7172.5259983568831</v>
      </c>
      <c r="DL128" s="207">
        <f t="shared" si="311"/>
        <v>2666.045235076986</v>
      </c>
      <c r="DM128" s="207">
        <f t="shared" si="312"/>
        <v>0</v>
      </c>
      <c r="DN128" s="207">
        <f t="shared" si="313"/>
        <v>7172.5259983568831</v>
      </c>
      <c r="DO128" s="209">
        <f t="shared" si="314"/>
        <v>9838.5712334338696</v>
      </c>
    </row>
    <row r="134" spans="2:172" x14ac:dyDescent="0.3">
      <c r="B134" s="212" t="s">
        <v>260</v>
      </c>
      <c r="C134" s="750" t="s">
        <v>427</v>
      </c>
      <c r="D134" s="269" t="s">
        <v>418</v>
      </c>
      <c r="E134" s="894">
        <v>1</v>
      </c>
      <c r="F134" s="102"/>
      <c r="G134" s="102"/>
      <c r="H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212" t="s">
        <v>260</v>
      </c>
      <c r="AA134" s="750" t="s">
        <v>428</v>
      </c>
      <c r="AB134" s="269" t="s">
        <v>418</v>
      </c>
      <c r="AC134" s="894">
        <v>1.5</v>
      </c>
      <c r="AD134" s="102"/>
      <c r="AE134" s="102"/>
      <c r="AF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X134" s="212" t="s">
        <v>260</v>
      </c>
      <c r="AY134" s="750" t="s">
        <v>429</v>
      </c>
      <c r="AZ134" s="269" t="s">
        <v>418</v>
      </c>
      <c r="BA134" s="894">
        <v>0.5</v>
      </c>
      <c r="BB134" s="102"/>
      <c r="BC134" s="102"/>
      <c r="BD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V134" s="212" t="s">
        <v>260</v>
      </c>
      <c r="BW134" s="750" t="s">
        <v>430</v>
      </c>
      <c r="BX134" s="269" t="s">
        <v>418</v>
      </c>
      <c r="BY134" s="894">
        <v>2</v>
      </c>
      <c r="BZ134" s="102"/>
      <c r="CA134" s="102"/>
      <c r="CB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T134" s="212" t="s">
        <v>260</v>
      </c>
      <c r="CU134" s="750" t="s">
        <v>495</v>
      </c>
      <c r="CV134" s="269" t="s">
        <v>418</v>
      </c>
      <c r="CW134" s="894">
        <v>0</v>
      </c>
      <c r="CX134" s="102"/>
      <c r="CY134" s="102"/>
      <c r="CZ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/>
      <c r="DN134" s="102"/>
      <c r="DX134" s="102"/>
      <c r="DY134" s="102"/>
      <c r="DZ134" s="102"/>
      <c r="EA134" s="102"/>
      <c r="EB134" s="102"/>
      <c r="EC134" s="102"/>
      <c r="ED134" s="102"/>
      <c r="EE134" s="102"/>
      <c r="EF134" s="102"/>
      <c r="EG134" s="102"/>
      <c r="FG134" s="102"/>
      <c r="FH134" s="102"/>
      <c r="FI134" s="102"/>
      <c r="FJ134" s="102"/>
      <c r="FK134" s="102"/>
      <c r="FL134" s="102"/>
      <c r="FM134" s="102"/>
      <c r="FN134" s="102"/>
      <c r="FO134" s="102"/>
      <c r="FP134" s="102"/>
    </row>
    <row r="135" spans="2:172" x14ac:dyDescent="0.3">
      <c r="B135" s="203"/>
      <c r="D135" s="158"/>
      <c r="E135" s="745"/>
      <c r="F135" s="745"/>
      <c r="G135" s="745"/>
      <c r="H135" s="148"/>
      <c r="I135" s="148"/>
      <c r="J135" s="745"/>
      <c r="K135" s="148"/>
      <c r="L135" s="148"/>
      <c r="M135" s="875" t="s">
        <v>279</v>
      </c>
      <c r="N135" s="876"/>
      <c r="O135" s="876"/>
      <c r="P135" s="876"/>
      <c r="Q135" s="877"/>
      <c r="R135" s="875" t="s">
        <v>280</v>
      </c>
      <c r="S135" s="876"/>
      <c r="T135" s="876"/>
      <c r="U135" s="876"/>
      <c r="V135" s="877"/>
      <c r="Z135" s="203"/>
      <c r="AB135" s="158"/>
      <c r="AC135" s="745"/>
      <c r="AD135" s="745"/>
      <c r="AE135" s="745"/>
      <c r="AF135" s="148"/>
      <c r="AG135" s="148"/>
      <c r="AH135" s="745"/>
      <c r="AI135" s="148"/>
      <c r="AJ135" s="148"/>
      <c r="AK135" s="875" t="s">
        <v>279</v>
      </c>
      <c r="AL135" s="876"/>
      <c r="AM135" s="876"/>
      <c r="AN135" s="876"/>
      <c r="AO135" s="877"/>
      <c r="AP135" s="875" t="s">
        <v>280</v>
      </c>
      <c r="AQ135" s="876"/>
      <c r="AR135" s="876"/>
      <c r="AS135" s="876"/>
      <c r="AT135" s="877"/>
      <c r="AX135" s="203"/>
      <c r="AZ135" s="158"/>
      <c r="BA135" s="745"/>
      <c r="BB135" s="745"/>
      <c r="BC135" s="745"/>
      <c r="BD135" s="148"/>
      <c r="BE135" s="148"/>
      <c r="BF135" s="745"/>
      <c r="BG135" s="148"/>
      <c r="BH135" s="148"/>
      <c r="BI135" s="875" t="s">
        <v>279</v>
      </c>
      <c r="BJ135" s="876"/>
      <c r="BK135" s="876"/>
      <c r="BL135" s="876"/>
      <c r="BM135" s="877"/>
      <c r="BN135" s="875" t="s">
        <v>280</v>
      </c>
      <c r="BO135" s="876"/>
      <c r="BP135" s="876"/>
      <c r="BQ135" s="876"/>
      <c r="BR135" s="877"/>
      <c r="BV135" s="203"/>
      <c r="BX135" s="158"/>
      <c r="BY135" s="745"/>
      <c r="BZ135" s="745"/>
      <c r="CA135" s="745"/>
      <c r="CB135" s="148"/>
      <c r="CC135" s="148"/>
      <c r="CD135" s="745"/>
      <c r="CE135" s="148"/>
      <c r="CF135" s="148"/>
      <c r="CG135" s="875" t="s">
        <v>279</v>
      </c>
      <c r="CH135" s="876"/>
      <c r="CI135" s="876"/>
      <c r="CJ135" s="876"/>
      <c r="CK135" s="877"/>
      <c r="CL135" s="875" t="s">
        <v>280</v>
      </c>
      <c r="CM135" s="876"/>
      <c r="CN135" s="876"/>
      <c r="CO135" s="876"/>
      <c r="CP135" s="877"/>
      <c r="CT135" s="203"/>
      <c r="CV135" s="158"/>
      <c r="CW135" s="745"/>
      <c r="CX135" s="745"/>
      <c r="CY135" s="745"/>
      <c r="CZ135" s="148"/>
      <c r="DA135" s="148"/>
      <c r="DB135" s="745"/>
      <c r="DC135" s="148"/>
      <c r="DD135" s="148"/>
      <c r="DE135" s="875" t="s">
        <v>279</v>
      </c>
      <c r="DF135" s="876"/>
      <c r="DG135" s="876"/>
      <c r="DH135" s="876"/>
      <c r="DI135" s="877"/>
      <c r="DJ135" s="875" t="s">
        <v>280</v>
      </c>
      <c r="DK135" s="876"/>
      <c r="DL135" s="876"/>
      <c r="DM135" s="876"/>
      <c r="DN135" s="877"/>
    </row>
    <row r="136" spans="2:172" ht="51" x14ac:dyDescent="0.3">
      <c r="B136" s="204" t="s">
        <v>281</v>
      </c>
      <c r="C136" s="205" t="s">
        <v>307</v>
      </c>
      <c r="D136" s="205" t="s">
        <v>308</v>
      </c>
      <c r="E136" s="171" t="s">
        <v>283</v>
      </c>
      <c r="F136" s="171" t="s">
        <v>10</v>
      </c>
      <c r="G136" s="171" t="s">
        <v>284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287</v>
      </c>
      <c r="K136" s="171" t="s">
        <v>288</v>
      </c>
      <c r="L136" s="171" t="s">
        <v>289</v>
      </c>
      <c r="M136" s="195" t="s">
        <v>290</v>
      </c>
      <c r="N136" s="171" t="s">
        <v>291</v>
      </c>
      <c r="O136" s="171" t="s">
        <v>292</v>
      </c>
      <c r="P136" s="171" t="s">
        <v>293</v>
      </c>
      <c r="Q136" s="198" t="s">
        <v>294</v>
      </c>
      <c r="R136" s="195" t="s">
        <v>295</v>
      </c>
      <c r="S136" s="171" t="s">
        <v>296</v>
      </c>
      <c r="T136" s="171" t="s">
        <v>297</v>
      </c>
      <c r="U136" s="171" t="s">
        <v>298</v>
      </c>
      <c r="V136" s="198" t="s">
        <v>299</v>
      </c>
      <c r="Z136" s="204" t="s">
        <v>281</v>
      </c>
      <c r="AA136" s="205" t="s">
        <v>307</v>
      </c>
      <c r="AB136" s="205" t="s">
        <v>308</v>
      </c>
      <c r="AC136" s="171" t="s">
        <v>283</v>
      </c>
      <c r="AD136" s="171" t="s">
        <v>10</v>
      </c>
      <c r="AE136" s="171" t="s">
        <v>284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287</v>
      </c>
      <c r="AI136" s="171" t="s">
        <v>288</v>
      </c>
      <c r="AJ136" s="171" t="s">
        <v>289</v>
      </c>
      <c r="AK136" s="195" t="s">
        <v>290</v>
      </c>
      <c r="AL136" s="171" t="s">
        <v>291</v>
      </c>
      <c r="AM136" s="171" t="s">
        <v>292</v>
      </c>
      <c r="AN136" s="171" t="s">
        <v>293</v>
      </c>
      <c r="AO136" s="198" t="s">
        <v>294</v>
      </c>
      <c r="AP136" s="195" t="s">
        <v>295</v>
      </c>
      <c r="AQ136" s="171" t="s">
        <v>296</v>
      </c>
      <c r="AR136" s="171" t="s">
        <v>297</v>
      </c>
      <c r="AS136" s="171" t="s">
        <v>298</v>
      </c>
      <c r="AT136" s="198" t="s">
        <v>299</v>
      </c>
      <c r="AX136" s="204" t="s">
        <v>281</v>
      </c>
      <c r="AY136" s="205" t="s">
        <v>307</v>
      </c>
      <c r="AZ136" s="205" t="s">
        <v>308</v>
      </c>
      <c r="BA136" s="171" t="s">
        <v>283</v>
      </c>
      <c r="BB136" s="171" t="s">
        <v>10</v>
      </c>
      <c r="BC136" s="171" t="s">
        <v>284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287</v>
      </c>
      <c r="BG136" s="171" t="s">
        <v>288</v>
      </c>
      <c r="BH136" s="171" t="s">
        <v>289</v>
      </c>
      <c r="BI136" s="195" t="s">
        <v>290</v>
      </c>
      <c r="BJ136" s="171" t="s">
        <v>291</v>
      </c>
      <c r="BK136" s="171" t="s">
        <v>292</v>
      </c>
      <c r="BL136" s="171" t="s">
        <v>293</v>
      </c>
      <c r="BM136" s="198" t="s">
        <v>294</v>
      </c>
      <c r="BN136" s="195" t="s">
        <v>295</v>
      </c>
      <c r="BO136" s="171" t="s">
        <v>296</v>
      </c>
      <c r="BP136" s="171" t="s">
        <v>297</v>
      </c>
      <c r="BQ136" s="171" t="s">
        <v>298</v>
      </c>
      <c r="BR136" s="198" t="s">
        <v>299</v>
      </c>
      <c r="BV136" s="204" t="s">
        <v>281</v>
      </c>
      <c r="BW136" s="205" t="s">
        <v>307</v>
      </c>
      <c r="BX136" s="205" t="s">
        <v>308</v>
      </c>
      <c r="BY136" s="171" t="s">
        <v>283</v>
      </c>
      <c r="BZ136" s="171" t="s">
        <v>10</v>
      </c>
      <c r="CA136" s="171" t="s">
        <v>284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287</v>
      </c>
      <c r="CE136" s="171" t="s">
        <v>288</v>
      </c>
      <c r="CF136" s="171" t="s">
        <v>289</v>
      </c>
      <c r="CG136" s="195" t="s">
        <v>290</v>
      </c>
      <c r="CH136" s="171" t="s">
        <v>291</v>
      </c>
      <c r="CI136" s="171" t="s">
        <v>292</v>
      </c>
      <c r="CJ136" s="171" t="s">
        <v>293</v>
      </c>
      <c r="CK136" s="198" t="s">
        <v>294</v>
      </c>
      <c r="CL136" s="195" t="s">
        <v>295</v>
      </c>
      <c r="CM136" s="171" t="s">
        <v>296</v>
      </c>
      <c r="CN136" s="171" t="s">
        <v>297</v>
      </c>
      <c r="CO136" s="171" t="s">
        <v>298</v>
      </c>
      <c r="CP136" s="198" t="s">
        <v>299</v>
      </c>
      <c r="CT136" s="204" t="s">
        <v>281</v>
      </c>
      <c r="CU136" s="205" t="s">
        <v>307</v>
      </c>
      <c r="CV136" s="205" t="s">
        <v>308</v>
      </c>
      <c r="CW136" s="171" t="s">
        <v>283</v>
      </c>
      <c r="CX136" s="171" t="s">
        <v>10</v>
      </c>
      <c r="CY136" s="171" t="s">
        <v>284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287</v>
      </c>
      <c r="DC136" s="171" t="s">
        <v>288</v>
      </c>
      <c r="DD136" s="171" t="s">
        <v>289</v>
      </c>
      <c r="DE136" s="195" t="s">
        <v>290</v>
      </c>
      <c r="DF136" s="171" t="s">
        <v>291</v>
      </c>
      <c r="DG136" s="171" t="s">
        <v>292</v>
      </c>
      <c r="DH136" s="171" t="s">
        <v>293</v>
      </c>
      <c r="DI136" s="198" t="s">
        <v>294</v>
      </c>
      <c r="DJ136" s="195" t="s">
        <v>295</v>
      </c>
      <c r="DK136" s="171" t="s">
        <v>296</v>
      </c>
      <c r="DL136" s="171" t="s">
        <v>297</v>
      </c>
      <c r="DM136" s="171" t="s">
        <v>298</v>
      </c>
      <c r="DN136" s="198" t="s">
        <v>299</v>
      </c>
    </row>
    <row r="137" spans="2:172" x14ac:dyDescent="0.3">
      <c r="B137" s="173"/>
      <c r="C137" s="226" t="s">
        <v>356</v>
      </c>
      <c r="D137" s="226" t="s">
        <v>476</v>
      </c>
      <c r="E137" s="201" t="s">
        <v>474</v>
      </c>
      <c r="F137" s="201" t="s">
        <v>474</v>
      </c>
      <c r="G137" s="201" t="s">
        <v>474</v>
      </c>
      <c r="H137" s="201" t="s">
        <v>474</v>
      </c>
      <c r="I137" s="201" t="s">
        <v>474</v>
      </c>
      <c r="J137" s="201" t="s">
        <v>474</v>
      </c>
      <c r="K137" s="201" t="s">
        <v>474</v>
      </c>
      <c r="L137" s="202" t="s">
        <v>474</v>
      </c>
      <c r="M137" s="201" t="s">
        <v>474</v>
      </c>
      <c r="N137" s="201" t="s">
        <v>474</v>
      </c>
      <c r="O137" s="201" t="s">
        <v>474</v>
      </c>
      <c r="P137" s="201" t="s">
        <v>474</v>
      </c>
      <c r="Q137" s="202" t="s">
        <v>474</v>
      </c>
      <c r="R137" s="201" t="s">
        <v>474</v>
      </c>
      <c r="S137" s="201" t="s">
        <v>474</v>
      </c>
      <c r="T137" s="201" t="s">
        <v>474</v>
      </c>
      <c r="U137" s="201" t="s">
        <v>474</v>
      </c>
      <c r="V137" s="202" t="s">
        <v>474</v>
      </c>
      <c r="Z137" s="173"/>
      <c r="AA137" s="226" t="s">
        <v>356</v>
      </c>
      <c r="AB137" s="226" t="s">
        <v>476</v>
      </c>
      <c r="AC137" s="201" t="s">
        <v>474</v>
      </c>
      <c r="AD137" s="201" t="s">
        <v>474</v>
      </c>
      <c r="AE137" s="201" t="s">
        <v>474</v>
      </c>
      <c r="AF137" s="201" t="s">
        <v>474</v>
      </c>
      <c r="AG137" s="201" t="s">
        <v>474</v>
      </c>
      <c r="AH137" s="201" t="s">
        <v>474</v>
      </c>
      <c r="AI137" s="201" t="s">
        <v>474</v>
      </c>
      <c r="AJ137" s="202" t="s">
        <v>474</v>
      </c>
      <c r="AK137" s="201" t="s">
        <v>474</v>
      </c>
      <c r="AL137" s="201" t="s">
        <v>474</v>
      </c>
      <c r="AM137" s="201" t="s">
        <v>474</v>
      </c>
      <c r="AN137" s="201" t="s">
        <v>474</v>
      </c>
      <c r="AO137" s="202" t="s">
        <v>474</v>
      </c>
      <c r="AP137" s="201" t="s">
        <v>474</v>
      </c>
      <c r="AQ137" s="201" t="s">
        <v>474</v>
      </c>
      <c r="AR137" s="201" t="s">
        <v>474</v>
      </c>
      <c r="AS137" s="201" t="s">
        <v>474</v>
      </c>
      <c r="AT137" s="202" t="s">
        <v>474</v>
      </c>
      <c r="AX137" s="173"/>
      <c r="AY137" s="226" t="s">
        <v>356</v>
      </c>
      <c r="AZ137" s="226" t="s">
        <v>476</v>
      </c>
      <c r="BA137" s="201" t="s">
        <v>474</v>
      </c>
      <c r="BB137" s="201" t="s">
        <v>474</v>
      </c>
      <c r="BC137" s="201" t="s">
        <v>474</v>
      </c>
      <c r="BD137" s="201" t="s">
        <v>474</v>
      </c>
      <c r="BE137" s="201" t="s">
        <v>474</v>
      </c>
      <c r="BF137" s="201" t="s">
        <v>474</v>
      </c>
      <c r="BG137" s="201" t="s">
        <v>474</v>
      </c>
      <c r="BH137" s="202" t="s">
        <v>474</v>
      </c>
      <c r="BI137" s="201" t="s">
        <v>474</v>
      </c>
      <c r="BJ137" s="201" t="s">
        <v>474</v>
      </c>
      <c r="BK137" s="201" t="s">
        <v>474</v>
      </c>
      <c r="BL137" s="201" t="s">
        <v>474</v>
      </c>
      <c r="BM137" s="202" t="s">
        <v>474</v>
      </c>
      <c r="BN137" s="201" t="s">
        <v>474</v>
      </c>
      <c r="BO137" s="201" t="s">
        <v>474</v>
      </c>
      <c r="BP137" s="201" t="s">
        <v>474</v>
      </c>
      <c r="BQ137" s="201" t="s">
        <v>474</v>
      </c>
      <c r="BR137" s="202" t="s">
        <v>474</v>
      </c>
      <c r="BV137" s="173"/>
      <c r="BW137" s="226" t="s">
        <v>356</v>
      </c>
      <c r="BX137" s="226" t="s">
        <v>476</v>
      </c>
      <c r="BY137" s="201" t="s">
        <v>474</v>
      </c>
      <c r="BZ137" s="201" t="s">
        <v>474</v>
      </c>
      <c r="CA137" s="201" t="s">
        <v>474</v>
      </c>
      <c r="CB137" s="201" t="s">
        <v>474</v>
      </c>
      <c r="CC137" s="201" t="s">
        <v>474</v>
      </c>
      <c r="CD137" s="201" t="s">
        <v>474</v>
      </c>
      <c r="CE137" s="201" t="s">
        <v>474</v>
      </c>
      <c r="CF137" s="202" t="s">
        <v>474</v>
      </c>
      <c r="CG137" s="201" t="s">
        <v>474</v>
      </c>
      <c r="CH137" s="201" t="s">
        <v>474</v>
      </c>
      <c r="CI137" s="201" t="s">
        <v>474</v>
      </c>
      <c r="CJ137" s="201" t="s">
        <v>474</v>
      </c>
      <c r="CK137" s="202" t="s">
        <v>474</v>
      </c>
      <c r="CL137" s="201" t="s">
        <v>474</v>
      </c>
      <c r="CM137" s="201" t="s">
        <v>474</v>
      </c>
      <c r="CN137" s="201" t="s">
        <v>474</v>
      </c>
      <c r="CO137" s="201" t="s">
        <v>474</v>
      </c>
      <c r="CP137" s="202" t="s">
        <v>474</v>
      </c>
      <c r="CT137" s="173"/>
      <c r="CU137" s="226" t="s">
        <v>356</v>
      </c>
      <c r="CV137" s="226" t="s">
        <v>476</v>
      </c>
      <c r="CW137" s="201" t="s">
        <v>474</v>
      </c>
      <c r="CX137" s="201" t="s">
        <v>474</v>
      </c>
      <c r="CY137" s="201" t="s">
        <v>474</v>
      </c>
      <c r="CZ137" s="201" t="s">
        <v>474</v>
      </c>
      <c r="DA137" s="201" t="s">
        <v>474</v>
      </c>
      <c r="DB137" s="201" t="s">
        <v>474</v>
      </c>
      <c r="DC137" s="201" t="s">
        <v>474</v>
      </c>
      <c r="DD137" s="202" t="s">
        <v>474</v>
      </c>
      <c r="DE137" s="201" t="s">
        <v>474</v>
      </c>
      <c r="DF137" s="201" t="s">
        <v>474</v>
      </c>
      <c r="DG137" s="201" t="s">
        <v>474</v>
      </c>
      <c r="DH137" s="201" t="s">
        <v>474</v>
      </c>
      <c r="DI137" s="202" t="s">
        <v>474</v>
      </c>
      <c r="DJ137" s="201" t="s">
        <v>474</v>
      </c>
      <c r="DK137" s="201" t="s">
        <v>474</v>
      </c>
      <c r="DL137" s="201" t="s">
        <v>474</v>
      </c>
      <c r="DM137" s="201" t="s">
        <v>474</v>
      </c>
      <c r="DN137" s="202" t="s">
        <v>474</v>
      </c>
    </row>
    <row r="138" spans="2:172" x14ac:dyDescent="0.3">
      <c r="B138" s="880">
        <v>1</v>
      </c>
      <c r="C138" s="892">
        <f>'Arable Inputs'!$H$18</f>
        <v>12</v>
      </c>
      <c r="D138" s="747">
        <f>'Arable Inputs'!$H$25</f>
        <v>107.1</v>
      </c>
      <c r="E138" s="749">
        <f>C138*D138</f>
        <v>1285.1999999999998</v>
      </c>
      <c r="F138" s="197">
        <f>'Arable NPV'!$D117</f>
        <v>220</v>
      </c>
      <c r="G138" s="197">
        <f>E138+F138</f>
        <v>1505.1999999999998</v>
      </c>
      <c r="H138" s="197">
        <f>'Arable NPV'!$F117</f>
        <v>528.51499999999999</v>
      </c>
      <c r="I138" s="197">
        <f>'Arable NPV'!$G117</f>
        <v>552.40000000000009</v>
      </c>
      <c r="J138" s="197">
        <f t="shared" ref="J138:J153" si="329">(H138+I138)*$E$134</f>
        <v>1080.915</v>
      </c>
      <c r="K138" s="197">
        <f t="shared" ref="K138:K153" si="330">E138-J138</f>
        <v>204.28499999999985</v>
      </c>
      <c r="L138" s="197">
        <f t="shared" ref="L138:L153" si="331">G138-J138</f>
        <v>424.28499999999985</v>
      </c>
      <c r="M138" s="1016">
        <f>E138/(1+$B$4)^(B138-1)</f>
        <v>1285.1999999999998</v>
      </c>
      <c r="N138" s="213">
        <f>F138/(1+$B$4)^(B138-1)</f>
        <v>220</v>
      </c>
      <c r="O138" s="213">
        <f>J138/(1+$B$4)^(B138-1)</f>
        <v>1080.915</v>
      </c>
      <c r="P138" s="213">
        <f>K138/(1+$B$4)^(B138-1)</f>
        <v>204.28499999999985</v>
      </c>
      <c r="Q138" s="908">
        <f>L138/(1+$B$4)^(B138-1)</f>
        <v>424.28499999999985</v>
      </c>
      <c r="R138" s="196">
        <f>M138</f>
        <v>1285.1999999999998</v>
      </c>
      <c r="S138" s="197">
        <f>N138</f>
        <v>220</v>
      </c>
      <c r="T138" s="197">
        <f>O138</f>
        <v>1080.915</v>
      </c>
      <c r="U138" s="197">
        <f>P138</f>
        <v>204.28499999999985</v>
      </c>
      <c r="V138" s="199">
        <f>Q138</f>
        <v>424.28499999999985</v>
      </c>
      <c r="Z138" s="880">
        <v>1</v>
      </c>
      <c r="AA138" s="892">
        <f>'Arable Inputs'!$H$18</f>
        <v>12</v>
      </c>
      <c r="AB138" s="747">
        <f>'Arable Inputs'!$H$25</f>
        <v>107.1</v>
      </c>
      <c r="AC138" s="749">
        <f>AA138*AB138</f>
        <v>1285.1999999999998</v>
      </c>
      <c r="AD138" s="197">
        <f>'Arable NPV'!$D117</f>
        <v>220</v>
      </c>
      <c r="AE138" s="197">
        <f>AC138+AD138</f>
        <v>1505.1999999999998</v>
      </c>
      <c r="AF138" s="197">
        <f>'Arable NPV'!$F117</f>
        <v>528.51499999999999</v>
      </c>
      <c r="AG138" s="197">
        <f>'Arable NPV'!$G117</f>
        <v>552.40000000000009</v>
      </c>
      <c r="AH138" s="197">
        <f t="shared" ref="AH138:AH153" si="332">(AF138+AG138)*$AC$134</f>
        <v>1621.3724999999999</v>
      </c>
      <c r="AI138" s="197">
        <f t="shared" ref="AI138:AI153" si="333">AC138-AH138</f>
        <v>-336.17250000000013</v>
      </c>
      <c r="AJ138" s="197">
        <f t="shared" ref="AJ138:AJ153" si="334">AE138-AH138</f>
        <v>-116.17250000000013</v>
      </c>
      <c r="AK138" s="1016">
        <f>AC138/(1+$B$4)^(Z138-1)</f>
        <v>1285.1999999999998</v>
      </c>
      <c r="AL138" s="213">
        <f>AD138/(1+$B$4)^(Z138-1)</f>
        <v>220</v>
      </c>
      <c r="AM138" s="213">
        <f>AH138/(1+$B$4)^(Z138-1)</f>
        <v>1621.3724999999999</v>
      </c>
      <c r="AN138" s="213">
        <f>AI138/(1+$B$4)^(Z138-1)</f>
        <v>-336.17250000000013</v>
      </c>
      <c r="AO138" s="908">
        <f>AJ138/(1+$B$4)^(Z138-1)</f>
        <v>-116.17250000000013</v>
      </c>
      <c r="AP138" s="196">
        <f>AK138</f>
        <v>1285.1999999999998</v>
      </c>
      <c r="AQ138" s="197">
        <f>AL138</f>
        <v>220</v>
      </c>
      <c r="AR138" s="197">
        <f>AM138</f>
        <v>1621.3724999999999</v>
      </c>
      <c r="AS138" s="197">
        <f>AN138</f>
        <v>-336.17250000000013</v>
      </c>
      <c r="AT138" s="199">
        <f>AO138</f>
        <v>-116.17250000000013</v>
      </c>
      <c r="AX138" s="880">
        <v>1</v>
      </c>
      <c r="AY138" s="892">
        <f>'Arable Inputs'!$H$18</f>
        <v>12</v>
      </c>
      <c r="AZ138" s="747">
        <f>'Arable Inputs'!$H$25</f>
        <v>107.1</v>
      </c>
      <c r="BA138" s="749">
        <f>AY138*AZ138</f>
        <v>1285.1999999999998</v>
      </c>
      <c r="BB138" s="197">
        <f>'Arable NPV'!$D117</f>
        <v>220</v>
      </c>
      <c r="BC138" s="197">
        <f>BA138+BB138</f>
        <v>1505.1999999999998</v>
      </c>
      <c r="BD138" s="197">
        <f>'Arable NPV'!$F117</f>
        <v>528.51499999999999</v>
      </c>
      <c r="BE138" s="197">
        <f>'Arable NPV'!$G117</f>
        <v>552.40000000000009</v>
      </c>
      <c r="BF138" s="197">
        <f t="shared" ref="BF138:BF153" si="335">(BD138+BE138)*$BA$134</f>
        <v>540.45749999999998</v>
      </c>
      <c r="BG138" s="197">
        <f t="shared" ref="BG138:BG153" si="336">BA138-BF138</f>
        <v>744.74249999999984</v>
      </c>
      <c r="BH138" s="197">
        <f t="shared" ref="BH138:BH153" si="337">BC138-BF138</f>
        <v>964.74249999999984</v>
      </c>
      <c r="BI138" s="1016">
        <f>BA138/(1+$B$4)^(AX138-1)</f>
        <v>1285.1999999999998</v>
      </c>
      <c r="BJ138" s="213">
        <f>BB138/(1+$B$4)^(AX138-1)</f>
        <v>220</v>
      </c>
      <c r="BK138" s="213">
        <f>BF138/(1+$B$4)^(AX138-1)</f>
        <v>540.45749999999998</v>
      </c>
      <c r="BL138" s="213">
        <f>BG138/(1+$B$4)^(AX138-1)</f>
        <v>744.74249999999984</v>
      </c>
      <c r="BM138" s="908">
        <f>BH138/(1+$B$4)^(AX138-1)</f>
        <v>964.74249999999984</v>
      </c>
      <c r="BN138" s="196">
        <f>BI138</f>
        <v>1285.1999999999998</v>
      </c>
      <c r="BO138" s="197">
        <f>BJ138</f>
        <v>220</v>
      </c>
      <c r="BP138" s="197">
        <f>BK138</f>
        <v>540.45749999999998</v>
      </c>
      <c r="BQ138" s="197">
        <f>BL138</f>
        <v>744.74249999999984</v>
      </c>
      <c r="BR138" s="199">
        <f>BM138</f>
        <v>964.74249999999984</v>
      </c>
      <c r="BV138" s="880">
        <v>1</v>
      </c>
      <c r="BW138" s="892">
        <f>'Arable Inputs'!$H$18</f>
        <v>12</v>
      </c>
      <c r="BX138" s="747">
        <f>'Arable Inputs'!$H$25</f>
        <v>107.1</v>
      </c>
      <c r="BY138" s="749">
        <f>BW138*BX138</f>
        <v>1285.1999999999998</v>
      </c>
      <c r="BZ138" s="197">
        <f>'Arable NPV'!$D117</f>
        <v>220</v>
      </c>
      <c r="CA138" s="197">
        <f>BY138+BZ138</f>
        <v>1505.1999999999998</v>
      </c>
      <c r="CB138" s="197">
        <f>'Arable NPV'!$F117</f>
        <v>528.51499999999999</v>
      </c>
      <c r="CC138" s="197">
        <f>'Arable NPV'!$G117</f>
        <v>552.40000000000009</v>
      </c>
      <c r="CD138" s="197">
        <f t="shared" ref="CD138:CD153" si="338">(CB138+CC138)*$BY$134</f>
        <v>2161.83</v>
      </c>
      <c r="CE138" s="197">
        <f t="shared" ref="CE138:CE153" si="339">BY138-CD138</f>
        <v>-876.63000000000011</v>
      </c>
      <c r="CF138" s="197">
        <f t="shared" ref="CF138:CF153" si="340">CA138-CD138</f>
        <v>-656.63000000000011</v>
      </c>
      <c r="CG138" s="1016">
        <f>BY138/(1+$B$4)^(BV138-1)</f>
        <v>1285.1999999999998</v>
      </c>
      <c r="CH138" s="213">
        <f>BZ138/(1+$B$4)^(BV138-1)</f>
        <v>220</v>
      </c>
      <c r="CI138" s="213">
        <f>CD138/(1+$B$4)^(BV138-1)</f>
        <v>2161.83</v>
      </c>
      <c r="CJ138" s="213">
        <f>CE138/(1+$B$4)^(BV138-1)</f>
        <v>-876.63000000000011</v>
      </c>
      <c r="CK138" s="908">
        <f>CF138/(1+$B$4)^(BV138-1)</f>
        <v>-656.63000000000011</v>
      </c>
      <c r="CL138" s="196">
        <f>CG138</f>
        <v>1285.1999999999998</v>
      </c>
      <c r="CM138" s="197">
        <f>CH138</f>
        <v>220</v>
      </c>
      <c r="CN138" s="197">
        <f>CI138</f>
        <v>2161.83</v>
      </c>
      <c r="CO138" s="197">
        <f>CJ138</f>
        <v>-876.63000000000011</v>
      </c>
      <c r="CP138" s="199">
        <f>CK138</f>
        <v>-656.63000000000011</v>
      </c>
      <c r="CT138" s="880">
        <v>1</v>
      </c>
      <c r="CU138" s="892">
        <f>'Arable Inputs'!$H$18</f>
        <v>12</v>
      </c>
      <c r="CV138" s="747">
        <f>'Arable Inputs'!$H$25</f>
        <v>107.1</v>
      </c>
      <c r="CW138" s="749">
        <f t="shared" ref="CW138:CW153" si="341">CU138*CV138</f>
        <v>1285.1999999999998</v>
      </c>
      <c r="CX138" s="197">
        <f>'Arable NPV'!$D117</f>
        <v>220</v>
      </c>
      <c r="CY138" s="197">
        <f>CW138+CX138</f>
        <v>1505.1999999999998</v>
      </c>
      <c r="CZ138" s="197">
        <f>'Arable NPV'!$F117</f>
        <v>528.51499999999999</v>
      </c>
      <c r="DA138" s="197">
        <f>'Arable NPV'!$G117</f>
        <v>552.40000000000009</v>
      </c>
      <c r="DB138" s="197">
        <f t="shared" ref="DB138:DB153" si="342">(CZ138+DA138)*$CW$134</f>
        <v>0</v>
      </c>
      <c r="DC138" s="197">
        <f t="shared" ref="DC138:DC153" si="343">CW138-DB138</f>
        <v>1285.1999999999998</v>
      </c>
      <c r="DD138" s="197">
        <f t="shared" ref="DD138:DD153" si="344">CY138-DB138</f>
        <v>1505.1999999999998</v>
      </c>
      <c r="DE138" s="1016">
        <f>CW138/(1+$B$4)^(CT138-1)</f>
        <v>1285.1999999999998</v>
      </c>
      <c r="DF138" s="213">
        <f>CX138/(1+$B$4)^(CT138-1)</f>
        <v>220</v>
      </c>
      <c r="DG138" s="213">
        <f>DB138/(1+$B$4)^(CT138-1)</f>
        <v>0</v>
      </c>
      <c r="DH138" s="213">
        <f>DC138/(1+$B$4)^(CT138-1)</f>
        <v>1285.1999999999998</v>
      </c>
      <c r="DI138" s="908">
        <f>DD138/(1+$B$4)^(CT138-1)</f>
        <v>1505.1999999999998</v>
      </c>
      <c r="DJ138" s="196">
        <f>DE138</f>
        <v>1285.1999999999998</v>
      </c>
      <c r="DK138" s="197">
        <f>DF138</f>
        <v>220</v>
      </c>
      <c r="DL138" s="197">
        <f>DG138</f>
        <v>0</v>
      </c>
      <c r="DM138" s="197">
        <f>DH138</f>
        <v>1285.1999999999998</v>
      </c>
      <c r="DN138" s="199">
        <f>DI138</f>
        <v>1505.1999999999998</v>
      </c>
    </row>
    <row r="139" spans="2:172" x14ac:dyDescent="0.3">
      <c r="B139" s="881">
        <v>2</v>
      </c>
      <c r="C139" s="892">
        <f>'Arable Inputs'!$H$18</f>
        <v>12</v>
      </c>
      <c r="D139" s="747">
        <f>'Arable Inputs'!$H$25</f>
        <v>107.1</v>
      </c>
      <c r="E139" s="749">
        <f t="shared" ref="E139:E153" si="345">C139*D139</f>
        <v>1285.1999999999998</v>
      </c>
      <c r="F139" s="197">
        <f>'Arable NPV'!$D118</f>
        <v>220</v>
      </c>
      <c r="G139" s="197">
        <f>E139+F139</f>
        <v>1505.1999999999998</v>
      </c>
      <c r="H139" s="197">
        <f>'Arable NPV'!$F118</f>
        <v>528.51499999999999</v>
      </c>
      <c r="I139" s="197">
        <f>'Arable NPV'!$G118</f>
        <v>552.40000000000009</v>
      </c>
      <c r="J139" s="197">
        <f t="shared" si="329"/>
        <v>1080.915</v>
      </c>
      <c r="K139" s="197">
        <f t="shared" si="330"/>
        <v>204.28499999999985</v>
      </c>
      <c r="L139" s="197">
        <f t="shared" si="331"/>
        <v>424.28499999999985</v>
      </c>
      <c r="M139" s="196">
        <f t="shared" ref="M139:M153" si="346">E139/(1+$B$4)^(B139-1)</f>
        <v>1235.7692307692305</v>
      </c>
      <c r="N139" s="197">
        <f t="shared" ref="N139:N153" si="347">F139/(1+$B$4)^(B139-1)</f>
        <v>211.53846153846152</v>
      </c>
      <c r="O139" s="197">
        <f t="shared" ref="O139:O153" si="348">J139/(1+$B$4)^(B139-1)</f>
        <v>1039.3413461538462</v>
      </c>
      <c r="P139" s="197">
        <f t="shared" ref="P139:P153" si="349">K139/(1+$B$4)^(B139-1)</f>
        <v>196.42788461538447</v>
      </c>
      <c r="Q139" s="199">
        <f t="shared" ref="Q139:Q152" si="350">L139/(1+$B$4)^(B139-1)</f>
        <v>407.96634615384602</v>
      </c>
      <c r="R139" s="196">
        <f t="shared" ref="R139:V153" si="351">R138+M139</f>
        <v>2520.9692307692303</v>
      </c>
      <c r="S139" s="197">
        <f t="shared" si="351"/>
        <v>431.53846153846155</v>
      </c>
      <c r="T139" s="197">
        <f t="shared" si="351"/>
        <v>2120.2563461538462</v>
      </c>
      <c r="U139" s="197">
        <f t="shared" si="351"/>
        <v>400.71288461538433</v>
      </c>
      <c r="V139" s="199">
        <f t="shared" si="351"/>
        <v>832.25134615384582</v>
      </c>
      <c r="Z139" s="881">
        <v>2</v>
      </c>
      <c r="AA139" s="892">
        <f>'Arable Inputs'!$H$18</f>
        <v>12</v>
      </c>
      <c r="AB139" s="747">
        <f>'Arable Inputs'!$H$25</f>
        <v>107.1</v>
      </c>
      <c r="AC139" s="749">
        <f t="shared" ref="AC139:AC153" si="352">AA139*AB139</f>
        <v>1285.1999999999998</v>
      </c>
      <c r="AD139" s="197">
        <f>'Arable NPV'!$D118</f>
        <v>220</v>
      </c>
      <c r="AE139" s="197">
        <f>AC139+AD139</f>
        <v>1505.1999999999998</v>
      </c>
      <c r="AF139" s="197">
        <f>'Arable NPV'!$F118</f>
        <v>528.51499999999999</v>
      </c>
      <c r="AG139" s="197">
        <f>'Arable NPV'!$G118</f>
        <v>552.40000000000009</v>
      </c>
      <c r="AH139" s="197">
        <f t="shared" si="332"/>
        <v>1621.3724999999999</v>
      </c>
      <c r="AI139" s="197">
        <f t="shared" si="333"/>
        <v>-336.17250000000013</v>
      </c>
      <c r="AJ139" s="197">
        <f t="shared" si="334"/>
        <v>-116.17250000000013</v>
      </c>
      <c r="AK139" s="196">
        <f t="shared" ref="AK139:AK153" si="353">AC139/(1+$B$4)^(Z139-1)</f>
        <v>1235.7692307692305</v>
      </c>
      <c r="AL139" s="197">
        <f t="shared" ref="AL139:AL153" si="354">AD139/(1+$B$4)^(Z139-1)</f>
        <v>211.53846153846152</v>
      </c>
      <c r="AM139" s="197">
        <f t="shared" ref="AM139:AM153" si="355">AH139/(1+$B$4)^(Z139-1)</f>
        <v>1559.0120192307691</v>
      </c>
      <c r="AN139" s="197">
        <f t="shared" ref="AN139:AN153" si="356">AI139/(1+$B$4)^(Z139-1)</f>
        <v>-323.24278846153857</v>
      </c>
      <c r="AO139" s="199">
        <f t="shared" ref="AO139:AO152" si="357">AJ139/(1+$B$4)^(Z139-1)</f>
        <v>-111.70432692307705</v>
      </c>
      <c r="AP139" s="196">
        <f t="shared" ref="AP139:AP153" si="358">AP138+AK139</f>
        <v>2520.9692307692303</v>
      </c>
      <c r="AQ139" s="197">
        <f t="shared" ref="AQ139:AQ153" si="359">AQ138+AL139</f>
        <v>431.53846153846155</v>
      </c>
      <c r="AR139" s="197">
        <f t="shared" ref="AR139:AR153" si="360">AR138+AM139</f>
        <v>3180.384519230769</v>
      </c>
      <c r="AS139" s="197">
        <f t="shared" ref="AS139:AS153" si="361">AS138+AN139</f>
        <v>-659.41528846153869</v>
      </c>
      <c r="AT139" s="199">
        <f t="shared" ref="AT139:AT153" si="362">AT138+AO139</f>
        <v>-227.87682692307718</v>
      </c>
      <c r="AX139" s="881">
        <v>2</v>
      </c>
      <c r="AY139" s="892">
        <f>'Arable Inputs'!$H$18</f>
        <v>12</v>
      </c>
      <c r="AZ139" s="747">
        <f>'Arable Inputs'!$H$25</f>
        <v>107.1</v>
      </c>
      <c r="BA139" s="749">
        <f t="shared" ref="BA139:BA153" si="363">AY139*AZ139</f>
        <v>1285.1999999999998</v>
      </c>
      <c r="BB139" s="197">
        <f>'Arable NPV'!$D118</f>
        <v>220</v>
      </c>
      <c r="BC139" s="197">
        <f>BA139+BB139</f>
        <v>1505.1999999999998</v>
      </c>
      <c r="BD139" s="197">
        <f>'Arable NPV'!$F118</f>
        <v>528.51499999999999</v>
      </c>
      <c r="BE139" s="197">
        <f>'Arable NPV'!$G118</f>
        <v>552.40000000000009</v>
      </c>
      <c r="BF139" s="197">
        <f t="shared" si="335"/>
        <v>540.45749999999998</v>
      </c>
      <c r="BG139" s="197">
        <f t="shared" si="336"/>
        <v>744.74249999999984</v>
      </c>
      <c r="BH139" s="197">
        <f t="shared" si="337"/>
        <v>964.74249999999984</v>
      </c>
      <c r="BI139" s="196">
        <f t="shared" ref="BI139:BI153" si="364">BA139/(1+$B$4)^(AX139-1)</f>
        <v>1235.7692307692305</v>
      </c>
      <c r="BJ139" s="197">
        <f t="shared" ref="BJ139:BJ153" si="365">BB139/(1+$B$4)^(AX139-1)</f>
        <v>211.53846153846152</v>
      </c>
      <c r="BK139" s="197">
        <f t="shared" ref="BK139:BK153" si="366">BF139/(1+$B$4)^(AX139-1)</f>
        <v>519.67067307692309</v>
      </c>
      <c r="BL139" s="197">
        <f t="shared" ref="BL139:BL153" si="367">BG139/(1+$B$4)^(AX139-1)</f>
        <v>716.09855769230751</v>
      </c>
      <c r="BM139" s="199">
        <f t="shared" ref="BM139:BM152" si="368">BH139/(1+$B$4)^(AX139-1)</f>
        <v>927.63701923076906</v>
      </c>
      <c r="BN139" s="196">
        <f t="shared" ref="BN139:BN153" si="369">BN138+BI139</f>
        <v>2520.9692307692303</v>
      </c>
      <c r="BO139" s="197">
        <f t="shared" ref="BO139:BO153" si="370">BO138+BJ139</f>
        <v>431.53846153846155</v>
      </c>
      <c r="BP139" s="197">
        <f t="shared" ref="BP139:BP153" si="371">BP138+BK139</f>
        <v>1060.1281730769231</v>
      </c>
      <c r="BQ139" s="197">
        <f t="shared" ref="BQ139:BQ153" si="372">BQ138+BL139</f>
        <v>1460.8410576923075</v>
      </c>
      <c r="BR139" s="199">
        <f t="shared" ref="BR139:BR153" si="373">BR138+BM139</f>
        <v>1892.3795192307689</v>
      </c>
      <c r="BV139" s="881">
        <v>2</v>
      </c>
      <c r="BW139" s="892">
        <f>'Arable Inputs'!$H$18</f>
        <v>12</v>
      </c>
      <c r="BX139" s="747">
        <f>'Arable Inputs'!$H$25</f>
        <v>107.1</v>
      </c>
      <c r="BY139" s="749">
        <f t="shared" ref="BY139:BY153" si="374">BW139*BX139</f>
        <v>1285.1999999999998</v>
      </c>
      <c r="BZ139" s="197">
        <f>'Arable NPV'!$D118</f>
        <v>220</v>
      </c>
      <c r="CA139" s="197">
        <f>BY139+BZ139</f>
        <v>1505.1999999999998</v>
      </c>
      <c r="CB139" s="197">
        <f>'Arable NPV'!$F118</f>
        <v>528.51499999999999</v>
      </c>
      <c r="CC139" s="197">
        <f>'Arable NPV'!$G118</f>
        <v>552.40000000000009</v>
      </c>
      <c r="CD139" s="197">
        <f t="shared" si="338"/>
        <v>2161.83</v>
      </c>
      <c r="CE139" s="197">
        <f t="shared" si="339"/>
        <v>-876.63000000000011</v>
      </c>
      <c r="CF139" s="197">
        <f t="shared" si="340"/>
        <v>-656.63000000000011</v>
      </c>
      <c r="CG139" s="196">
        <f t="shared" ref="CG139:CG153" si="375">BY139/(1+$B$4)^(BV139-1)</f>
        <v>1235.7692307692305</v>
      </c>
      <c r="CH139" s="197">
        <f t="shared" ref="CH139:CH153" si="376">BZ139/(1+$B$4)^(BV139-1)</f>
        <v>211.53846153846152</v>
      </c>
      <c r="CI139" s="197">
        <f t="shared" ref="CI139:CI153" si="377">CD139/(1+$B$4)^(BV139-1)</f>
        <v>2078.6826923076924</v>
      </c>
      <c r="CJ139" s="197">
        <f t="shared" ref="CJ139:CJ153" si="378">CE139/(1+$B$4)^(BV139-1)</f>
        <v>-842.91346153846166</v>
      </c>
      <c r="CK139" s="199">
        <f t="shared" ref="CK139:CK152" si="379">CF139/(1+$B$4)^(BV139-1)</f>
        <v>-631.37500000000011</v>
      </c>
      <c r="CL139" s="196">
        <f t="shared" ref="CL139:CL153" si="380">CL138+CG139</f>
        <v>2520.9692307692303</v>
      </c>
      <c r="CM139" s="197">
        <f t="shared" ref="CM139:CM153" si="381">CM138+CH139</f>
        <v>431.53846153846155</v>
      </c>
      <c r="CN139" s="197">
        <f t="shared" ref="CN139:CN153" si="382">CN138+CI139</f>
        <v>4240.5126923076923</v>
      </c>
      <c r="CO139" s="197">
        <f t="shared" ref="CO139:CO153" si="383">CO138+CJ139</f>
        <v>-1719.5434615384618</v>
      </c>
      <c r="CP139" s="199">
        <f t="shared" ref="CP139:CP153" si="384">CP138+CK139</f>
        <v>-1288.0050000000001</v>
      </c>
      <c r="CT139" s="881">
        <v>2</v>
      </c>
      <c r="CU139" s="892">
        <f>'Arable Inputs'!$H$18</f>
        <v>12</v>
      </c>
      <c r="CV139" s="747">
        <f>'Arable Inputs'!$H$25</f>
        <v>107.1</v>
      </c>
      <c r="CW139" s="749">
        <f t="shared" si="341"/>
        <v>1285.1999999999998</v>
      </c>
      <c r="CX139" s="197">
        <f>'Arable NPV'!$D118</f>
        <v>220</v>
      </c>
      <c r="CY139" s="197">
        <f>CW139+CX139</f>
        <v>1505.1999999999998</v>
      </c>
      <c r="CZ139" s="197">
        <f>'Arable NPV'!$F118</f>
        <v>528.51499999999999</v>
      </c>
      <c r="DA139" s="197">
        <f>'Arable NPV'!$G118</f>
        <v>552.40000000000009</v>
      </c>
      <c r="DB139" s="197">
        <f t="shared" si="342"/>
        <v>0</v>
      </c>
      <c r="DC139" s="197">
        <f t="shared" si="343"/>
        <v>1285.1999999999998</v>
      </c>
      <c r="DD139" s="197">
        <f t="shared" si="344"/>
        <v>1505.1999999999998</v>
      </c>
      <c r="DE139" s="196">
        <f t="shared" ref="DE139:DE153" si="385">CW139/(1+$B$4)^(CT139-1)</f>
        <v>1235.7692307692305</v>
      </c>
      <c r="DF139" s="197">
        <f t="shared" ref="DF139:DF153" si="386">CX139/(1+$B$4)^(CT139-1)</f>
        <v>211.53846153846152</v>
      </c>
      <c r="DG139" s="197">
        <f t="shared" ref="DG139:DG153" si="387">DB139/(1+$B$4)^(CT139-1)</f>
        <v>0</v>
      </c>
      <c r="DH139" s="197">
        <f t="shared" ref="DH139:DH153" si="388">DC139/(1+$B$4)^(CT139-1)</f>
        <v>1235.7692307692305</v>
      </c>
      <c r="DI139" s="199">
        <f t="shared" ref="DI139:DI152" si="389">DD139/(1+$B$4)^(CT139-1)</f>
        <v>1447.3076923076922</v>
      </c>
      <c r="DJ139" s="196">
        <f t="shared" ref="DJ139:DJ153" si="390">DJ138+DE139</f>
        <v>2520.9692307692303</v>
      </c>
      <c r="DK139" s="197">
        <f t="shared" ref="DK139:DK153" si="391">DK138+DF139</f>
        <v>431.53846153846155</v>
      </c>
      <c r="DL139" s="197">
        <f t="shared" ref="DL139:DL153" si="392">DL138+DG139</f>
        <v>0</v>
      </c>
      <c r="DM139" s="197">
        <f t="shared" ref="DM139:DM153" si="393">DM138+DH139</f>
        <v>2520.9692307692303</v>
      </c>
      <c r="DN139" s="199">
        <f t="shared" ref="DN139:DN153" si="394">DN138+DI139</f>
        <v>2952.5076923076922</v>
      </c>
    </row>
    <row r="140" spans="2:172" x14ac:dyDescent="0.3">
      <c r="B140" s="881">
        <v>3</v>
      </c>
      <c r="C140" s="892">
        <f>'Arable Inputs'!$H$18</f>
        <v>12</v>
      </c>
      <c r="D140" s="747">
        <f>'Arable Inputs'!$H$25</f>
        <v>107.1</v>
      </c>
      <c r="E140" s="749">
        <f t="shared" si="345"/>
        <v>1285.1999999999998</v>
      </c>
      <c r="F140" s="197">
        <f>'Arable NPV'!$D119</f>
        <v>220</v>
      </c>
      <c r="G140" s="197">
        <f t="shared" ref="G140:G152" si="395">E140+F140</f>
        <v>1505.1999999999998</v>
      </c>
      <c r="H140" s="197">
        <f>'Arable NPV'!$F119</f>
        <v>528.51499999999999</v>
      </c>
      <c r="I140" s="197">
        <f>'Arable NPV'!$G119</f>
        <v>552.40000000000009</v>
      </c>
      <c r="J140" s="197">
        <f t="shared" si="329"/>
        <v>1080.915</v>
      </c>
      <c r="K140" s="197">
        <f t="shared" si="330"/>
        <v>204.28499999999985</v>
      </c>
      <c r="L140" s="197">
        <f t="shared" si="331"/>
        <v>424.28499999999985</v>
      </c>
      <c r="M140" s="196">
        <f t="shared" si="346"/>
        <v>1188.2396449704138</v>
      </c>
      <c r="N140" s="197">
        <f t="shared" si="347"/>
        <v>203.40236686390531</v>
      </c>
      <c r="O140" s="197">
        <f t="shared" si="348"/>
        <v>999.36667899408269</v>
      </c>
      <c r="P140" s="197">
        <f t="shared" si="349"/>
        <v>188.87296597633122</v>
      </c>
      <c r="Q140" s="199">
        <f t="shared" si="350"/>
        <v>392.2753328402365</v>
      </c>
      <c r="R140" s="196">
        <f t="shared" si="351"/>
        <v>3709.2088757396441</v>
      </c>
      <c r="S140" s="197">
        <f t="shared" si="351"/>
        <v>634.94082840236683</v>
      </c>
      <c r="T140" s="197">
        <f t="shared" si="351"/>
        <v>3119.6230251479287</v>
      </c>
      <c r="U140" s="197">
        <f t="shared" si="351"/>
        <v>589.5858505917156</v>
      </c>
      <c r="V140" s="199">
        <f t="shared" si="351"/>
        <v>1224.5266789940824</v>
      </c>
      <c r="Z140" s="881">
        <v>3</v>
      </c>
      <c r="AA140" s="892">
        <f>'Arable Inputs'!$H$18</f>
        <v>12</v>
      </c>
      <c r="AB140" s="747">
        <f>'Arable Inputs'!$H$25</f>
        <v>107.1</v>
      </c>
      <c r="AC140" s="749">
        <f t="shared" si="352"/>
        <v>1285.1999999999998</v>
      </c>
      <c r="AD140" s="197">
        <f>'Arable NPV'!$D119</f>
        <v>220</v>
      </c>
      <c r="AE140" s="197">
        <f t="shared" ref="AE140:AE152" si="396">AC140+AD140</f>
        <v>1505.1999999999998</v>
      </c>
      <c r="AF140" s="197">
        <f>'Arable NPV'!$F119</f>
        <v>528.51499999999999</v>
      </c>
      <c r="AG140" s="197">
        <f>'Arable NPV'!$G119</f>
        <v>552.40000000000009</v>
      </c>
      <c r="AH140" s="197">
        <f t="shared" si="332"/>
        <v>1621.3724999999999</v>
      </c>
      <c r="AI140" s="197">
        <f t="shared" si="333"/>
        <v>-336.17250000000013</v>
      </c>
      <c r="AJ140" s="197">
        <f t="shared" si="334"/>
        <v>-116.17250000000013</v>
      </c>
      <c r="AK140" s="196">
        <f t="shared" si="353"/>
        <v>1188.2396449704138</v>
      </c>
      <c r="AL140" s="197">
        <f t="shared" si="354"/>
        <v>203.40236686390531</v>
      </c>
      <c r="AM140" s="197">
        <f t="shared" si="355"/>
        <v>1499.0500184911241</v>
      </c>
      <c r="AN140" s="197">
        <f t="shared" si="356"/>
        <v>-310.81037352071013</v>
      </c>
      <c r="AO140" s="199">
        <f t="shared" si="357"/>
        <v>-107.40800665680484</v>
      </c>
      <c r="AP140" s="196">
        <f t="shared" si="358"/>
        <v>3709.2088757396441</v>
      </c>
      <c r="AQ140" s="197">
        <f t="shared" si="359"/>
        <v>634.94082840236683</v>
      </c>
      <c r="AR140" s="197">
        <f t="shared" si="360"/>
        <v>4679.4345377218933</v>
      </c>
      <c r="AS140" s="197">
        <f t="shared" si="361"/>
        <v>-970.22566198224877</v>
      </c>
      <c r="AT140" s="199">
        <f t="shared" si="362"/>
        <v>-335.28483357988205</v>
      </c>
      <c r="AX140" s="881">
        <v>3</v>
      </c>
      <c r="AY140" s="892">
        <f>'Arable Inputs'!$H$18</f>
        <v>12</v>
      </c>
      <c r="AZ140" s="747">
        <f>'Arable Inputs'!$H$25</f>
        <v>107.1</v>
      </c>
      <c r="BA140" s="749">
        <f t="shared" si="363"/>
        <v>1285.1999999999998</v>
      </c>
      <c r="BB140" s="197">
        <f>'Arable NPV'!$D119</f>
        <v>220</v>
      </c>
      <c r="BC140" s="197">
        <f t="shared" ref="BC140:BC152" si="397">BA140+BB140</f>
        <v>1505.1999999999998</v>
      </c>
      <c r="BD140" s="197">
        <f>'Arable NPV'!$F119</f>
        <v>528.51499999999999</v>
      </c>
      <c r="BE140" s="197">
        <f>'Arable NPV'!$G119</f>
        <v>552.40000000000009</v>
      </c>
      <c r="BF140" s="197">
        <f t="shared" si="335"/>
        <v>540.45749999999998</v>
      </c>
      <c r="BG140" s="197">
        <f t="shared" si="336"/>
        <v>744.74249999999984</v>
      </c>
      <c r="BH140" s="197">
        <f t="shared" si="337"/>
        <v>964.74249999999984</v>
      </c>
      <c r="BI140" s="196">
        <f t="shared" si="364"/>
        <v>1188.2396449704138</v>
      </c>
      <c r="BJ140" s="197">
        <f t="shared" si="365"/>
        <v>203.40236686390531</v>
      </c>
      <c r="BK140" s="197">
        <f t="shared" si="366"/>
        <v>499.68333949704135</v>
      </c>
      <c r="BL140" s="197">
        <f t="shared" si="367"/>
        <v>688.5563054733725</v>
      </c>
      <c r="BM140" s="199">
        <f t="shared" si="368"/>
        <v>891.9586723372779</v>
      </c>
      <c r="BN140" s="196">
        <f t="shared" si="369"/>
        <v>3709.2088757396441</v>
      </c>
      <c r="BO140" s="197">
        <f t="shared" si="370"/>
        <v>634.94082840236683</v>
      </c>
      <c r="BP140" s="197">
        <f t="shared" si="371"/>
        <v>1559.8115125739644</v>
      </c>
      <c r="BQ140" s="197">
        <f t="shared" si="372"/>
        <v>2149.39736316568</v>
      </c>
      <c r="BR140" s="199">
        <f t="shared" si="373"/>
        <v>2784.3381915680466</v>
      </c>
      <c r="BV140" s="881">
        <v>3</v>
      </c>
      <c r="BW140" s="892">
        <f>'Arable Inputs'!$H$18</f>
        <v>12</v>
      </c>
      <c r="BX140" s="747">
        <f>'Arable Inputs'!$H$25</f>
        <v>107.1</v>
      </c>
      <c r="BY140" s="749">
        <f t="shared" si="374"/>
        <v>1285.1999999999998</v>
      </c>
      <c r="BZ140" s="197">
        <f>'Arable NPV'!$D119</f>
        <v>220</v>
      </c>
      <c r="CA140" s="197">
        <f t="shared" ref="CA140:CA152" si="398">BY140+BZ140</f>
        <v>1505.1999999999998</v>
      </c>
      <c r="CB140" s="197">
        <f>'Arable NPV'!$F119</f>
        <v>528.51499999999999</v>
      </c>
      <c r="CC140" s="197">
        <f>'Arable NPV'!$G119</f>
        <v>552.40000000000009</v>
      </c>
      <c r="CD140" s="197">
        <f t="shared" si="338"/>
        <v>2161.83</v>
      </c>
      <c r="CE140" s="197">
        <f t="shared" si="339"/>
        <v>-876.63000000000011</v>
      </c>
      <c r="CF140" s="197">
        <f t="shared" si="340"/>
        <v>-656.63000000000011</v>
      </c>
      <c r="CG140" s="196">
        <f t="shared" si="375"/>
        <v>1188.2396449704138</v>
      </c>
      <c r="CH140" s="197">
        <f t="shared" si="376"/>
        <v>203.40236686390531</v>
      </c>
      <c r="CI140" s="197">
        <f t="shared" si="377"/>
        <v>1998.7333579881654</v>
      </c>
      <c r="CJ140" s="197">
        <f t="shared" si="378"/>
        <v>-810.49371301775147</v>
      </c>
      <c r="CK140" s="199">
        <f t="shared" si="379"/>
        <v>-607.09134615384619</v>
      </c>
      <c r="CL140" s="196">
        <f t="shared" si="380"/>
        <v>3709.2088757396441</v>
      </c>
      <c r="CM140" s="197">
        <f t="shared" si="381"/>
        <v>634.94082840236683</v>
      </c>
      <c r="CN140" s="197">
        <f t="shared" si="382"/>
        <v>6239.2460502958575</v>
      </c>
      <c r="CO140" s="197">
        <f t="shared" si="383"/>
        <v>-2530.0371745562134</v>
      </c>
      <c r="CP140" s="199">
        <f t="shared" si="384"/>
        <v>-1895.0963461538463</v>
      </c>
      <c r="CT140" s="881">
        <v>3</v>
      </c>
      <c r="CU140" s="892">
        <f>'Arable Inputs'!$H$18</f>
        <v>12</v>
      </c>
      <c r="CV140" s="747">
        <f>'Arable Inputs'!$H$25</f>
        <v>107.1</v>
      </c>
      <c r="CW140" s="749">
        <f t="shared" si="341"/>
        <v>1285.1999999999998</v>
      </c>
      <c r="CX140" s="197">
        <f>'Arable NPV'!$D119</f>
        <v>220</v>
      </c>
      <c r="CY140" s="197">
        <f t="shared" ref="CY140:CY152" si="399">CW140+CX140</f>
        <v>1505.1999999999998</v>
      </c>
      <c r="CZ140" s="197">
        <f>'Arable NPV'!$F119</f>
        <v>528.51499999999999</v>
      </c>
      <c r="DA140" s="197">
        <f>'Arable NPV'!$G119</f>
        <v>552.40000000000009</v>
      </c>
      <c r="DB140" s="197">
        <f t="shared" si="342"/>
        <v>0</v>
      </c>
      <c r="DC140" s="197">
        <f t="shared" si="343"/>
        <v>1285.1999999999998</v>
      </c>
      <c r="DD140" s="197">
        <f t="shared" si="344"/>
        <v>1505.1999999999998</v>
      </c>
      <c r="DE140" s="196">
        <f t="shared" si="385"/>
        <v>1188.2396449704138</v>
      </c>
      <c r="DF140" s="197">
        <f t="shared" si="386"/>
        <v>203.40236686390531</v>
      </c>
      <c r="DG140" s="197">
        <f t="shared" si="387"/>
        <v>0</v>
      </c>
      <c r="DH140" s="197">
        <f t="shared" si="388"/>
        <v>1188.2396449704138</v>
      </c>
      <c r="DI140" s="199">
        <f t="shared" si="389"/>
        <v>1391.6420118343192</v>
      </c>
      <c r="DJ140" s="196">
        <f t="shared" si="390"/>
        <v>3709.2088757396441</v>
      </c>
      <c r="DK140" s="197">
        <f t="shared" si="391"/>
        <v>634.94082840236683</v>
      </c>
      <c r="DL140" s="197">
        <f t="shared" si="392"/>
        <v>0</v>
      </c>
      <c r="DM140" s="197">
        <f t="shared" si="393"/>
        <v>3709.2088757396441</v>
      </c>
      <c r="DN140" s="199">
        <f t="shared" si="394"/>
        <v>4344.1497041420116</v>
      </c>
    </row>
    <row r="141" spans="2:172" x14ac:dyDescent="0.3">
      <c r="B141" s="881">
        <v>4</v>
      </c>
      <c r="C141" s="892">
        <f>'Arable Inputs'!$H$18</f>
        <v>12</v>
      </c>
      <c r="D141" s="747">
        <f>'Arable Inputs'!$H$25</f>
        <v>107.1</v>
      </c>
      <c r="E141" s="749">
        <f t="shared" si="345"/>
        <v>1285.1999999999998</v>
      </c>
      <c r="F141" s="197">
        <f>'Arable NPV'!$D120</f>
        <v>220</v>
      </c>
      <c r="G141" s="197">
        <f t="shared" si="395"/>
        <v>1505.1999999999998</v>
      </c>
      <c r="H141" s="197">
        <f>'Arable NPV'!$F120</f>
        <v>528.51499999999999</v>
      </c>
      <c r="I141" s="197">
        <f>'Arable NPV'!$G120</f>
        <v>552.40000000000009</v>
      </c>
      <c r="J141" s="197">
        <f t="shared" si="329"/>
        <v>1080.915</v>
      </c>
      <c r="K141" s="197">
        <f t="shared" si="330"/>
        <v>204.28499999999985</v>
      </c>
      <c r="L141" s="197">
        <f t="shared" si="331"/>
        <v>424.28499999999985</v>
      </c>
      <c r="M141" s="196">
        <f t="shared" si="346"/>
        <v>1142.5381201638595</v>
      </c>
      <c r="N141" s="197">
        <f t="shared" si="347"/>
        <v>195.57919890760127</v>
      </c>
      <c r="O141" s="197">
        <f t="shared" si="348"/>
        <v>960.9294990327719</v>
      </c>
      <c r="P141" s="197">
        <f t="shared" si="349"/>
        <v>181.60862113108772</v>
      </c>
      <c r="Q141" s="199">
        <f t="shared" si="350"/>
        <v>377.18782003868898</v>
      </c>
      <c r="R141" s="196">
        <f t="shared" si="351"/>
        <v>4851.7469959035034</v>
      </c>
      <c r="S141" s="197">
        <f t="shared" si="351"/>
        <v>830.5200273099681</v>
      </c>
      <c r="T141" s="197">
        <f t="shared" si="351"/>
        <v>4080.5525241807009</v>
      </c>
      <c r="U141" s="197">
        <f t="shared" si="351"/>
        <v>771.19447172280331</v>
      </c>
      <c r="V141" s="199">
        <f t="shared" si="351"/>
        <v>1601.7144990327715</v>
      </c>
      <c r="Z141" s="881">
        <v>4</v>
      </c>
      <c r="AA141" s="892">
        <f>'Arable Inputs'!$H$18</f>
        <v>12</v>
      </c>
      <c r="AB141" s="747">
        <f>'Arable Inputs'!$H$25</f>
        <v>107.1</v>
      </c>
      <c r="AC141" s="749">
        <f t="shared" si="352"/>
        <v>1285.1999999999998</v>
      </c>
      <c r="AD141" s="197">
        <f>'Arable NPV'!$D120</f>
        <v>220</v>
      </c>
      <c r="AE141" s="197">
        <f t="shared" si="396"/>
        <v>1505.1999999999998</v>
      </c>
      <c r="AF141" s="197">
        <f>'Arable NPV'!$F120</f>
        <v>528.51499999999999</v>
      </c>
      <c r="AG141" s="197">
        <f>'Arable NPV'!$G120</f>
        <v>552.40000000000009</v>
      </c>
      <c r="AH141" s="197">
        <f t="shared" si="332"/>
        <v>1621.3724999999999</v>
      </c>
      <c r="AI141" s="197">
        <f t="shared" si="333"/>
        <v>-336.17250000000013</v>
      </c>
      <c r="AJ141" s="197">
        <f t="shared" si="334"/>
        <v>-116.17250000000013</v>
      </c>
      <c r="AK141" s="196">
        <f t="shared" si="353"/>
        <v>1142.5381201638595</v>
      </c>
      <c r="AL141" s="197">
        <f t="shared" si="354"/>
        <v>195.57919890760127</v>
      </c>
      <c r="AM141" s="197">
        <f t="shared" si="355"/>
        <v>1441.3942485491577</v>
      </c>
      <c r="AN141" s="197">
        <f t="shared" si="356"/>
        <v>-298.85612838529823</v>
      </c>
      <c r="AO141" s="199">
        <f t="shared" si="357"/>
        <v>-103.27692947769697</v>
      </c>
      <c r="AP141" s="196">
        <f t="shared" si="358"/>
        <v>4851.7469959035034</v>
      </c>
      <c r="AQ141" s="197">
        <f t="shared" si="359"/>
        <v>830.5200273099681</v>
      </c>
      <c r="AR141" s="197">
        <f t="shared" si="360"/>
        <v>6120.8287862710513</v>
      </c>
      <c r="AS141" s="197">
        <f t="shared" si="361"/>
        <v>-1269.081790367547</v>
      </c>
      <c r="AT141" s="199">
        <f t="shared" si="362"/>
        <v>-438.56176305757901</v>
      </c>
      <c r="AX141" s="881">
        <v>4</v>
      </c>
      <c r="AY141" s="892">
        <f>'Arable Inputs'!$H$18</f>
        <v>12</v>
      </c>
      <c r="AZ141" s="747">
        <f>'Arable Inputs'!$H$25</f>
        <v>107.1</v>
      </c>
      <c r="BA141" s="749">
        <f t="shared" si="363"/>
        <v>1285.1999999999998</v>
      </c>
      <c r="BB141" s="197">
        <f>'Arable NPV'!$D120</f>
        <v>220</v>
      </c>
      <c r="BC141" s="197">
        <f t="shared" si="397"/>
        <v>1505.1999999999998</v>
      </c>
      <c r="BD141" s="197">
        <f>'Arable NPV'!$F120</f>
        <v>528.51499999999999</v>
      </c>
      <c r="BE141" s="197">
        <f>'Arable NPV'!$G120</f>
        <v>552.40000000000009</v>
      </c>
      <c r="BF141" s="197">
        <f t="shared" si="335"/>
        <v>540.45749999999998</v>
      </c>
      <c r="BG141" s="197">
        <f t="shared" si="336"/>
        <v>744.74249999999984</v>
      </c>
      <c r="BH141" s="197">
        <f t="shared" si="337"/>
        <v>964.74249999999984</v>
      </c>
      <c r="BI141" s="196">
        <f t="shared" si="364"/>
        <v>1142.5381201638595</v>
      </c>
      <c r="BJ141" s="197">
        <f t="shared" si="365"/>
        <v>195.57919890760127</v>
      </c>
      <c r="BK141" s="197">
        <f t="shared" si="366"/>
        <v>480.46474951638595</v>
      </c>
      <c r="BL141" s="197">
        <f t="shared" si="367"/>
        <v>662.07337064747367</v>
      </c>
      <c r="BM141" s="199">
        <f t="shared" si="368"/>
        <v>857.65256955507493</v>
      </c>
      <c r="BN141" s="196">
        <f t="shared" si="369"/>
        <v>4851.7469959035034</v>
      </c>
      <c r="BO141" s="197">
        <f t="shared" si="370"/>
        <v>830.5200273099681</v>
      </c>
      <c r="BP141" s="197">
        <f t="shared" si="371"/>
        <v>2040.2762620903504</v>
      </c>
      <c r="BQ141" s="197">
        <f t="shared" si="372"/>
        <v>2811.4707338131539</v>
      </c>
      <c r="BR141" s="199">
        <f t="shared" si="373"/>
        <v>3641.9907611231215</v>
      </c>
      <c r="BV141" s="881">
        <v>4</v>
      </c>
      <c r="BW141" s="892">
        <f>'Arable Inputs'!$H$18</f>
        <v>12</v>
      </c>
      <c r="BX141" s="747">
        <f>'Arable Inputs'!$H$25</f>
        <v>107.1</v>
      </c>
      <c r="BY141" s="749">
        <f t="shared" si="374"/>
        <v>1285.1999999999998</v>
      </c>
      <c r="BZ141" s="197">
        <f>'Arable NPV'!$D120</f>
        <v>220</v>
      </c>
      <c r="CA141" s="197">
        <f t="shared" si="398"/>
        <v>1505.1999999999998</v>
      </c>
      <c r="CB141" s="197">
        <f>'Arable NPV'!$F120</f>
        <v>528.51499999999999</v>
      </c>
      <c r="CC141" s="197">
        <f>'Arable NPV'!$G120</f>
        <v>552.40000000000009</v>
      </c>
      <c r="CD141" s="197">
        <f t="shared" si="338"/>
        <v>2161.83</v>
      </c>
      <c r="CE141" s="197">
        <f t="shared" si="339"/>
        <v>-876.63000000000011</v>
      </c>
      <c r="CF141" s="197">
        <f t="shared" si="340"/>
        <v>-656.63000000000011</v>
      </c>
      <c r="CG141" s="196">
        <f t="shared" si="375"/>
        <v>1142.5381201638595</v>
      </c>
      <c r="CH141" s="197">
        <f t="shared" si="376"/>
        <v>195.57919890760127</v>
      </c>
      <c r="CI141" s="197">
        <f t="shared" si="377"/>
        <v>1921.8589980655438</v>
      </c>
      <c r="CJ141" s="197">
        <f t="shared" si="378"/>
        <v>-779.32087790168418</v>
      </c>
      <c r="CK141" s="199">
        <f t="shared" si="379"/>
        <v>-583.74167899408292</v>
      </c>
      <c r="CL141" s="196">
        <f t="shared" si="380"/>
        <v>4851.7469959035034</v>
      </c>
      <c r="CM141" s="197">
        <f t="shared" si="381"/>
        <v>830.5200273099681</v>
      </c>
      <c r="CN141" s="197">
        <f t="shared" si="382"/>
        <v>8161.1050483614017</v>
      </c>
      <c r="CO141" s="197">
        <f t="shared" si="383"/>
        <v>-3309.3580524578974</v>
      </c>
      <c r="CP141" s="199">
        <f t="shared" si="384"/>
        <v>-2478.8380251479293</v>
      </c>
      <c r="CT141" s="881">
        <v>4</v>
      </c>
      <c r="CU141" s="892">
        <f>'Arable Inputs'!$H$18</f>
        <v>12</v>
      </c>
      <c r="CV141" s="747">
        <f>'Arable Inputs'!$H$25</f>
        <v>107.1</v>
      </c>
      <c r="CW141" s="749">
        <f t="shared" si="341"/>
        <v>1285.1999999999998</v>
      </c>
      <c r="CX141" s="197">
        <f>'Arable NPV'!$D120</f>
        <v>220</v>
      </c>
      <c r="CY141" s="197">
        <f t="shared" si="399"/>
        <v>1505.1999999999998</v>
      </c>
      <c r="CZ141" s="197">
        <f>'Arable NPV'!$F120</f>
        <v>528.51499999999999</v>
      </c>
      <c r="DA141" s="197">
        <f>'Arable NPV'!$G120</f>
        <v>552.40000000000009</v>
      </c>
      <c r="DB141" s="197">
        <f t="shared" si="342"/>
        <v>0</v>
      </c>
      <c r="DC141" s="197">
        <f t="shared" si="343"/>
        <v>1285.1999999999998</v>
      </c>
      <c r="DD141" s="197">
        <f t="shared" si="344"/>
        <v>1505.1999999999998</v>
      </c>
      <c r="DE141" s="196">
        <f t="shared" si="385"/>
        <v>1142.5381201638595</v>
      </c>
      <c r="DF141" s="197">
        <f t="shared" si="386"/>
        <v>195.57919890760127</v>
      </c>
      <c r="DG141" s="197">
        <f t="shared" si="387"/>
        <v>0</v>
      </c>
      <c r="DH141" s="197">
        <f t="shared" si="388"/>
        <v>1142.5381201638595</v>
      </c>
      <c r="DI141" s="199">
        <f t="shared" si="389"/>
        <v>1338.1173190714608</v>
      </c>
      <c r="DJ141" s="196">
        <f t="shared" si="390"/>
        <v>4851.7469959035034</v>
      </c>
      <c r="DK141" s="197">
        <f t="shared" si="391"/>
        <v>830.5200273099681</v>
      </c>
      <c r="DL141" s="197">
        <f t="shared" si="392"/>
        <v>0</v>
      </c>
      <c r="DM141" s="197">
        <f t="shared" si="393"/>
        <v>4851.7469959035034</v>
      </c>
      <c r="DN141" s="199">
        <f t="shared" si="394"/>
        <v>5682.2670232134724</v>
      </c>
    </row>
    <row r="142" spans="2:172" x14ac:dyDescent="0.3">
      <c r="B142" s="881">
        <v>5</v>
      </c>
      <c r="C142" s="892">
        <f>'Arable Inputs'!$H$18</f>
        <v>12</v>
      </c>
      <c r="D142" s="747">
        <f>'Arable Inputs'!$H$25</f>
        <v>107.1</v>
      </c>
      <c r="E142" s="749">
        <f t="shared" si="345"/>
        <v>1285.1999999999998</v>
      </c>
      <c r="F142" s="197">
        <f>'Arable NPV'!$D121</f>
        <v>220</v>
      </c>
      <c r="G142" s="197">
        <f t="shared" si="395"/>
        <v>1505.1999999999998</v>
      </c>
      <c r="H142" s="197">
        <f>'Arable NPV'!$F121</f>
        <v>528.51499999999999</v>
      </c>
      <c r="I142" s="197">
        <f>'Arable NPV'!$G121</f>
        <v>552.40000000000009</v>
      </c>
      <c r="J142" s="197">
        <f t="shared" si="329"/>
        <v>1080.915</v>
      </c>
      <c r="K142" s="197">
        <f t="shared" si="330"/>
        <v>204.28499999999985</v>
      </c>
      <c r="L142" s="197">
        <f t="shared" si="331"/>
        <v>424.28499999999985</v>
      </c>
      <c r="M142" s="196">
        <f t="shared" si="346"/>
        <v>1098.5943463114033</v>
      </c>
      <c r="N142" s="197">
        <f t="shared" si="347"/>
        <v>188.05692202653967</v>
      </c>
      <c r="O142" s="197">
        <f t="shared" si="348"/>
        <v>923.97067214689594</v>
      </c>
      <c r="P142" s="197">
        <f t="shared" si="349"/>
        <v>174.62367416450738</v>
      </c>
      <c r="Q142" s="199">
        <f t="shared" si="350"/>
        <v>362.68059619104702</v>
      </c>
      <c r="R142" s="196">
        <f t="shared" si="351"/>
        <v>5950.3413422149069</v>
      </c>
      <c r="S142" s="197">
        <f t="shared" si="351"/>
        <v>1018.5769493365078</v>
      </c>
      <c r="T142" s="197">
        <f t="shared" si="351"/>
        <v>5004.5231963275965</v>
      </c>
      <c r="U142" s="197">
        <f t="shared" si="351"/>
        <v>945.81814588731072</v>
      </c>
      <c r="V142" s="199">
        <f t="shared" si="351"/>
        <v>1964.3950952238185</v>
      </c>
      <c r="Z142" s="881">
        <v>5</v>
      </c>
      <c r="AA142" s="892">
        <f>'Arable Inputs'!$H$18</f>
        <v>12</v>
      </c>
      <c r="AB142" s="747">
        <f>'Arable Inputs'!$H$25</f>
        <v>107.1</v>
      </c>
      <c r="AC142" s="749">
        <f t="shared" si="352"/>
        <v>1285.1999999999998</v>
      </c>
      <c r="AD142" s="197">
        <f>'Arable NPV'!$D121</f>
        <v>220</v>
      </c>
      <c r="AE142" s="197">
        <f t="shared" si="396"/>
        <v>1505.1999999999998</v>
      </c>
      <c r="AF142" s="197">
        <f>'Arable NPV'!$F121</f>
        <v>528.51499999999999</v>
      </c>
      <c r="AG142" s="197">
        <f>'Arable NPV'!$G121</f>
        <v>552.40000000000009</v>
      </c>
      <c r="AH142" s="197">
        <f t="shared" si="332"/>
        <v>1621.3724999999999</v>
      </c>
      <c r="AI142" s="197">
        <f t="shared" si="333"/>
        <v>-336.17250000000013</v>
      </c>
      <c r="AJ142" s="197">
        <f t="shared" si="334"/>
        <v>-116.17250000000013</v>
      </c>
      <c r="AK142" s="196">
        <f t="shared" si="353"/>
        <v>1098.5943463114033</v>
      </c>
      <c r="AL142" s="197">
        <f t="shared" si="354"/>
        <v>188.05692202653967</v>
      </c>
      <c r="AM142" s="197">
        <f t="shared" si="355"/>
        <v>1385.9560082203438</v>
      </c>
      <c r="AN142" s="197">
        <f t="shared" si="356"/>
        <v>-287.36166190894056</v>
      </c>
      <c r="AO142" s="199">
        <f t="shared" si="357"/>
        <v>-99.304739882400924</v>
      </c>
      <c r="AP142" s="196">
        <f t="shared" si="358"/>
        <v>5950.3413422149069</v>
      </c>
      <c r="AQ142" s="197">
        <f t="shared" si="359"/>
        <v>1018.5769493365078</v>
      </c>
      <c r="AR142" s="197">
        <f t="shared" si="360"/>
        <v>7506.7847944913956</v>
      </c>
      <c r="AS142" s="197">
        <f t="shared" si="361"/>
        <v>-1556.4434522764875</v>
      </c>
      <c r="AT142" s="199">
        <f t="shared" si="362"/>
        <v>-537.86650293997991</v>
      </c>
      <c r="AX142" s="881">
        <v>5</v>
      </c>
      <c r="AY142" s="892">
        <f>'Arable Inputs'!$H$18</f>
        <v>12</v>
      </c>
      <c r="AZ142" s="747">
        <f>'Arable Inputs'!$H$25</f>
        <v>107.1</v>
      </c>
      <c r="BA142" s="749">
        <f t="shared" si="363"/>
        <v>1285.1999999999998</v>
      </c>
      <c r="BB142" s="197">
        <f>'Arable NPV'!$D121</f>
        <v>220</v>
      </c>
      <c r="BC142" s="197">
        <f t="shared" si="397"/>
        <v>1505.1999999999998</v>
      </c>
      <c r="BD142" s="197">
        <f>'Arable NPV'!$F121</f>
        <v>528.51499999999999</v>
      </c>
      <c r="BE142" s="197">
        <f>'Arable NPV'!$G121</f>
        <v>552.40000000000009</v>
      </c>
      <c r="BF142" s="197">
        <f t="shared" si="335"/>
        <v>540.45749999999998</v>
      </c>
      <c r="BG142" s="197">
        <f t="shared" si="336"/>
        <v>744.74249999999984</v>
      </c>
      <c r="BH142" s="197">
        <f t="shared" si="337"/>
        <v>964.74249999999984</v>
      </c>
      <c r="BI142" s="196">
        <f t="shared" si="364"/>
        <v>1098.5943463114033</v>
      </c>
      <c r="BJ142" s="197">
        <f t="shared" si="365"/>
        <v>188.05692202653967</v>
      </c>
      <c r="BK142" s="197">
        <f t="shared" si="366"/>
        <v>461.98533607344797</v>
      </c>
      <c r="BL142" s="197">
        <f t="shared" si="367"/>
        <v>636.60901023795532</v>
      </c>
      <c r="BM142" s="199">
        <f t="shared" si="368"/>
        <v>824.66593226449504</v>
      </c>
      <c r="BN142" s="196">
        <f t="shared" si="369"/>
        <v>5950.3413422149069</v>
      </c>
      <c r="BO142" s="197">
        <f t="shared" si="370"/>
        <v>1018.5769493365078</v>
      </c>
      <c r="BP142" s="197">
        <f t="shared" si="371"/>
        <v>2502.2615981637982</v>
      </c>
      <c r="BQ142" s="197">
        <f t="shared" si="372"/>
        <v>3448.0797440511092</v>
      </c>
      <c r="BR142" s="199">
        <f t="shared" si="373"/>
        <v>4466.6566933876165</v>
      </c>
      <c r="BV142" s="881">
        <v>5</v>
      </c>
      <c r="BW142" s="892">
        <f>'Arable Inputs'!$H$18</f>
        <v>12</v>
      </c>
      <c r="BX142" s="747">
        <f>'Arable Inputs'!$H$25</f>
        <v>107.1</v>
      </c>
      <c r="BY142" s="749">
        <f t="shared" si="374"/>
        <v>1285.1999999999998</v>
      </c>
      <c r="BZ142" s="197">
        <f>'Arable NPV'!$D121</f>
        <v>220</v>
      </c>
      <c r="CA142" s="197">
        <f t="shared" si="398"/>
        <v>1505.1999999999998</v>
      </c>
      <c r="CB142" s="197">
        <f>'Arable NPV'!$F121</f>
        <v>528.51499999999999</v>
      </c>
      <c r="CC142" s="197">
        <f>'Arable NPV'!$G121</f>
        <v>552.40000000000009</v>
      </c>
      <c r="CD142" s="197">
        <f t="shared" si="338"/>
        <v>2161.83</v>
      </c>
      <c r="CE142" s="197">
        <f t="shared" si="339"/>
        <v>-876.63000000000011</v>
      </c>
      <c r="CF142" s="197">
        <f t="shared" si="340"/>
        <v>-656.63000000000011</v>
      </c>
      <c r="CG142" s="196">
        <f t="shared" si="375"/>
        <v>1098.5943463114033</v>
      </c>
      <c r="CH142" s="197">
        <f t="shared" si="376"/>
        <v>188.05692202653967</v>
      </c>
      <c r="CI142" s="197">
        <f t="shared" si="377"/>
        <v>1847.9413442937919</v>
      </c>
      <c r="CJ142" s="197">
        <f t="shared" si="378"/>
        <v>-749.34699798238853</v>
      </c>
      <c r="CK142" s="199">
        <f t="shared" si="379"/>
        <v>-561.29007595584892</v>
      </c>
      <c r="CL142" s="196">
        <f t="shared" si="380"/>
        <v>5950.3413422149069</v>
      </c>
      <c r="CM142" s="197">
        <f t="shared" si="381"/>
        <v>1018.5769493365078</v>
      </c>
      <c r="CN142" s="197">
        <f t="shared" si="382"/>
        <v>10009.046392655193</v>
      </c>
      <c r="CO142" s="197">
        <f t="shared" si="383"/>
        <v>-4058.705050440286</v>
      </c>
      <c r="CP142" s="199">
        <f t="shared" si="384"/>
        <v>-3040.1281011037781</v>
      </c>
      <c r="CT142" s="881">
        <v>5</v>
      </c>
      <c r="CU142" s="892">
        <f>'Arable Inputs'!$H$18</f>
        <v>12</v>
      </c>
      <c r="CV142" s="747">
        <f>'Arable Inputs'!$H$25</f>
        <v>107.1</v>
      </c>
      <c r="CW142" s="749">
        <f t="shared" si="341"/>
        <v>1285.1999999999998</v>
      </c>
      <c r="CX142" s="197">
        <f>'Arable NPV'!$D121</f>
        <v>220</v>
      </c>
      <c r="CY142" s="197">
        <f t="shared" si="399"/>
        <v>1505.1999999999998</v>
      </c>
      <c r="CZ142" s="197">
        <f>'Arable NPV'!$F121</f>
        <v>528.51499999999999</v>
      </c>
      <c r="DA142" s="197">
        <f>'Arable NPV'!$G121</f>
        <v>552.40000000000009</v>
      </c>
      <c r="DB142" s="197">
        <f t="shared" si="342"/>
        <v>0</v>
      </c>
      <c r="DC142" s="197">
        <f t="shared" si="343"/>
        <v>1285.1999999999998</v>
      </c>
      <c r="DD142" s="197">
        <f t="shared" si="344"/>
        <v>1505.1999999999998</v>
      </c>
      <c r="DE142" s="196">
        <f t="shared" si="385"/>
        <v>1098.5943463114033</v>
      </c>
      <c r="DF142" s="197">
        <f t="shared" si="386"/>
        <v>188.05692202653967</v>
      </c>
      <c r="DG142" s="197">
        <f t="shared" si="387"/>
        <v>0</v>
      </c>
      <c r="DH142" s="197">
        <f t="shared" si="388"/>
        <v>1098.5943463114033</v>
      </c>
      <c r="DI142" s="199">
        <f t="shared" si="389"/>
        <v>1286.6512683379431</v>
      </c>
      <c r="DJ142" s="196">
        <f t="shared" si="390"/>
        <v>5950.3413422149069</v>
      </c>
      <c r="DK142" s="197">
        <f t="shared" si="391"/>
        <v>1018.5769493365078</v>
      </c>
      <c r="DL142" s="197">
        <f t="shared" si="392"/>
        <v>0</v>
      </c>
      <c r="DM142" s="197">
        <f t="shared" si="393"/>
        <v>5950.3413422149069</v>
      </c>
      <c r="DN142" s="199">
        <f t="shared" si="394"/>
        <v>6968.9182915514157</v>
      </c>
    </row>
    <row r="143" spans="2:172" x14ac:dyDescent="0.3">
      <c r="B143" s="881">
        <v>6</v>
      </c>
      <c r="C143" s="892">
        <f>'Arable Inputs'!$H$18</f>
        <v>12</v>
      </c>
      <c r="D143" s="747">
        <f>'Arable Inputs'!$H$25</f>
        <v>107.1</v>
      </c>
      <c r="E143" s="749">
        <f t="shared" si="345"/>
        <v>1285.1999999999998</v>
      </c>
      <c r="F143" s="197">
        <f>'Arable NPV'!$D122</f>
        <v>220</v>
      </c>
      <c r="G143" s="197">
        <f t="shared" si="395"/>
        <v>1505.1999999999998</v>
      </c>
      <c r="H143" s="197">
        <f>'Arable NPV'!$F122</f>
        <v>528.51499999999999</v>
      </c>
      <c r="I143" s="197">
        <f>'Arable NPV'!$G122</f>
        <v>552.40000000000009</v>
      </c>
      <c r="J143" s="197">
        <f t="shared" si="329"/>
        <v>1080.915</v>
      </c>
      <c r="K143" s="197">
        <f t="shared" si="330"/>
        <v>204.28499999999985</v>
      </c>
      <c r="L143" s="197">
        <f t="shared" si="331"/>
        <v>424.28499999999985</v>
      </c>
      <c r="M143" s="196">
        <f t="shared" si="346"/>
        <v>1056.3407176071184</v>
      </c>
      <c r="N143" s="197">
        <f t="shared" si="347"/>
        <v>180.82396348705734</v>
      </c>
      <c r="O143" s="197">
        <f t="shared" si="348"/>
        <v>888.43333860278449</v>
      </c>
      <c r="P143" s="197">
        <f t="shared" si="349"/>
        <v>167.90737900433402</v>
      </c>
      <c r="Q143" s="199">
        <f t="shared" si="350"/>
        <v>348.73134249139133</v>
      </c>
      <c r="R143" s="196">
        <f t="shared" si="351"/>
        <v>7006.6820598220256</v>
      </c>
      <c r="S143" s="197">
        <f t="shared" si="351"/>
        <v>1199.4009128235652</v>
      </c>
      <c r="T143" s="197">
        <f t="shared" si="351"/>
        <v>5892.9565349303812</v>
      </c>
      <c r="U143" s="197">
        <f t="shared" si="351"/>
        <v>1113.7255248916447</v>
      </c>
      <c r="V143" s="199">
        <f t="shared" si="351"/>
        <v>2313.1264377152097</v>
      </c>
      <c r="Z143" s="881">
        <v>6</v>
      </c>
      <c r="AA143" s="892">
        <f>'Arable Inputs'!$H$18</f>
        <v>12</v>
      </c>
      <c r="AB143" s="747">
        <f>'Arable Inputs'!$H$25</f>
        <v>107.1</v>
      </c>
      <c r="AC143" s="749">
        <f t="shared" si="352"/>
        <v>1285.1999999999998</v>
      </c>
      <c r="AD143" s="197">
        <f>'Arable NPV'!$D122</f>
        <v>220</v>
      </c>
      <c r="AE143" s="197">
        <f t="shared" si="396"/>
        <v>1505.1999999999998</v>
      </c>
      <c r="AF143" s="197">
        <f>'Arable NPV'!$F122</f>
        <v>528.51499999999999</v>
      </c>
      <c r="AG143" s="197">
        <f>'Arable NPV'!$G122</f>
        <v>552.40000000000009</v>
      </c>
      <c r="AH143" s="197">
        <f t="shared" si="332"/>
        <v>1621.3724999999999</v>
      </c>
      <c r="AI143" s="197">
        <f t="shared" si="333"/>
        <v>-336.17250000000013</v>
      </c>
      <c r="AJ143" s="197">
        <f t="shared" si="334"/>
        <v>-116.17250000000013</v>
      </c>
      <c r="AK143" s="196">
        <f t="shared" si="353"/>
        <v>1056.3407176071184</v>
      </c>
      <c r="AL143" s="197">
        <f t="shared" si="354"/>
        <v>180.82396348705734</v>
      </c>
      <c r="AM143" s="197">
        <f t="shared" si="355"/>
        <v>1332.6500079041766</v>
      </c>
      <c r="AN143" s="197">
        <f t="shared" si="356"/>
        <v>-276.30929029705823</v>
      </c>
      <c r="AO143" s="199">
        <f t="shared" si="357"/>
        <v>-95.485326810000871</v>
      </c>
      <c r="AP143" s="196">
        <f t="shared" si="358"/>
        <v>7006.6820598220256</v>
      </c>
      <c r="AQ143" s="197">
        <f t="shared" si="359"/>
        <v>1199.4009128235652</v>
      </c>
      <c r="AR143" s="197">
        <f t="shared" si="360"/>
        <v>8839.4348023955718</v>
      </c>
      <c r="AS143" s="197">
        <f t="shared" si="361"/>
        <v>-1832.7527425735457</v>
      </c>
      <c r="AT143" s="199">
        <f t="shared" si="362"/>
        <v>-633.35182974998077</v>
      </c>
      <c r="AX143" s="881">
        <v>6</v>
      </c>
      <c r="AY143" s="892">
        <f>'Arable Inputs'!$H$18</f>
        <v>12</v>
      </c>
      <c r="AZ143" s="747">
        <f>'Arable Inputs'!$H$25</f>
        <v>107.1</v>
      </c>
      <c r="BA143" s="749">
        <f t="shared" si="363"/>
        <v>1285.1999999999998</v>
      </c>
      <c r="BB143" s="197">
        <f>'Arable NPV'!$D122</f>
        <v>220</v>
      </c>
      <c r="BC143" s="197">
        <f t="shared" si="397"/>
        <v>1505.1999999999998</v>
      </c>
      <c r="BD143" s="197">
        <f>'Arable NPV'!$F122</f>
        <v>528.51499999999999</v>
      </c>
      <c r="BE143" s="197">
        <f>'Arable NPV'!$G122</f>
        <v>552.40000000000009</v>
      </c>
      <c r="BF143" s="197">
        <f t="shared" si="335"/>
        <v>540.45749999999998</v>
      </c>
      <c r="BG143" s="197">
        <f t="shared" si="336"/>
        <v>744.74249999999984</v>
      </c>
      <c r="BH143" s="197">
        <f t="shared" si="337"/>
        <v>964.74249999999984</v>
      </c>
      <c r="BI143" s="196">
        <f t="shared" si="364"/>
        <v>1056.3407176071184</v>
      </c>
      <c r="BJ143" s="197">
        <f t="shared" si="365"/>
        <v>180.82396348705734</v>
      </c>
      <c r="BK143" s="197">
        <f t="shared" si="366"/>
        <v>444.21666930139224</v>
      </c>
      <c r="BL143" s="197">
        <f t="shared" si="367"/>
        <v>612.12404830572621</v>
      </c>
      <c r="BM143" s="199">
        <f t="shared" si="368"/>
        <v>792.94801179278352</v>
      </c>
      <c r="BN143" s="196">
        <f t="shared" si="369"/>
        <v>7006.6820598220256</v>
      </c>
      <c r="BO143" s="197">
        <f t="shared" si="370"/>
        <v>1199.4009128235652</v>
      </c>
      <c r="BP143" s="197">
        <f t="shared" si="371"/>
        <v>2946.4782674651906</v>
      </c>
      <c r="BQ143" s="197">
        <f t="shared" si="372"/>
        <v>4060.2037923568355</v>
      </c>
      <c r="BR143" s="199">
        <f t="shared" si="373"/>
        <v>5259.6047051803998</v>
      </c>
      <c r="BV143" s="881">
        <v>6</v>
      </c>
      <c r="BW143" s="892">
        <f>'Arable Inputs'!$H$18</f>
        <v>12</v>
      </c>
      <c r="BX143" s="747">
        <f>'Arable Inputs'!$H$25</f>
        <v>107.1</v>
      </c>
      <c r="BY143" s="749">
        <f t="shared" si="374"/>
        <v>1285.1999999999998</v>
      </c>
      <c r="BZ143" s="197">
        <f>'Arable NPV'!$D122</f>
        <v>220</v>
      </c>
      <c r="CA143" s="197">
        <f t="shared" si="398"/>
        <v>1505.1999999999998</v>
      </c>
      <c r="CB143" s="197">
        <f>'Arable NPV'!$F122</f>
        <v>528.51499999999999</v>
      </c>
      <c r="CC143" s="197">
        <f>'Arable NPV'!$G122</f>
        <v>552.40000000000009</v>
      </c>
      <c r="CD143" s="197">
        <f t="shared" si="338"/>
        <v>2161.83</v>
      </c>
      <c r="CE143" s="197">
        <f t="shared" si="339"/>
        <v>-876.63000000000011</v>
      </c>
      <c r="CF143" s="197">
        <f t="shared" si="340"/>
        <v>-656.63000000000011</v>
      </c>
      <c r="CG143" s="196">
        <f t="shared" si="375"/>
        <v>1056.3407176071184</v>
      </c>
      <c r="CH143" s="197">
        <f t="shared" si="376"/>
        <v>180.82396348705734</v>
      </c>
      <c r="CI143" s="197">
        <f t="shared" si="377"/>
        <v>1776.866677205569</v>
      </c>
      <c r="CJ143" s="197">
        <f t="shared" si="378"/>
        <v>-720.52595959845041</v>
      </c>
      <c r="CK143" s="199">
        <f t="shared" si="379"/>
        <v>-539.7019961113931</v>
      </c>
      <c r="CL143" s="196">
        <f t="shared" si="380"/>
        <v>7006.6820598220256</v>
      </c>
      <c r="CM143" s="197">
        <f t="shared" si="381"/>
        <v>1199.4009128235652</v>
      </c>
      <c r="CN143" s="197">
        <f t="shared" si="382"/>
        <v>11785.913069860762</v>
      </c>
      <c r="CO143" s="197">
        <f t="shared" si="383"/>
        <v>-4779.2310100387367</v>
      </c>
      <c r="CP143" s="199">
        <f t="shared" si="384"/>
        <v>-3579.830097215171</v>
      </c>
      <c r="CT143" s="881">
        <v>6</v>
      </c>
      <c r="CU143" s="892">
        <f>'Arable Inputs'!$H$18</f>
        <v>12</v>
      </c>
      <c r="CV143" s="747">
        <f>'Arable Inputs'!$H$25</f>
        <v>107.1</v>
      </c>
      <c r="CW143" s="749">
        <f t="shared" si="341"/>
        <v>1285.1999999999998</v>
      </c>
      <c r="CX143" s="197">
        <f>'Arable NPV'!$D122</f>
        <v>220</v>
      </c>
      <c r="CY143" s="197">
        <f t="shared" si="399"/>
        <v>1505.1999999999998</v>
      </c>
      <c r="CZ143" s="197">
        <f>'Arable NPV'!$F122</f>
        <v>528.51499999999999</v>
      </c>
      <c r="DA143" s="197">
        <f>'Arable NPV'!$G122</f>
        <v>552.40000000000009</v>
      </c>
      <c r="DB143" s="197">
        <f t="shared" si="342"/>
        <v>0</v>
      </c>
      <c r="DC143" s="197">
        <f t="shared" si="343"/>
        <v>1285.1999999999998</v>
      </c>
      <c r="DD143" s="197">
        <f t="shared" si="344"/>
        <v>1505.1999999999998</v>
      </c>
      <c r="DE143" s="196">
        <f t="shared" si="385"/>
        <v>1056.3407176071184</v>
      </c>
      <c r="DF143" s="197">
        <f t="shared" si="386"/>
        <v>180.82396348705734</v>
      </c>
      <c r="DG143" s="197">
        <f t="shared" si="387"/>
        <v>0</v>
      </c>
      <c r="DH143" s="197">
        <f t="shared" si="388"/>
        <v>1056.3407176071184</v>
      </c>
      <c r="DI143" s="199">
        <f t="shared" si="389"/>
        <v>1237.1646810941759</v>
      </c>
      <c r="DJ143" s="196">
        <f t="shared" si="390"/>
        <v>7006.6820598220256</v>
      </c>
      <c r="DK143" s="197">
        <f t="shared" si="391"/>
        <v>1199.4009128235652</v>
      </c>
      <c r="DL143" s="197">
        <f t="shared" si="392"/>
        <v>0</v>
      </c>
      <c r="DM143" s="197">
        <f t="shared" si="393"/>
        <v>7006.6820598220256</v>
      </c>
      <c r="DN143" s="199">
        <f t="shared" si="394"/>
        <v>8206.0829726455922</v>
      </c>
    </row>
    <row r="144" spans="2:172" x14ac:dyDescent="0.3">
      <c r="B144" s="881">
        <v>7</v>
      </c>
      <c r="C144" s="892">
        <f>'Arable Inputs'!$H$18</f>
        <v>12</v>
      </c>
      <c r="D144" s="747">
        <f>'Arable Inputs'!$H$25</f>
        <v>107.1</v>
      </c>
      <c r="E144" s="749">
        <f t="shared" si="345"/>
        <v>1285.1999999999998</v>
      </c>
      <c r="F144" s="197">
        <f>'Arable NPV'!$D123</f>
        <v>220</v>
      </c>
      <c r="G144" s="197">
        <f t="shared" si="395"/>
        <v>1505.1999999999998</v>
      </c>
      <c r="H144" s="197">
        <f>'Arable NPV'!$F123</f>
        <v>528.51499999999999</v>
      </c>
      <c r="I144" s="197">
        <f>'Arable NPV'!$G123</f>
        <v>552.40000000000009</v>
      </c>
      <c r="J144" s="197">
        <f t="shared" si="329"/>
        <v>1080.915</v>
      </c>
      <c r="K144" s="197">
        <f t="shared" si="330"/>
        <v>204.28499999999985</v>
      </c>
      <c r="L144" s="197">
        <f t="shared" si="331"/>
        <v>424.28499999999985</v>
      </c>
      <c r="M144" s="196">
        <f t="shared" si="346"/>
        <v>1015.7122284683832</v>
      </c>
      <c r="N144" s="197">
        <f t="shared" si="347"/>
        <v>173.86919566063204</v>
      </c>
      <c r="O144" s="197">
        <f t="shared" si="348"/>
        <v>854.26282557960042</v>
      </c>
      <c r="P144" s="197">
        <f t="shared" si="349"/>
        <v>161.44940288878271</v>
      </c>
      <c r="Q144" s="199">
        <f t="shared" si="350"/>
        <v>335.31859854941473</v>
      </c>
      <c r="R144" s="196">
        <f t="shared" si="351"/>
        <v>8022.3942882904084</v>
      </c>
      <c r="S144" s="197">
        <f t="shared" si="351"/>
        <v>1373.2701084841974</v>
      </c>
      <c r="T144" s="197">
        <f t="shared" si="351"/>
        <v>6747.2193605099819</v>
      </c>
      <c r="U144" s="197">
        <f t="shared" si="351"/>
        <v>1275.1749277804274</v>
      </c>
      <c r="V144" s="199">
        <f t="shared" si="351"/>
        <v>2648.4450362646244</v>
      </c>
      <c r="Z144" s="881">
        <v>7</v>
      </c>
      <c r="AA144" s="892">
        <f>'Arable Inputs'!$H$18</f>
        <v>12</v>
      </c>
      <c r="AB144" s="747">
        <f>'Arable Inputs'!$H$25</f>
        <v>107.1</v>
      </c>
      <c r="AC144" s="749">
        <f t="shared" si="352"/>
        <v>1285.1999999999998</v>
      </c>
      <c r="AD144" s="197">
        <f>'Arable NPV'!$D123</f>
        <v>220</v>
      </c>
      <c r="AE144" s="197">
        <f t="shared" si="396"/>
        <v>1505.1999999999998</v>
      </c>
      <c r="AF144" s="197">
        <f>'Arable NPV'!$F123</f>
        <v>528.51499999999999</v>
      </c>
      <c r="AG144" s="197">
        <f>'Arable NPV'!$G123</f>
        <v>552.40000000000009</v>
      </c>
      <c r="AH144" s="197">
        <f t="shared" si="332"/>
        <v>1621.3724999999999</v>
      </c>
      <c r="AI144" s="197">
        <f t="shared" si="333"/>
        <v>-336.17250000000013</v>
      </c>
      <c r="AJ144" s="197">
        <f t="shared" si="334"/>
        <v>-116.17250000000013</v>
      </c>
      <c r="AK144" s="196">
        <f t="shared" si="353"/>
        <v>1015.7122284683832</v>
      </c>
      <c r="AL144" s="197">
        <f t="shared" si="354"/>
        <v>173.86919566063204</v>
      </c>
      <c r="AM144" s="197">
        <f t="shared" si="355"/>
        <v>1281.3942383694007</v>
      </c>
      <c r="AN144" s="197">
        <f t="shared" si="356"/>
        <v>-265.68200990101752</v>
      </c>
      <c r="AO144" s="199">
        <f t="shared" si="357"/>
        <v>-91.81281424038545</v>
      </c>
      <c r="AP144" s="196">
        <f t="shared" si="358"/>
        <v>8022.3942882904084</v>
      </c>
      <c r="AQ144" s="197">
        <f t="shared" si="359"/>
        <v>1373.2701084841974</v>
      </c>
      <c r="AR144" s="197">
        <f t="shared" si="360"/>
        <v>10120.829040764973</v>
      </c>
      <c r="AS144" s="197">
        <f t="shared" si="361"/>
        <v>-2098.4347524745631</v>
      </c>
      <c r="AT144" s="199">
        <f t="shared" si="362"/>
        <v>-725.16464399036624</v>
      </c>
      <c r="AX144" s="881">
        <v>7</v>
      </c>
      <c r="AY144" s="892">
        <f>'Arable Inputs'!$H$18</f>
        <v>12</v>
      </c>
      <c r="AZ144" s="747">
        <f>'Arable Inputs'!$H$25</f>
        <v>107.1</v>
      </c>
      <c r="BA144" s="749">
        <f t="shared" si="363"/>
        <v>1285.1999999999998</v>
      </c>
      <c r="BB144" s="197">
        <f>'Arable NPV'!$D123</f>
        <v>220</v>
      </c>
      <c r="BC144" s="197">
        <f t="shared" si="397"/>
        <v>1505.1999999999998</v>
      </c>
      <c r="BD144" s="197">
        <f>'Arable NPV'!$F123</f>
        <v>528.51499999999999</v>
      </c>
      <c r="BE144" s="197">
        <f>'Arable NPV'!$G123</f>
        <v>552.40000000000009</v>
      </c>
      <c r="BF144" s="197">
        <f t="shared" si="335"/>
        <v>540.45749999999998</v>
      </c>
      <c r="BG144" s="197">
        <f t="shared" si="336"/>
        <v>744.74249999999984</v>
      </c>
      <c r="BH144" s="197">
        <f t="shared" si="337"/>
        <v>964.74249999999984</v>
      </c>
      <c r="BI144" s="196">
        <f t="shared" si="364"/>
        <v>1015.7122284683832</v>
      </c>
      <c r="BJ144" s="197">
        <f t="shared" si="365"/>
        <v>173.86919566063204</v>
      </c>
      <c r="BK144" s="197">
        <f t="shared" si="366"/>
        <v>427.13141278980021</v>
      </c>
      <c r="BL144" s="197">
        <f t="shared" si="367"/>
        <v>588.58081567858289</v>
      </c>
      <c r="BM144" s="199">
        <f t="shared" si="368"/>
        <v>762.45001133921494</v>
      </c>
      <c r="BN144" s="196">
        <f t="shared" si="369"/>
        <v>8022.3942882904084</v>
      </c>
      <c r="BO144" s="197">
        <f t="shared" si="370"/>
        <v>1373.2701084841974</v>
      </c>
      <c r="BP144" s="197">
        <f t="shared" si="371"/>
        <v>3373.609680254991</v>
      </c>
      <c r="BQ144" s="197">
        <f t="shared" si="372"/>
        <v>4648.7846080354184</v>
      </c>
      <c r="BR144" s="199">
        <f t="shared" si="373"/>
        <v>6022.0547165196149</v>
      </c>
      <c r="BV144" s="881">
        <v>7</v>
      </c>
      <c r="BW144" s="892">
        <f>'Arable Inputs'!$H$18</f>
        <v>12</v>
      </c>
      <c r="BX144" s="747">
        <f>'Arable Inputs'!$H$25</f>
        <v>107.1</v>
      </c>
      <c r="BY144" s="749">
        <f t="shared" si="374"/>
        <v>1285.1999999999998</v>
      </c>
      <c r="BZ144" s="197">
        <f>'Arable NPV'!$D123</f>
        <v>220</v>
      </c>
      <c r="CA144" s="197">
        <f t="shared" si="398"/>
        <v>1505.1999999999998</v>
      </c>
      <c r="CB144" s="197">
        <f>'Arable NPV'!$F123</f>
        <v>528.51499999999999</v>
      </c>
      <c r="CC144" s="197">
        <f>'Arable NPV'!$G123</f>
        <v>552.40000000000009</v>
      </c>
      <c r="CD144" s="197">
        <f t="shared" si="338"/>
        <v>2161.83</v>
      </c>
      <c r="CE144" s="197">
        <f t="shared" si="339"/>
        <v>-876.63000000000011</v>
      </c>
      <c r="CF144" s="197">
        <f t="shared" si="340"/>
        <v>-656.63000000000011</v>
      </c>
      <c r="CG144" s="196">
        <f t="shared" si="375"/>
        <v>1015.7122284683832</v>
      </c>
      <c r="CH144" s="197">
        <f t="shared" si="376"/>
        <v>173.86919566063204</v>
      </c>
      <c r="CI144" s="197">
        <f t="shared" si="377"/>
        <v>1708.5256511592008</v>
      </c>
      <c r="CJ144" s="197">
        <f t="shared" si="378"/>
        <v>-692.81342269081767</v>
      </c>
      <c r="CK144" s="199">
        <f t="shared" si="379"/>
        <v>-518.94422703018563</v>
      </c>
      <c r="CL144" s="196">
        <f t="shared" si="380"/>
        <v>8022.3942882904084</v>
      </c>
      <c r="CM144" s="197">
        <f t="shared" si="381"/>
        <v>1373.2701084841974</v>
      </c>
      <c r="CN144" s="197">
        <f t="shared" si="382"/>
        <v>13494.438721019964</v>
      </c>
      <c r="CO144" s="197">
        <f t="shared" si="383"/>
        <v>-5472.0444327295545</v>
      </c>
      <c r="CP144" s="199">
        <f t="shared" si="384"/>
        <v>-4098.7743242453562</v>
      </c>
      <c r="CT144" s="881">
        <v>7</v>
      </c>
      <c r="CU144" s="892">
        <f>'Arable Inputs'!$H$18</f>
        <v>12</v>
      </c>
      <c r="CV144" s="747">
        <f>'Arable Inputs'!$H$25</f>
        <v>107.1</v>
      </c>
      <c r="CW144" s="749">
        <f t="shared" si="341"/>
        <v>1285.1999999999998</v>
      </c>
      <c r="CX144" s="197">
        <f>'Arable NPV'!$D123</f>
        <v>220</v>
      </c>
      <c r="CY144" s="197">
        <f t="shared" si="399"/>
        <v>1505.1999999999998</v>
      </c>
      <c r="CZ144" s="197">
        <f>'Arable NPV'!$F123</f>
        <v>528.51499999999999</v>
      </c>
      <c r="DA144" s="197">
        <f>'Arable NPV'!$G123</f>
        <v>552.40000000000009</v>
      </c>
      <c r="DB144" s="197">
        <f t="shared" si="342"/>
        <v>0</v>
      </c>
      <c r="DC144" s="197">
        <f t="shared" si="343"/>
        <v>1285.1999999999998</v>
      </c>
      <c r="DD144" s="197">
        <f t="shared" si="344"/>
        <v>1505.1999999999998</v>
      </c>
      <c r="DE144" s="196">
        <f t="shared" si="385"/>
        <v>1015.7122284683832</v>
      </c>
      <c r="DF144" s="197">
        <f t="shared" si="386"/>
        <v>173.86919566063204</v>
      </c>
      <c r="DG144" s="197">
        <f t="shared" si="387"/>
        <v>0</v>
      </c>
      <c r="DH144" s="197">
        <f t="shared" si="388"/>
        <v>1015.7122284683832</v>
      </c>
      <c r="DI144" s="199">
        <f t="shared" si="389"/>
        <v>1189.5814241290152</v>
      </c>
      <c r="DJ144" s="196">
        <f t="shared" si="390"/>
        <v>8022.3942882904084</v>
      </c>
      <c r="DK144" s="197">
        <f t="shared" si="391"/>
        <v>1373.2701084841974</v>
      </c>
      <c r="DL144" s="197">
        <f t="shared" si="392"/>
        <v>0</v>
      </c>
      <c r="DM144" s="197">
        <f t="shared" si="393"/>
        <v>8022.3942882904084</v>
      </c>
      <c r="DN144" s="199">
        <f t="shared" si="394"/>
        <v>9395.6643967746077</v>
      </c>
    </row>
    <row r="145" spans="2:118" x14ac:dyDescent="0.3">
      <c r="B145" s="881">
        <v>8</v>
      </c>
      <c r="C145" s="892">
        <f>'Arable Inputs'!$H$18</f>
        <v>12</v>
      </c>
      <c r="D145" s="747">
        <f>'Arable Inputs'!$H$25</f>
        <v>107.1</v>
      </c>
      <c r="E145" s="749">
        <f t="shared" si="345"/>
        <v>1285.1999999999998</v>
      </c>
      <c r="F145" s="197">
        <f>'Arable NPV'!$D124</f>
        <v>220</v>
      </c>
      <c r="G145" s="197">
        <f t="shared" si="395"/>
        <v>1505.1999999999998</v>
      </c>
      <c r="H145" s="197">
        <f>'Arable NPV'!$F124</f>
        <v>528.51499999999999</v>
      </c>
      <c r="I145" s="197">
        <f>'Arable NPV'!$G124</f>
        <v>552.40000000000009</v>
      </c>
      <c r="J145" s="197">
        <f t="shared" si="329"/>
        <v>1080.915</v>
      </c>
      <c r="K145" s="197">
        <f t="shared" si="330"/>
        <v>204.28499999999985</v>
      </c>
      <c r="L145" s="197">
        <f t="shared" si="331"/>
        <v>424.28499999999985</v>
      </c>
      <c r="M145" s="196">
        <f t="shared" si="346"/>
        <v>976.64637352729153</v>
      </c>
      <c r="N145" s="197">
        <f t="shared" si="347"/>
        <v>167.18191890445391</v>
      </c>
      <c r="O145" s="197">
        <f t="shared" si="348"/>
        <v>821.40656305730818</v>
      </c>
      <c r="P145" s="197">
        <f t="shared" si="349"/>
        <v>155.23981046998338</v>
      </c>
      <c r="Q145" s="199">
        <f t="shared" si="350"/>
        <v>322.42172937443729</v>
      </c>
      <c r="R145" s="196">
        <f t="shared" si="351"/>
        <v>8999.0406618177003</v>
      </c>
      <c r="S145" s="197">
        <f t="shared" si="351"/>
        <v>1540.4520273886512</v>
      </c>
      <c r="T145" s="197">
        <f t="shared" si="351"/>
        <v>7568.6259235672896</v>
      </c>
      <c r="U145" s="197">
        <f t="shared" si="351"/>
        <v>1430.4147382504109</v>
      </c>
      <c r="V145" s="199">
        <f t="shared" si="351"/>
        <v>2970.8667656390617</v>
      </c>
      <c r="Z145" s="881">
        <v>8</v>
      </c>
      <c r="AA145" s="892">
        <f>'Arable Inputs'!$H$18</f>
        <v>12</v>
      </c>
      <c r="AB145" s="747">
        <f>'Arable Inputs'!$H$25</f>
        <v>107.1</v>
      </c>
      <c r="AC145" s="749">
        <f t="shared" si="352"/>
        <v>1285.1999999999998</v>
      </c>
      <c r="AD145" s="197">
        <f>'Arable NPV'!$D124</f>
        <v>220</v>
      </c>
      <c r="AE145" s="197">
        <f t="shared" si="396"/>
        <v>1505.1999999999998</v>
      </c>
      <c r="AF145" s="197">
        <f>'Arable NPV'!$F124</f>
        <v>528.51499999999999</v>
      </c>
      <c r="AG145" s="197">
        <f>'Arable NPV'!$G124</f>
        <v>552.40000000000009</v>
      </c>
      <c r="AH145" s="197">
        <f t="shared" si="332"/>
        <v>1621.3724999999999</v>
      </c>
      <c r="AI145" s="197">
        <f t="shared" si="333"/>
        <v>-336.17250000000013</v>
      </c>
      <c r="AJ145" s="197">
        <f t="shared" si="334"/>
        <v>-116.17250000000013</v>
      </c>
      <c r="AK145" s="196">
        <f t="shared" si="353"/>
        <v>976.64637352729153</v>
      </c>
      <c r="AL145" s="197">
        <f t="shared" si="354"/>
        <v>167.18191890445391</v>
      </c>
      <c r="AM145" s="197">
        <f t="shared" si="355"/>
        <v>1232.1098445859623</v>
      </c>
      <c r="AN145" s="197">
        <f t="shared" si="356"/>
        <v>-255.46347105867071</v>
      </c>
      <c r="AO145" s="199">
        <f t="shared" si="357"/>
        <v>-88.281552154216797</v>
      </c>
      <c r="AP145" s="196">
        <f t="shared" si="358"/>
        <v>8999.0406618177003</v>
      </c>
      <c r="AQ145" s="197">
        <f t="shared" si="359"/>
        <v>1540.4520273886512</v>
      </c>
      <c r="AR145" s="197">
        <f t="shared" si="360"/>
        <v>11352.938885350935</v>
      </c>
      <c r="AS145" s="197">
        <f t="shared" si="361"/>
        <v>-2353.8982235332337</v>
      </c>
      <c r="AT145" s="199">
        <f t="shared" si="362"/>
        <v>-813.44619614458304</v>
      </c>
      <c r="AX145" s="881">
        <v>8</v>
      </c>
      <c r="AY145" s="892">
        <f>'Arable Inputs'!$H$18</f>
        <v>12</v>
      </c>
      <c r="AZ145" s="747">
        <f>'Arable Inputs'!$H$25</f>
        <v>107.1</v>
      </c>
      <c r="BA145" s="749">
        <f t="shared" si="363"/>
        <v>1285.1999999999998</v>
      </c>
      <c r="BB145" s="197">
        <f>'Arable NPV'!$D124</f>
        <v>220</v>
      </c>
      <c r="BC145" s="197">
        <f t="shared" si="397"/>
        <v>1505.1999999999998</v>
      </c>
      <c r="BD145" s="197">
        <f>'Arable NPV'!$F124</f>
        <v>528.51499999999999</v>
      </c>
      <c r="BE145" s="197">
        <f>'Arable NPV'!$G124</f>
        <v>552.40000000000009</v>
      </c>
      <c r="BF145" s="197">
        <f t="shared" si="335"/>
        <v>540.45749999999998</v>
      </c>
      <c r="BG145" s="197">
        <f t="shared" si="336"/>
        <v>744.74249999999984</v>
      </c>
      <c r="BH145" s="197">
        <f t="shared" si="337"/>
        <v>964.74249999999984</v>
      </c>
      <c r="BI145" s="196">
        <f t="shared" si="364"/>
        <v>976.64637352729153</v>
      </c>
      <c r="BJ145" s="197">
        <f t="shared" si="365"/>
        <v>167.18191890445391</v>
      </c>
      <c r="BK145" s="197">
        <f t="shared" si="366"/>
        <v>410.70328152865409</v>
      </c>
      <c r="BL145" s="197">
        <f t="shared" si="367"/>
        <v>565.94309199863744</v>
      </c>
      <c r="BM145" s="199">
        <f t="shared" si="368"/>
        <v>733.12501090309138</v>
      </c>
      <c r="BN145" s="196">
        <f t="shared" si="369"/>
        <v>8999.0406618177003</v>
      </c>
      <c r="BO145" s="197">
        <f t="shared" si="370"/>
        <v>1540.4520273886512</v>
      </c>
      <c r="BP145" s="197">
        <f t="shared" si="371"/>
        <v>3784.3129617836448</v>
      </c>
      <c r="BQ145" s="197">
        <f t="shared" si="372"/>
        <v>5214.7277000340555</v>
      </c>
      <c r="BR145" s="199">
        <f t="shared" si="373"/>
        <v>6755.1797274227065</v>
      </c>
      <c r="BV145" s="881">
        <v>8</v>
      </c>
      <c r="BW145" s="892">
        <f>'Arable Inputs'!$H$18</f>
        <v>12</v>
      </c>
      <c r="BX145" s="747">
        <f>'Arable Inputs'!$H$25</f>
        <v>107.1</v>
      </c>
      <c r="BY145" s="749">
        <f t="shared" si="374"/>
        <v>1285.1999999999998</v>
      </c>
      <c r="BZ145" s="197">
        <f>'Arable NPV'!$D124</f>
        <v>220</v>
      </c>
      <c r="CA145" s="197">
        <f t="shared" si="398"/>
        <v>1505.1999999999998</v>
      </c>
      <c r="CB145" s="197">
        <f>'Arable NPV'!$F124</f>
        <v>528.51499999999999</v>
      </c>
      <c r="CC145" s="197">
        <f>'Arable NPV'!$G124</f>
        <v>552.40000000000009</v>
      </c>
      <c r="CD145" s="197">
        <f t="shared" si="338"/>
        <v>2161.83</v>
      </c>
      <c r="CE145" s="197">
        <f t="shared" si="339"/>
        <v>-876.63000000000011</v>
      </c>
      <c r="CF145" s="197">
        <f t="shared" si="340"/>
        <v>-656.63000000000011</v>
      </c>
      <c r="CG145" s="196">
        <f t="shared" si="375"/>
        <v>976.64637352729153</v>
      </c>
      <c r="CH145" s="197">
        <f t="shared" si="376"/>
        <v>167.18191890445391</v>
      </c>
      <c r="CI145" s="197">
        <f t="shared" si="377"/>
        <v>1642.8131261146164</v>
      </c>
      <c r="CJ145" s="197">
        <f t="shared" si="378"/>
        <v>-666.16675258732482</v>
      </c>
      <c r="CK145" s="199">
        <f t="shared" si="379"/>
        <v>-498.98483368287089</v>
      </c>
      <c r="CL145" s="196">
        <f t="shared" si="380"/>
        <v>8999.0406618177003</v>
      </c>
      <c r="CM145" s="197">
        <f t="shared" si="381"/>
        <v>1540.4520273886512</v>
      </c>
      <c r="CN145" s="197">
        <f t="shared" si="382"/>
        <v>15137.251847134579</v>
      </c>
      <c r="CO145" s="197">
        <f t="shared" si="383"/>
        <v>-6138.211185316879</v>
      </c>
      <c r="CP145" s="199">
        <f t="shared" si="384"/>
        <v>-4597.7591579282271</v>
      </c>
      <c r="CT145" s="881">
        <v>8</v>
      </c>
      <c r="CU145" s="892">
        <f>'Arable Inputs'!$H$18</f>
        <v>12</v>
      </c>
      <c r="CV145" s="747">
        <f>'Arable Inputs'!$H$25</f>
        <v>107.1</v>
      </c>
      <c r="CW145" s="749">
        <f t="shared" si="341"/>
        <v>1285.1999999999998</v>
      </c>
      <c r="CX145" s="197">
        <f>'Arable NPV'!$D124</f>
        <v>220</v>
      </c>
      <c r="CY145" s="197">
        <f t="shared" si="399"/>
        <v>1505.1999999999998</v>
      </c>
      <c r="CZ145" s="197">
        <f>'Arable NPV'!$F124</f>
        <v>528.51499999999999</v>
      </c>
      <c r="DA145" s="197">
        <f>'Arable NPV'!$G124</f>
        <v>552.40000000000009</v>
      </c>
      <c r="DB145" s="197">
        <f t="shared" si="342"/>
        <v>0</v>
      </c>
      <c r="DC145" s="197">
        <f t="shared" si="343"/>
        <v>1285.1999999999998</v>
      </c>
      <c r="DD145" s="197">
        <f t="shared" si="344"/>
        <v>1505.1999999999998</v>
      </c>
      <c r="DE145" s="196">
        <f t="shared" si="385"/>
        <v>976.64637352729153</v>
      </c>
      <c r="DF145" s="197">
        <f t="shared" si="386"/>
        <v>167.18191890445391</v>
      </c>
      <c r="DG145" s="197">
        <f t="shared" si="387"/>
        <v>0</v>
      </c>
      <c r="DH145" s="197">
        <f t="shared" si="388"/>
        <v>976.64637352729153</v>
      </c>
      <c r="DI145" s="199">
        <f t="shared" si="389"/>
        <v>1143.8282924317455</v>
      </c>
      <c r="DJ145" s="196">
        <f t="shared" si="390"/>
        <v>8999.0406618177003</v>
      </c>
      <c r="DK145" s="197">
        <f t="shared" si="391"/>
        <v>1540.4520273886512</v>
      </c>
      <c r="DL145" s="197">
        <f t="shared" si="392"/>
        <v>0</v>
      </c>
      <c r="DM145" s="197">
        <f t="shared" si="393"/>
        <v>8999.0406618177003</v>
      </c>
      <c r="DN145" s="199">
        <f t="shared" si="394"/>
        <v>10539.492689206352</v>
      </c>
    </row>
    <row r="146" spans="2:118" x14ac:dyDescent="0.3">
      <c r="B146" s="881">
        <v>9</v>
      </c>
      <c r="C146" s="892">
        <f>'Arable Inputs'!$H$18</f>
        <v>12</v>
      </c>
      <c r="D146" s="747">
        <f>'Arable Inputs'!$H$25</f>
        <v>107.1</v>
      </c>
      <c r="E146" s="749">
        <f t="shared" si="345"/>
        <v>1285.1999999999998</v>
      </c>
      <c r="F146" s="197">
        <f>'Arable NPV'!$D125</f>
        <v>220</v>
      </c>
      <c r="G146" s="197">
        <f t="shared" si="395"/>
        <v>1505.1999999999998</v>
      </c>
      <c r="H146" s="197">
        <f>'Arable NPV'!$F125</f>
        <v>528.51499999999999</v>
      </c>
      <c r="I146" s="197">
        <f>'Arable NPV'!$G125</f>
        <v>552.40000000000009</v>
      </c>
      <c r="J146" s="197">
        <f t="shared" si="329"/>
        <v>1080.915</v>
      </c>
      <c r="K146" s="197">
        <f t="shared" si="330"/>
        <v>204.28499999999985</v>
      </c>
      <c r="L146" s="197">
        <f t="shared" si="331"/>
        <v>424.28499999999985</v>
      </c>
      <c r="M146" s="196">
        <f t="shared" si="346"/>
        <v>939.08305146854946</v>
      </c>
      <c r="N146" s="197">
        <f t="shared" si="347"/>
        <v>160.75184510043644</v>
      </c>
      <c r="O146" s="197">
        <f t="shared" si="348"/>
        <v>789.81400293971922</v>
      </c>
      <c r="P146" s="197">
        <f t="shared" si="349"/>
        <v>149.26904852883015</v>
      </c>
      <c r="Q146" s="199">
        <f t="shared" si="350"/>
        <v>310.0208936292666</v>
      </c>
      <c r="R146" s="196">
        <f t="shared" si="351"/>
        <v>9938.1237132862498</v>
      </c>
      <c r="S146" s="197">
        <f t="shared" si="351"/>
        <v>1701.2038724890876</v>
      </c>
      <c r="T146" s="197">
        <f t="shared" si="351"/>
        <v>8358.4399265070097</v>
      </c>
      <c r="U146" s="197">
        <f t="shared" si="351"/>
        <v>1579.683786779241</v>
      </c>
      <c r="V146" s="199">
        <f t="shared" si="351"/>
        <v>3280.8876592683282</v>
      </c>
      <c r="Z146" s="881">
        <v>9</v>
      </c>
      <c r="AA146" s="892">
        <f>'Arable Inputs'!$H$18</f>
        <v>12</v>
      </c>
      <c r="AB146" s="747">
        <f>'Arable Inputs'!$H$25</f>
        <v>107.1</v>
      </c>
      <c r="AC146" s="749">
        <f t="shared" si="352"/>
        <v>1285.1999999999998</v>
      </c>
      <c r="AD146" s="197">
        <f>'Arable NPV'!$D125</f>
        <v>220</v>
      </c>
      <c r="AE146" s="197">
        <f t="shared" si="396"/>
        <v>1505.1999999999998</v>
      </c>
      <c r="AF146" s="197">
        <f>'Arable NPV'!$F125</f>
        <v>528.51499999999999</v>
      </c>
      <c r="AG146" s="197">
        <f>'Arable NPV'!$G125</f>
        <v>552.40000000000009</v>
      </c>
      <c r="AH146" s="197">
        <f t="shared" si="332"/>
        <v>1621.3724999999999</v>
      </c>
      <c r="AI146" s="197">
        <f t="shared" si="333"/>
        <v>-336.17250000000013</v>
      </c>
      <c r="AJ146" s="197">
        <f t="shared" si="334"/>
        <v>-116.17250000000013</v>
      </c>
      <c r="AK146" s="196">
        <f t="shared" si="353"/>
        <v>939.08305146854946</v>
      </c>
      <c r="AL146" s="197">
        <f t="shared" si="354"/>
        <v>160.75184510043644</v>
      </c>
      <c r="AM146" s="197">
        <f t="shared" si="355"/>
        <v>1184.7210044095789</v>
      </c>
      <c r="AN146" s="197">
        <f t="shared" si="356"/>
        <v>-245.63795294102948</v>
      </c>
      <c r="AO146" s="199">
        <f t="shared" si="357"/>
        <v>-84.886107840593056</v>
      </c>
      <c r="AP146" s="196">
        <f t="shared" si="358"/>
        <v>9938.1237132862498</v>
      </c>
      <c r="AQ146" s="197">
        <f t="shared" si="359"/>
        <v>1701.2038724890876</v>
      </c>
      <c r="AR146" s="197">
        <f t="shared" si="360"/>
        <v>12537.659889760514</v>
      </c>
      <c r="AS146" s="197">
        <f t="shared" si="361"/>
        <v>-2599.5361764742634</v>
      </c>
      <c r="AT146" s="199">
        <f t="shared" si="362"/>
        <v>-898.33230398517605</v>
      </c>
      <c r="AX146" s="881">
        <v>9</v>
      </c>
      <c r="AY146" s="892">
        <f>'Arable Inputs'!$H$18</f>
        <v>12</v>
      </c>
      <c r="AZ146" s="747">
        <f>'Arable Inputs'!$H$25</f>
        <v>107.1</v>
      </c>
      <c r="BA146" s="749">
        <f t="shared" si="363"/>
        <v>1285.1999999999998</v>
      </c>
      <c r="BB146" s="197">
        <f>'Arable NPV'!$D125</f>
        <v>220</v>
      </c>
      <c r="BC146" s="197">
        <f t="shared" si="397"/>
        <v>1505.1999999999998</v>
      </c>
      <c r="BD146" s="197">
        <f>'Arable NPV'!$F125</f>
        <v>528.51499999999999</v>
      </c>
      <c r="BE146" s="197">
        <f>'Arable NPV'!$G125</f>
        <v>552.40000000000009</v>
      </c>
      <c r="BF146" s="197">
        <f t="shared" si="335"/>
        <v>540.45749999999998</v>
      </c>
      <c r="BG146" s="197">
        <f t="shared" si="336"/>
        <v>744.74249999999984</v>
      </c>
      <c r="BH146" s="197">
        <f t="shared" si="337"/>
        <v>964.74249999999984</v>
      </c>
      <c r="BI146" s="196">
        <f t="shared" si="364"/>
        <v>939.08305146854946</v>
      </c>
      <c r="BJ146" s="197">
        <f t="shared" si="365"/>
        <v>160.75184510043644</v>
      </c>
      <c r="BK146" s="197">
        <f t="shared" si="366"/>
        <v>394.90700146985961</v>
      </c>
      <c r="BL146" s="197">
        <f t="shared" si="367"/>
        <v>544.17604999868979</v>
      </c>
      <c r="BM146" s="199">
        <f t="shared" si="368"/>
        <v>704.9278950991262</v>
      </c>
      <c r="BN146" s="196">
        <f t="shared" si="369"/>
        <v>9938.1237132862498</v>
      </c>
      <c r="BO146" s="197">
        <f t="shared" si="370"/>
        <v>1701.2038724890876</v>
      </c>
      <c r="BP146" s="197">
        <f t="shared" si="371"/>
        <v>4179.2199632535048</v>
      </c>
      <c r="BQ146" s="197">
        <f t="shared" si="372"/>
        <v>5758.9037500327449</v>
      </c>
      <c r="BR146" s="199">
        <f t="shared" si="373"/>
        <v>7460.107622521833</v>
      </c>
      <c r="BV146" s="881">
        <v>9</v>
      </c>
      <c r="BW146" s="892">
        <f>'Arable Inputs'!$H$18</f>
        <v>12</v>
      </c>
      <c r="BX146" s="747">
        <f>'Arable Inputs'!$H$25</f>
        <v>107.1</v>
      </c>
      <c r="BY146" s="749">
        <f t="shared" si="374"/>
        <v>1285.1999999999998</v>
      </c>
      <c r="BZ146" s="197">
        <f>'Arable NPV'!$D125</f>
        <v>220</v>
      </c>
      <c r="CA146" s="197">
        <f t="shared" si="398"/>
        <v>1505.1999999999998</v>
      </c>
      <c r="CB146" s="197">
        <f>'Arable NPV'!$F125</f>
        <v>528.51499999999999</v>
      </c>
      <c r="CC146" s="197">
        <f>'Arable NPV'!$G125</f>
        <v>552.40000000000009</v>
      </c>
      <c r="CD146" s="197">
        <f t="shared" si="338"/>
        <v>2161.83</v>
      </c>
      <c r="CE146" s="197">
        <f t="shared" si="339"/>
        <v>-876.63000000000011</v>
      </c>
      <c r="CF146" s="197">
        <f t="shared" si="340"/>
        <v>-656.63000000000011</v>
      </c>
      <c r="CG146" s="196">
        <f t="shared" si="375"/>
        <v>939.08305146854946</v>
      </c>
      <c r="CH146" s="197">
        <f t="shared" si="376"/>
        <v>160.75184510043644</v>
      </c>
      <c r="CI146" s="197">
        <f t="shared" si="377"/>
        <v>1579.6280058794384</v>
      </c>
      <c r="CJ146" s="197">
        <f t="shared" si="378"/>
        <v>-640.54495441088909</v>
      </c>
      <c r="CK146" s="199">
        <f t="shared" si="379"/>
        <v>-479.79310931045268</v>
      </c>
      <c r="CL146" s="196">
        <f t="shared" si="380"/>
        <v>9938.1237132862498</v>
      </c>
      <c r="CM146" s="197">
        <f t="shared" si="381"/>
        <v>1701.2038724890876</v>
      </c>
      <c r="CN146" s="197">
        <f t="shared" si="382"/>
        <v>16716.879853014019</v>
      </c>
      <c r="CO146" s="197">
        <f t="shared" si="383"/>
        <v>-6778.7561397277677</v>
      </c>
      <c r="CP146" s="199">
        <f t="shared" si="384"/>
        <v>-5077.5522672386796</v>
      </c>
      <c r="CT146" s="881">
        <v>9</v>
      </c>
      <c r="CU146" s="892">
        <f>'Arable Inputs'!$H$18</f>
        <v>12</v>
      </c>
      <c r="CV146" s="747">
        <f>'Arable Inputs'!$H$25</f>
        <v>107.1</v>
      </c>
      <c r="CW146" s="749">
        <f t="shared" si="341"/>
        <v>1285.1999999999998</v>
      </c>
      <c r="CX146" s="197">
        <f>'Arable NPV'!$D125</f>
        <v>220</v>
      </c>
      <c r="CY146" s="197">
        <f t="shared" si="399"/>
        <v>1505.1999999999998</v>
      </c>
      <c r="CZ146" s="197">
        <f>'Arable NPV'!$F125</f>
        <v>528.51499999999999</v>
      </c>
      <c r="DA146" s="197">
        <f>'Arable NPV'!$G125</f>
        <v>552.40000000000009</v>
      </c>
      <c r="DB146" s="197">
        <f t="shared" si="342"/>
        <v>0</v>
      </c>
      <c r="DC146" s="197">
        <f t="shared" si="343"/>
        <v>1285.1999999999998</v>
      </c>
      <c r="DD146" s="197">
        <f t="shared" si="344"/>
        <v>1505.1999999999998</v>
      </c>
      <c r="DE146" s="196">
        <f t="shared" si="385"/>
        <v>939.08305146854946</v>
      </c>
      <c r="DF146" s="197">
        <f t="shared" si="386"/>
        <v>160.75184510043644</v>
      </c>
      <c r="DG146" s="197">
        <f t="shared" si="387"/>
        <v>0</v>
      </c>
      <c r="DH146" s="197">
        <f t="shared" si="388"/>
        <v>939.08305146854946</v>
      </c>
      <c r="DI146" s="199">
        <f t="shared" si="389"/>
        <v>1099.8348965689859</v>
      </c>
      <c r="DJ146" s="196">
        <f t="shared" si="390"/>
        <v>9938.1237132862498</v>
      </c>
      <c r="DK146" s="197">
        <f t="shared" si="391"/>
        <v>1701.2038724890876</v>
      </c>
      <c r="DL146" s="197">
        <f t="shared" si="392"/>
        <v>0</v>
      </c>
      <c r="DM146" s="197">
        <f t="shared" si="393"/>
        <v>9938.1237132862498</v>
      </c>
      <c r="DN146" s="199">
        <f t="shared" si="394"/>
        <v>11639.327585775338</v>
      </c>
    </row>
    <row r="147" spans="2:118" x14ac:dyDescent="0.3">
      <c r="B147" s="881">
        <v>10</v>
      </c>
      <c r="C147" s="892">
        <f>'Arable Inputs'!$H$18</f>
        <v>12</v>
      </c>
      <c r="D147" s="747">
        <f>'Arable Inputs'!$H$25</f>
        <v>107.1</v>
      </c>
      <c r="E147" s="749">
        <f t="shared" si="345"/>
        <v>1285.1999999999998</v>
      </c>
      <c r="F147" s="197">
        <f>'Arable NPV'!$D126</f>
        <v>220</v>
      </c>
      <c r="G147" s="197">
        <f t="shared" si="395"/>
        <v>1505.1999999999998</v>
      </c>
      <c r="H147" s="197">
        <f>'Arable NPV'!$F126</f>
        <v>528.51499999999999</v>
      </c>
      <c r="I147" s="197">
        <f>'Arable NPV'!$G126</f>
        <v>552.40000000000009</v>
      </c>
      <c r="J147" s="197">
        <f t="shared" si="329"/>
        <v>1080.915</v>
      </c>
      <c r="K147" s="197">
        <f t="shared" si="330"/>
        <v>204.28499999999985</v>
      </c>
      <c r="L147" s="197">
        <f t="shared" si="331"/>
        <v>424.28499999999985</v>
      </c>
      <c r="M147" s="196">
        <f t="shared" si="346"/>
        <v>902.96447256591284</v>
      </c>
      <c r="N147" s="197">
        <f t="shared" si="347"/>
        <v>154.5690818273427</v>
      </c>
      <c r="O147" s="197">
        <f t="shared" si="348"/>
        <v>759.43654128819151</v>
      </c>
      <c r="P147" s="197">
        <f t="shared" si="349"/>
        <v>143.52793127772128</v>
      </c>
      <c r="Q147" s="199">
        <f t="shared" si="350"/>
        <v>298.09701310506398</v>
      </c>
      <c r="R147" s="196">
        <f t="shared" si="351"/>
        <v>10841.088185852162</v>
      </c>
      <c r="S147" s="197">
        <f t="shared" si="351"/>
        <v>1855.7729543164303</v>
      </c>
      <c r="T147" s="197">
        <f t="shared" si="351"/>
        <v>9117.8764677952004</v>
      </c>
      <c r="U147" s="197">
        <f t="shared" si="351"/>
        <v>1723.2117180569624</v>
      </c>
      <c r="V147" s="199">
        <f t="shared" si="351"/>
        <v>3578.9846723733922</v>
      </c>
      <c r="Z147" s="881">
        <v>10</v>
      </c>
      <c r="AA147" s="892">
        <f>'Arable Inputs'!$H$18</f>
        <v>12</v>
      </c>
      <c r="AB147" s="747">
        <f>'Arable Inputs'!$H$25</f>
        <v>107.1</v>
      </c>
      <c r="AC147" s="749">
        <f t="shared" si="352"/>
        <v>1285.1999999999998</v>
      </c>
      <c r="AD147" s="197">
        <f>'Arable NPV'!$D126</f>
        <v>220</v>
      </c>
      <c r="AE147" s="197">
        <f t="shared" si="396"/>
        <v>1505.1999999999998</v>
      </c>
      <c r="AF147" s="197">
        <f>'Arable NPV'!$F126</f>
        <v>528.51499999999999</v>
      </c>
      <c r="AG147" s="197">
        <f>'Arable NPV'!$G126</f>
        <v>552.40000000000009</v>
      </c>
      <c r="AH147" s="197">
        <f t="shared" si="332"/>
        <v>1621.3724999999999</v>
      </c>
      <c r="AI147" s="197">
        <f t="shared" si="333"/>
        <v>-336.17250000000013</v>
      </c>
      <c r="AJ147" s="197">
        <f t="shared" si="334"/>
        <v>-116.17250000000013</v>
      </c>
      <c r="AK147" s="196">
        <f t="shared" si="353"/>
        <v>902.96447256591284</v>
      </c>
      <c r="AL147" s="197">
        <f t="shared" si="354"/>
        <v>154.5690818273427</v>
      </c>
      <c r="AM147" s="197">
        <f t="shared" si="355"/>
        <v>1139.1548119322872</v>
      </c>
      <c r="AN147" s="197">
        <f t="shared" si="356"/>
        <v>-236.19033936637447</v>
      </c>
      <c r="AO147" s="199">
        <f t="shared" si="357"/>
        <v>-81.621257539031774</v>
      </c>
      <c r="AP147" s="196">
        <f t="shared" si="358"/>
        <v>10841.088185852162</v>
      </c>
      <c r="AQ147" s="197">
        <f t="shared" si="359"/>
        <v>1855.7729543164303</v>
      </c>
      <c r="AR147" s="197">
        <f t="shared" si="360"/>
        <v>13676.814701692801</v>
      </c>
      <c r="AS147" s="197">
        <f t="shared" si="361"/>
        <v>-2835.7265158406381</v>
      </c>
      <c r="AT147" s="199">
        <f t="shared" si="362"/>
        <v>-979.95356152420777</v>
      </c>
      <c r="AX147" s="881">
        <v>10</v>
      </c>
      <c r="AY147" s="892">
        <f>'Arable Inputs'!$H$18</f>
        <v>12</v>
      </c>
      <c r="AZ147" s="747">
        <f>'Arable Inputs'!$H$25</f>
        <v>107.1</v>
      </c>
      <c r="BA147" s="749">
        <f t="shared" si="363"/>
        <v>1285.1999999999998</v>
      </c>
      <c r="BB147" s="197">
        <f>'Arable NPV'!$D126</f>
        <v>220</v>
      </c>
      <c r="BC147" s="197">
        <f t="shared" si="397"/>
        <v>1505.1999999999998</v>
      </c>
      <c r="BD147" s="197">
        <f>'Arable NPV'!$F126</f>
        <v>528.51499999999999</v>
      </c>
      <c r="BE147" s="197">
        <f>'Arable NPV'!$G126</f>
        <v>552.40000000000009</v>
      </c>
      <c r="BF147" s="197">
        <f t="shared" si="335"/>
        <v>540.45749999999998</v>
      </c>
      <c r="BG147" s="197">
        <f t="shared" si="336"/>
        <v>744.74249999999984</v>
      </c>
      <c r="BH147" s="197">
        <f t="shared" si="337"/>
        <v>964.74249999999984</v>
      </c>
      <c r="BI147" s="196">
        <f t="shared" si="364"/>
        <v>902.96447256591284</v>
      </c>
      <c r="BJ147" s="197">
        <f t="shared" si="365"/>
        <v>154.5690818273427</v>
      </c>
      <c r="BK147" s="197">
        <f t="shared" si="366"/>
        <v>379.71827064409575</v>
      </c>
      <c r="BL147" s="197">
        <f t="shared" si="367"/>
        <v>523.24620192181703</v>
      </c>
      <c r="BM147" s="199">
        <f t="shared" si="368"/>
        <v>677.81528374915979</v>
      </c>
      <c r="BN147" s="196">
        <f t="shared" si="369"/>
        <v>10841.088185852162</v>
      </c>
      <c r="BO147" s="197">
        <f t="shared" si="370"/>
        <v>1855.7729543164303</v>
      </c>
      <c r="BP147" s="197">
        <f t="shared" si="371"/>
        <v>4558.9382338976002</v>
      </c>
      <c r="BQ147" s="197">
        <f t="shared" si="372"/>
        <v>6282.1499519545623</v>
      </c>
      <c r="BR147" s="199">
        <f t="shared" si="373"/>
        <v>8137.9229062709928</v>
      </c>
      <c r="BV147" s="881">
        <v>10</v>
      </c>
      <c r="BW147" s="892">
        <f>'Arable Inputs'!$H$18</f>
        <v>12</v>
      </c>
      <c r="BX147" s="747">
        <f>'Arable Inputs'!$H$25</f>
        <v>107.1</v>
      </c>
      <c r="BY147" s="749">
        <f t="shared" si="374"/>
        <v>1285.1999999999998</v>
      </c>
      <c r="BZ147" s="197">
        <f>'Arable NPV'!$D126</f>
        <v>220</v>
      </c>
      <c r="CA147" s="197">
        <f t="shared" si="398"/>
        <v>1505.1999999999998</v>
      </c>
      <c r="CB147" s="197">
        <f>'Arable NPV'!$F126</f>
        <v>528.51499999999999</v>
      </c>
      <c r="CC147" s="197">
        <f>'Arable NPV'!$G126</f>
        <v>552.40000000000009</v>
      </c>
      <c r="CD147" s="197">
        <f t="shared" si="338"/>
        <v>2161.83</v>
      </c>
      <c r="CE147" s="197">
        <f t="shared" si="339"/>
        <v>-876.63000000000011</v>
      </c>
      <c r="CF147" s="197">
        <f t="shared" si="340"/>
        <v>-656.63000000000011</v>
      </c>
      <c r="CG147" s="196">
        <f t="shared" si="375"/>
        <v>902.96447256591284</v>
      </c>
      <c r="CH147" s="197">
        <f t="shared" si="376"/>
        <v>154.5690818273427</v>
      </c>
      <c r="CI147" s="197">
        <f t="shared" si="377"/>
        <v>1518.873082576383</v>
      </c>
      <c r="CJ147" s="197">
        <f t="shared" si="378"/>
        <v>-615.90861001047028</v>
      </c>
      <c r="CK147" s="199">
        <f t="shared" si="379"/>
        <v>-461.33952818312753</v>
      </c>
      <c r="CL147" s="196">
        <f t="shared" si="380"/>
        <v>10841.088185852162</v>
      </c>
      <c r="CM147" s="197">
        <f t="shared" si="381"/>
        <v>1855.7729543164303</v>
      </c>
      <c r="CN147" s="197">
        <f t="shared" si="382"/>
        <v>18235.752935590401</v>
      </c>
      <c r="CO147" s="197">
        <f t="shared" si="383"/>
        <v>-7394.6647497382382</v>
      </c>
      <c r="CP147" s="199">
        <f t="shared" si="384"/>
        <v>-5538.8917954218068</v>
      </c>
      <c r="CT147" s="881">
        <v>10</v>
      </c>
      <c r="CU147" s="892">
        <f>'Arable Inputs'!$H$18</f>
        <v>12</v>
      </c>
      <c r="CV147" s="747">
        <f>'Arable Inputs'!$H$25</f>
        <v>107.1</v>
      </c>
      <c r="CW147" s="749">
        <f t="shared" si="341"/>
        <v>1285.1999999999998</v>
      </c>
      <c r="CX147" s="197">
        <f>'Arable NPV'!$D126</f>
        <v>220</v>
      </c>
      <c r="CY147" s="197">
        <f t="shared" si="399"/>
        <v>1505.1999999999998</v>
      </c>
      <c r="CZ147" s="197">
        <f>'Arable NPV'!$F126</f>
        <v>528.51499999999999</v>
      </c>
      <c r="DA147" s="197">
        <f>'Arable NPV'!$G126</f>
        <v>552.40000000000009</v>
      </c>
      <c r="DB147" s="197">
        <f t="shared" si="342"/>
        <v>0</v>
      </c>
      <c r="DC147" s="197">
        <f t="shared" si="343"/>
        <v>1285.1999999999998</v>
      </c>
      <c r="DD147" s="197">
        <f t="shared" si="344"/>
        <v>1505.1999999999998</v>
      </c>
      <c r="DE147" s="196">
        <f t="shared" si="385"/>
        <v>902.96447256591284</v>
      </c>
      <c r="DF147" s="197">
        <f t="shared" si="386"/>
        <v>154.5690818273427</v>
      </c>
      <c r="DG147" s="197">
        <f t="shared" si="387"/>
        <v>0</v>
      </c>
      <c r="DH147" s="197">
        <f t="shared" si="388"/>
        <v>902.96447256591284</v>
      </c>
      <c r="DI147" s="199">
        <f t="shared" si="389"/>
        <v>1057.5335543932556</v>
      </c>
      <c r="DJ147" s="196">
        <f t="shared" si="390"/>
        <v>10841.088185852162</v>
      </c>
      <c r="DK147" s="197">
        <f t="shared" si="391"/>
        <v>1855.7729543164303</v>
      </c>
      <c r="DL147" s="197">
        <f t="shared" si="392"/>
        <v>0</v>
      </c>
      <c r="DM147" s="197">
        <f t="shared" si="393"/>
        <v>10841.088185852162</v>
      </c>
      <c r="DN147" s="199">
        <f t="shared" si="394"/>
        <v>12696.861140168594</v>
      </c>
    </row>
    <row r="148" spans="2:118" x14ac:dyDescent="0.3">
      <c r="B148" s="881">
        <v>11</v>
      </c>
      <c r="C148" s="892">
        <f>'Arable Inputs'!$H$18</f>
        <v>12</v>
      </c>
      <c r="D148" s="747">
        <f>'Arable Inputs'!$H$25</f>
        <v>107.1</v>
      </c>
      <c r="E148" s="749">
        <f t="shared" si="345"/>
        <v>1285.1999999999998</v>
      </c>
      <c r="F148" s="197">
        <f>'Arable NPV'!$D127</f>
        <v>220</v>
      </c>
      <c r="G148" s="197">
        <f t="shared" si="395"/>
        <v>1505.1999999999998</v>
      </c>
      <c r="H148" s="197">
        <f>'Arable NPV'!$F127</f>
        <v>528.51499999999999</v>
      </c>
      <c r="I148" s="197">
        <f>'Arable NPV'!$G127</f>
        <v>552.40000000000009</v>
      </c>
      <c r="J148" s="197">
        <f t="shared" si="329"/>
        <v>1080.915</v>
      </c>
      <c r="K148" s="197">
        <f t="shared" si="330"/>
        <v>204.28499999999985</v>
      </c>
      <c r="L148" s="197">
        <f t="shared" si="331"/>
        <v>424.28499999999985</v>
      </c>
      <c r="M148" s="196">
        <f t="shared" si="346"/>
        <v>868.23506977491616</v>
      </c>
      <c r="N148" s="197">
        <f t="shared" si="347"/>
        <v>148.62411714167567</v>
      </c>
      <c r="O148" s="197">
        <f t="shared" si="348"/>
        <v>730.22744354633801</v>
      </c>
      <c r="P148" s="197">
        <f t="shared" si="349"/>
        <v>138.00762622857815</v>
      </c>
      <c r="Q148" s="199">
        <f t="shared" si="350"/>
        <v>286.63174337025384</v>
      </c>
      <c r="R148" s="196">
        <f t="shared" si="351"/>
        <v>11709.323255627078</v>
      </c>
      <c r="S148" s="197">
        <f t="shared" si="351"/>
        <v>2004.397071458106</v>
      </c>
      <c r="T148" s="197">
        <f t="shared" si="351"/>
        <v>9848.1039113415391</v>
      </c>
      <c r="U148" s="197">
        <f t="shared" si="351"/>
        <v>1861.2193442855405</v>
      </c>
      <c r="V148" s="199">
        <f t="shared" si="351"/>
        <v>3865.616415743646</v>
      </c>
      <c r="Z148" s="881">
        <v>11</v>
      </c>
      <c r="AA148" s="892">
        <f>'Arable Inputs'!$H$18</f>
        <v>12</v>
      </c>
      <c r="AB148" s="747">
        <f>'Arable Inputs'!$H$25</f>
        <v>107.1</v>
      </c>
      <c r="AC148" s="749">
        <f t="shared" si="352"/>
        <v>1285.1999999999998</v>
      </c>
      <c r="AD148" s="197">
        <f>'Arable NPV'!$D127</f>
        <v>220</v>
      </c>
      <c r="AE148" s="197">
        <f t="shared" si="396"/>
        <v>1505.1999999999998</v>
      </c>
      <c r="AF148" s="197">
        <f>'Arable NPV'!$F127</f>
        <v>528.51499999999999</v>
      </c>
      <c r="AG148" s="197">
        <f>'Arable NPV'!$G127</f>
        <v>552.40000000000009</v>
      </c>
      <c r="AH148" s="197">
        <f t="shared" si="332"/>
        <v>1621.3724999999999</v>
      </c>
      <c r="AI148" s="197">
        <f t="shared" si="333"/>
        <v>-336.17250000000013</v>
      </c>
      <c r="AJ148" s="197">
        <f t="shared" si="334"/>
        <v>-116.17250000000013</v>
      </c>
      <c r="AK148" s="196">
        <f t="shared" si="353"/>
        <v>868.23506977491616</v>
      </c>
      <c r="AL148" s="197">
        <f t="shared" si="354"/>
        <v>148.62411714167567</v>
      </c>
      <c r="AM148" s="197">
        <f t="shared" si="355"/>
        <v>1095.3411653195071</v>
      </c>
      <c r="AN148" s="197">
        <f t="shared" si="356"/>
        <v>-227.10609554459086</v>
      </c>
      <c r="AO148" s="199">
        <f t="shared" si="357"/>
        <v>-78.481978402915175</v>
      </c>
      <c r="AP148" s="196">
        <f t="shared" si="358"/>
        <v>11709.323255627078</v>
      </c>
      <c r="AQ148" s="197">
        <f t="shared" si="359"/>
        <v>2004.397071458106</v>
      </c>
      <c r="AR148" s="197">
        <f t="shared" si="360"/>
        <v>14772.155867012309</v>
      </c>
      <c r="AS148" s="197">
        <f t="shared" si="361"/>
        <v>-3062.832611385229</v>
      </c>
      <c r="AT148" s="199">
        <f t="shared" si="362"/>
        <v>-1058.435539927123</v>
      </c>
      <c r="AX148" s="881">
        <v>11</v>
      </c>
      <c r="AY148" s="892">
        <f>'Arable Inputs'!$H$18</f>
        <v>12</v>
      </c>
      <c r="AZ148" s="747">
        <f>'Arable Inputs'!$H$25</f>
        <v>107.1</v>
      </c>
      <c r="BA148" s="749">
        <f t="shared" si="363"/>
        <v>1285.1999999999998</v>
      </c>
      <c r="BB148" s="197">
        <f>'Arable NPV'!$D127</f>
        <v>220</v>
      </c>
      <c r="BC148" s="197">
        <f t="shared" si="397"/>
        <v>1505.1999999999998</v>
      </c>
      <c r="BD148" s="197">
        <f>'Arable NPV'!$F127</f>
        <v>528.51499999999999</v>
      </c>
      <c r="BE148" s="197">
        <f>'Arable NPV'!$G127</f>
        <v>552.40000000000009</v>
      </c>
      <c r="BF148" s="197">
        <f t="shared" si="335"/>
        <v>540.45749999999998</v>
      </c>
      <c r="BG148" s="197">
        <f t="shared" si="336"/>
        <v>744.74249999999984</v>
      </c>
      <c r="BH148" s="197">
        <f t="shared" si="337"/>
        <v>964.74249999999984</v>
      </c>
      <c r="BI148" s="196">
        <f t="shared" si="364"/>
        <v>868.23506977491616</v>
      </c>
      <c r="BJ148" s="197">
        <f t="shared" si="365"/>
        <v>148.62411714167567</v>
      </c>
      <c r="BK148" s="197">
        <f t="shared" si="366"/>
        <v>365.113721773169</v>
      </c>
      <c r="BL148" s="197">
        <f t="shared" si="367"/>
        <v>503.12134800174715</v>
      </c>
      <c r="BM148" s="199">
        <f t="shared" si="368"/>
        <v>651.74546514342285</v>
      </c>
      <c r="BN148" s="196">
        <f t="shared" si="369"/>
        <v>11709.323255627078</v>
      </c>
      <c r="BO148" s="197">
        <f t="shared" si="370"/>
        <v>2004.397071458106</v>
      </c>
      <c r="BP148" s="197">
        <f t="shared" si="371"/>
        <v>4924.0519556707695</v>
      </c>
      <c r="BQ148" s="197">
        <f t="shared" si="372"/>
        <v>6785.2712999563091</v>
      </c>
      <c r="BR148" s="199">
        <f t="shared" si="373"/>
        <v>8789.6683714144165</v>
      </c>
      <c r="BV148" s="881">
        <v>11</v>
      </c>
      <c r="BW148" s="892">
        <f>'Arable Inputs'!$H$18</f>
        <v>12</v>
      </c>
      <c r="BX148" s="747">
        <f>'Arable Inputs'!$H$25</f>
        <v>107.1</v>
      </c>
      <c r="BY148" s="749">
        <f t="shared" si="374"/>
        <v>1285.1999999999998</v>
      </c>
      <c r="BZ148" s="197">
        <f>'Arable NPV'!$D127</f>
        <v>220</v>
      </c>
      <c r="CA148" s="197">
        <f t="shared" si="398"/>
        <v>1505.1999999999998</v>
      </c>
      <c r="CB148" s="197">
        <f>'Arable NPV'!$F127</f>
        <v>528.51499999999999</v>
      </c>
      <c r="CC148" s="197">
        <f>'Arable NPV'!$G127</f>
        <v>552.40000000000009</v>
      </c>
      <c r="CD148" s="197">
        <f t="shared" si="338"/>
        <v>2161.83</v>
      </c>
      <c r="CE148" s="197">
        <f t="shared" si="339"/>
        <v>-876.63000000000011</v>
      </c>
      <c r="CF148" s="197">
        <f t="shared" si="340"/>
        <v>-656.63000000000011</v>
      </c>
      <c r="CG148" s="196">
        <f t="shared" si="375"/>
        <v>868.23506977491616</v>
      </c>
      <c r="CH148" s="197">
        <f t="shared" si="376"/>
        <v>148.62411714167567</v>
      </c>
      <c r="CI148" s="197">
        <f t="shared" si="377"/>
        <v>1460.454887092676</v>
      </c>
      <c r="CJ148" s="197">
        <f t="shared" si="378"/>
        <v>-592.21981731775986</v>
      </c>
      <c r="CK148" s="199">
        <f t="shared" si="379"/>
        <v>-443.59570017608416</v>
      </c>
      <c r="CL148" s="196">
        <f t="shared" si="380"/>
        <v>11709.323255627078</v>
      </c>
      <c r="CM148" s="197">
        <f t="shared" si="381"/>
        <v>2004.397071458106</v>
      </c>
      <c r="CN148" s="197">
        <f t="shared" si="382"/>
        <v>19696.207822683078</v>
      </c>
      <c r="CO148" s="197">
        <f t="shared" si="383"/>
        <v>-7986.8845670559986</v>
      </c>
      <c r="CP148" s="199">
        <f t="shared" si="384"/>
        <v>-5982.4874955978912</v>
      </c>
      <c r="CT148" s="881">
        <v>11</v>
      </c>
      <c r="CU148" s="892">
        <f>'Arable Inputs'!$H$18</f>
        <v>12</v>
      </c>
      <c r="CV148" s="747">
        <f>'Arable Inputs'!$H$25</f>
        <v>107.1</v>
      </c>
      <c r="CW148" s="749">
        <f t="shared" si="341"/>
        <v>1285.1999999999998</v>
      </c>
      <c r="CX148" s="197">
        <f>'Arable NPV'!$D127</f>
        <v>220</v>
      </c>
      <c r="CY148" s="197">
        <f t="shared" si="399"/>
        <v>1505.1999999999998</v>
      </c>
      <c r="CZ148" s="197">
        <f>'Arable NPV'!$F127</f>
        <v>528.51499999999999</v>
      </c>
      <c r="DA148" s="197">
        <f>'Arable NPV'!$G127</f>
        <v>552.40000000000009</v>
      </c>
      <c r="DB148" s="197">
        <f t="shared" si="342"/>
        <v>0</v>
      </c>
      <c r="DC148" s="197">
        <f t="shared" si="343"/>
        <v>1285.1999999999998</v>
      </c>
      <c r="DD148" s="197">
        <f t="shared" si="344"/>
        <v>1505.1999999999998</v>
      </c>
      <c r="DE148" s="196">
        <f t="shared" si="385"/>
        <v>868.23506977491616</v>
      </c>
      <c r="DF148" s="197">
        <f t="shared" si="386"/>
        <v>148.62411714167567</v>
      </c>
      <c r="DG148" s="197">
        <f t="shared" si="387"/>
        <v>0</v>
      </c>
      <c r="DH148" s="197">
        <f t="shared" si="388"/>
        <v>868.23506977491616</v>
      </c>
      <c r="DI148" s="199">
        <f t="shared" si="389"/>
        <v>1016.8591869165919</v>
      </c>
      <c r="DJ148" s="196">
        <f t="shared" si="390"/>
        <v>11709.323255627078</v>
      </c>
      <c r="DK148" s="197">
        <f t="shared" si="391"/>
        <v>2004.397071458106</v>
      </c>
      <c r="DL148" s="197">
        <f t="shared" si="392"/>
        <v>0</v>
      </c>
      <c r="DM148" s="197">
        <f t="shared" si="393"/>
        <v>11709.323255627078</v>
      </c>
      <c r="DN148" s="199">
        <f t="shared" si="394"/>
        <v>13713.720327085186</v>
      </c>
    </row>
    <row r="149" spans="2:118" x14ac:dyDescent="0.3">
      <c r="B149" s="881">
        <v>12</v>
      </c>
      <c r="C149" s="892">
        <f>'Arable Inputs'!$H$18</f>
        <v>12</v>
      </c>
      <c r="D149" s="747">
        <f>'Arable Inputs'!$H$25</f>
        <v>107.1</v>
      </c>
      <c r="E149" s="749">
        <f t="shared" si="345"/>
        <v>1285.1999999999998</v>
      </c>
      <c r="F149" s="197">
        <f>'Arable NPV'!$D128</f>
        <v>220</v>
      </c>
      <c r="G149" s="197">
        <f t="shared" si="395"/>
        <v>1505.1999999999998</v>
      </c>
      <c r="H149" s="197">
        <f>'Arable NPV'!$F128</f>
        <v>528.51499999999999</v>
      </c>
      <c r="I149" s="197">
        <f>'Arable NPV'!$G128</f>
        <v>552.40000000000009</v>
      </c>
      <c r="J149" s="197">
        <f t="shared" si="329"/>
        <v>1080.915</v>
      </c>
      <c r="K149" s="197">
        <f t="shared" si="330"/>
        <v>204.28499999999985</v>
      </c>
      <c r="L149" s="197">
        <f t="shared" si="331"/>
        <v>424.28499999999985</v>
      </c>
      <c r="M149" s="196">
        <f t="shared" si="346"/>
        <v>834.84141324511177</v>
      </c>
      <c r="N149" s="197">
        <f t="shared" si="347"/>
        <v>142.90780494391893</v>
      </c>
      <c r="O149" s="197">
        <f t="shared" si="348"/>
        <v>702.14177264070963</v>
      </c>
      <c r="P149" s="197">
        <f t="shared" si="349"/>
        <v>132.69964060440208</v>
      </c>
      <c r="Q149" s="199">
        <f t="shared" si="350"/>
        <v>275.60744554832104</v>
      </c>
      <c r="R149" s="196">
        <f t="shared" si="351"/>
        <v>12544.16466887219</v>
      </c>
      <c r="S149" s="197">
        <f t="shared" si="351"/>
        <v>2147.304876402025</v>
      </c>
      <c r="T149" s="197">
        <f t="shared" si="351"/>
        <v>10550.245683982248</v>
      </c>
      <c r="U149" s="197">
        <f t="shared" si="351"/>
        <v>1993.9189848899425</v>
      </c>
      <c r="V149" s="199">
        <f t="shared" si="351"/>
        <v>4141.2238612919673</v>
      </c>
      <c r="Z149" s="881">
        <v>12</v>
      </c>
      <c r="AA149" s="892">
        <f>'Arable Inputs'!$H$18</f>
        <v>12</v>
      </c>
      <c r="AB149" s="747">
        <f>'Arable Inputs'!$H$25</f>
        <v>107.1</v>
      </c>
      <c r="AC149" s="749">
        <f t="shared" si="352"/>
        <v>1285.1999999999998</v>
      </c>
      <c r="AD149" s="197">
        <f>'Arable NPV'!$D128</f>
        <v>220</v>
      </c>
      <c r="AE149" s="197">
        <f t="shared" si="396"/>
        <v>1505.1999999999998</v>
      </c>
      <c r="AF149" s="197">
        <f>'Arable NPV'!$F128</f>
        <v>528.51499999999999</v>
      </c>
      <c r="AG149" s="197">
        <f>'Arable NPV'!$G128</f>
        <v>552.40000000000009</v>
      </c>
      <c r="AH149" s="197">
        <f t="shared" si="332"/>
        <v>1621.3724999999999</v>
      </c>
      <c r="AI149" s="197">
        <f t="shared" si="333"/>
        <v>-336.17250000000013</v>
      </c>
      <c r="AJ149" s="197">
        <f t="shared" si="334"/>
        <v>-116.17250000000013</v>
      </c>
      <c r="AK149" s="196">
        <f t="shared" si="353"/>
        <v>834.84141324511177</v>
      </c>
      <c r="AL149" s="197">
        <f t="shared" si="354"/>
        <v>142.90780494391893</v>
      </c>
      <c r="AM149" s="197">
        <f t="shared" si="355"/>
        <v>1053.2126589610646</v>
      </c>
      <c r="AN149" s="197">
        <f t="shared" si="356"/>
        <v>-218.37124571595277</v>
      </c>
      <c r="AO149" s="199">
        <f t="shared" si="357"/>
        <v>-75.46344077203382</v>
      </c>
      <c r="AP149" s="196">
        <f t="shared" si="358"/>
        <v>12544.16466887219</v>
      </c>
      <c r="AQ149" s="197">
        <f t="shared" si="359"/>
        <v>2147.304876402025</v>
      </c>
      <c r="AR149" s="197">
        <f t="shared" si="360"/>
        <v>15825.368525973374</v>
      </c>
      <c r="AS149" s="197">
        <f t="shared" si="361"/>
        <v>-3281.2038571011817</v>
      </c>
      <c r="AT149" s="199">
        <f t="shared" si="362"/>
        <v>-1133.8989806991569</v>
      </c>
      <c r="AX149" s="881">
        <v>12</v>
      </c>
      <c r="AY149" s="892">
        <f>'Arable Inputs'!$H$18</f>
        <v>12</v>
      </c>
      <c r="AZ149" s="747">
        <f>'Arable Inputs'!$H$25</f>
        <v>107.1</v>
      </c>
      <c r="BA149" s="749">
        <f t="shared" si="363"/>
        <v>1285.1999999999998</v>
      </c>
      <c r="BB149" s="197">
        <f>'Arable NPV'!$D128</f>
        <v>220</v>
      </c>
      <c r="BC149" s="197">
        <f t="shared" si="397"/>
        <v>1505.1999999999998</v>
      </c>
      <c r="BD149" s="197">
        <f>'Arable NPV'!$F128</f>
        <v>528.51499999999999</v>
      </c>
      <c r="BE149" s="197">
        <f>'Arable NPV'!$G128</f>
        <v>552.40000000000009</v>
      </c>
      <c r="BF149" s="197">
        <f t="shared" si="335"/>
        <v>540.45749999999998</v>
      </c>
      <c r="BG149" s="197">
        <f t="shared" si="336"/>
        <v>744.74249999999984</v>
      </c>
      <c r="BH149" s="197">
        <f t="shared" si="337"/>
        <v>964.74249999999984</v>
      </c>
      <c r="BI149" s="196">
        <f t="shared" si="364"/>
        <v>834.84141324511177</v>
      </c>
      <c r="BJ149" s="197">
        <f t="shared" si="365"/>
        <v>142.90780494391893</v>
      </c>
      <c r="BK149" s="197">
        <f t="shared" si="366"/>
        <v>351.07088632035482</v>
      </c>
      <c r="BL149" s="197">
        <f t="shared" si="367"/>
        <v>483.77052692475695</v>
      </c>
      <c r="BM149" s="199">
        <f t="shared" si="368"/>
        <v>626.67833186867585</v>
      </c>
      <c r="BN149" s="196">
        <f t="shared" si="369"/>
        <v>12544.16466887219</v>
      </c>
      <c r="BO149" s="197">
        <f t="shared" si="370"/>
        <v>2147.304876402025</v>
      </c>
      <c r="BP149" s="197">
        <f t="shared" si="371"/>
        <v>5275.122841991124</v>
      </c>
      <c r="BQ149" s="197">
        <f t="shared" si="372"/>
        <v>7269.0418268810663</v>
      </c>
      <c r="BR149" s="199">
        <f t="shared" si="373"/>
        <v>9416.3467032830922</v>
      </c>
      <c r="BV149" s="881">
        <v>12</v>
      </c>
      <c r="BW149" s="892">
        <f>'Arable Inputs'!$H$18</f>
        <v>12</v>
      </c>
      <c r="BX149" s="747">
        <f>'Arable Inputs'!$H$25</f>
        <v>107.1</v>
      </c>
      <c r="BY149" s="749">
        <f t="shared" si="374"/>
        <v>1285.1999999999998</v>
      </c>
      <c r="BZ149" s="197">
        <f>'Arable NPV'!$D128</f>
        <v>220</v>
      </c>
      <c r="CA149" s="197">
        <f t="shared" si="398"/>
        <v>1505.1999999999998</v>
      </c>
      <c r="CB149" s="197">
        <f>'Arable NPV'!$F128</f>
        <v>528.51499999999999</v>
      </c>
      <c r="CC149" s="197">
        <f>'Arable NPV'!$G128</f>
        <v>552.40000000000009</v>
      </c>
      <c r="CD149" s="197">
        <f t="shared" si="338"/>
        <v>2161.83</v>
      </c>
      <c r="CE149" s="197">
        <f t="shared" si="339"/>
        <v>-876.63000000000011</v>
      </c>
      <c r="CF149" s="197">
        <f t="shared" si="340"/>
        <v>-656.63000000000011</v>
      </c>
      <c r="CG149" s="196">
        <f t="shared" si="375"/>
        <v>834.84141324511177</v>
      </c>
      <c r="CH149" s="197">
        <f t="shared" si="376"/>
        <v>142.90780494391893</v>
      </c>
      <c r="CI149" s="197">
        <f t="shared" si="377"/>
        <v>1404.2835452814193</v>
      </c>
      <c r="CJ149" s="197">
        <f t="shared" si="378"/>
        <v>-569.44213203630761</v>
      </c>
      <c r="CK149" s="199">
        <f t="shared" si="379"/>
        <v>-426.53432709238865</v>
      </c>
      <c r="CL149" s="196">
        <f t="shared" si="380"/>
        <v>12544.16466887219</v>
      </c>
      <c r="CM149" s="197">
        <f t="shared" si="381"/>
        <v>2147.304876402025</v>
      </c>
      <c r="CN149" s="197">
        <f t="shared" si="382"/>
        <v>21100.491367964496</v>
      </c>
      <c r="CO149" s="197">
        <f t="shared" si="383"/>
        <v>-8556.3266990923057</v>
      </c>
      <c r="CP149" s="199">
        <f t="shared" si="384"/>
        <v>-6409.0218226902798</v>
      </c>
      <c r="CT149" s="881">
        <v>12</v>
      </c>
      <c r="CU149" s="892">
        <f>'Arable Inputs'!$H$18</f>
        <v>12</v>
      </c>
      <c r="CV149" s="747">
        <f>'Arable Inputs'!$H$25</f>
        <v>107.1</v>
      </c>
      <c r="CW149" s="749">
        <f t="shared" si="341"/>
        <v>1285.1999999999998</v>
      </c>
      <c r="CX149" s="197">
        <f>'Arable NPV'!$D128</f>
        <v>220</v>
      </c>
      <c r="CY149" s="197">
        <f t="shared" si="399"/>
        <v>1505.1999999999998</v>
      </c>
      <c r="CZ149" s="197">
        <f>'Arable NPV'!$F128</f>
        <v>528.51499999999999</v>
      </c>
      <c r="DA149" s="197">
        <f>'Arable NPV'!$G128</f>
        <v>552.40000000000009</v>
      </c>
      <c r="DB149" s="197">
        <f t="shared" si="342"/>
        <v>0</v>
      </c>
      <c r="DC149" s="197">
        <f t="shared" si="343"/>
        <v>1285.1999999999998</v>
      </c>
      <c r="DD149" s="197">
        <f t="shared" si="344"/>
        <v>1505.1999999999998</v>
      </c>
      <c r="DE149" s="196">
        <f t="shared" si="385"/>
        <v>834.84141324511177</v>
      </c>
      <c r="DF149" s="197">
        <f t="shared" si="386"/>
        <v>142.90780494391893</v>
      </c>
      <c r="DG149" s="197">
        <f t="shared" si="387"/>
        <v>0</v>
      </c>
      <c r="DH149" s="197">
        <f t="shared" si="388"/>
        <v>834.84141324511177</v>
      </c>
      <c r="DI149" s="199">
        <f t="shared" si="389"/>
        <v>977.74921818903067</v>
      </c>
      <c r="DJ149" s="196">
        <f t="shared" si="390"/>
        <v>12544.16466887219</v>
      </c>
      <c r="DK149" s="197">
        <f t="shared" si="391"/>
        <v>2147.304876402025</v>
      </c>
      <c r="DL149" s="197">
        <f t="shared" si="392"/>
        <v>0</v>
      </c>
      <c r="DM149" s="197">
        <f t="shared" si="393"/>
        <v>12544.16466887219</v>
      </c>
      <c r="DN149" s="199">
        <f t="shared" si="394"/>
        <v>14691.469545274216</v>
      </c>
    </row>
    <row r="150" spans="2:118" x14ac:dyDescent="0.3">
      <c r="B150" s="881">
        <v>13</v>
      </c>
      <c r="C150" s="892">
        <f>'Arable Inputs'!$H$18</f>
        <v>12</v>
      </c>
      <c r="D150" s="747">
        <f>'Arable Inputs'!$H$25</f>
        <v>107.1</v>
      </c>
      <c r="E150" s="749">
        <f t="shared" si="345"/>
        <v>1285.1999999999998</v>
      </c>
      <c r="F150" s="197">
        <f>'Arable NPV'!$D129</f>
        <v>220</v>
      </c>
      <c r="G150" s="197">
        <f t="shared" si="395"/>
        <v>1505.1999999999998</v>
      </c>
      <c r="H150" s="197">
        <f>'Arable NPV'!$F129</f>
        <v>528.51499999999999</v>
      </c>
      <c r="I150" s="197">
        <f>'Arable NPV'!$G129</f>
        <v>552.40000000000009</v>
      </c>
      <c r="J150" s="197">
        <f t="shared" si="329"/>
        <v>1080.915</v>
      </c>
      <c r="K150" s="197">
        <f t="shared" si="330"/>
        <v>204.28499999999985</v>
      </c>
      <c r="L150" s="197">
        <f t="shared" si="331"/>
        <v>424.28499999999985</v>
      </c>
      <c r="M150" s="196">
        <f t="shared" si="346"/>
        <v>802.73212812029965</v>
      </c>
      <c r="N150" s="197">
        <f t="shared" si="347"/>
        <v>137.41135090761432</v>
      </c>
      <c r="O150" s="197">
        <f t="shared" si="348"/>
        <v>675.13631984683605</v>
      </c>
      <c r="P150" s="197">
        <f t="shared" si="349"/>
        <v>127.59580827346352</v>
      </c>
      <c r="Q150" s="199">
        <f t="shared" si="350"/>
        <v>265.00715918107784</v>
      </c>
      <c r="R150" s="196">
        <f t="shared" si="351"/>
        <v>13346.896796992491</v>
      </c>
      <c r="S150" s="197">
        <f t="shared" si="351"/>
        <v>2284.7162273096392</v>
      </c>
      <c r="T150" s="197">
        <f t="shared" si="351"/>
        <v>11225.382003829083</v>
      </c>
      <c r="U150" s="197">
        <f t="shared" si="351"/>
        <v>2121.514793163406</v>
      </c>
      <c r="V150" s="199">
        <f t="shared" si="351"/>
        <v>4406.2310204730447</v>
      </c>
      <c r="Z150" s="881">
        <v>13</v>
      </c>
      <c r="AA150" s="892">
        <f>'Arable Inputs'!$H$18</f>
        <v>12</v>
      </c>
      <c r="AB150" s="747">
        <f>'Arable Inputs'!$H$25</f>
        <v>107.1</v>
      </c>
      <c r="AC150" s="749">
        <f t="shared" si="352"/>
        <v>1285.1999999999998</v>
      </c>
      <c r="AD150" s="197">
        <f>'Arable NPV'!$D129</f>
        <v>220</v>
      </c>
      <c r="AE150" s="197">
        <f t="shared" si="396"/>
        <v>1505.1999999999998</v>
      </c>
      <c r="AF150" s="197">
        <f>'Arable NPV'!$F129</f>
        <v>528.51499999999999</v>
      </c>
      <c r="AG150" s="197">
        <f>'Arable NPV'!$G129</f>
        <v>552.40000000000009</v>
      </c>
      <c r="AH150" s="197">
        <f t="shared" si="332"/>
        <v>1621.3724999999999</v>
      </c>
      <c r="AI150" s="197">
        <f t="shared" si="333"/>
        <v>-336.17250000000013</v>
      </c>
      <c r="AJ150" s="197">
        <f t="shared" si="334"/>
        <v>-116.17250000000013</v>
      </c>
      <c r="AK150" s="196">
        <f t="shared" si="353"/>
        <v>802.73212812029965</v>
      </c>
      <c r="AL150" s="197">
        <f t="shared" si="354"/>
        <v>137.41135090761432</v>
      </c>
      <c r="AM150" s="197">
        <f t="shared" si="355"/>
        <v>1012.7044797702541</v>
      </c>
      <c r="AN150" s="197">
        <f t="shared" si="356"/>
        <v>-209.97235164995453</v>
      </c>
      <c r="AO150" s="199">
        <f t="shared" si="357"/>
        <v>-72.561000742340198</v>
      </c>
      <c r="AP150" s="196">
        <f t="shared" si="358"/>
        <v>13346.896796992491</v>
      </c>
      <c r="AQ150" s="197">
        <f t="shared" si="359"/>
        <v>2284.7162273096392</v>
      </c>
      <c r="AR150" s="197">
        <f t="shared" si="360"/>
        <v>16838.073005743627</v>
      </c>
      <c r="AS150" s="197">
        <f t="shared" si="361"/>
        <v>-3491.1762087511361</v>
      </c>
      <c r="AT150" s="199">
        <f t="shared" si="362"/>
        <v>-1206.4599814414971</v>
      </c>
      <c r="AX150" s="881">
        <v>13</v>
      </c>
      <c r="AY150" s="892">
        <f>'Arable Inputs'!$H$18</f>
        <v>12</v>
      </c>
      <c r="AZ150" s="747">
        <f>'Arable Inputs'!$H$25</f>
        <v>107.1</v>
      </c>
      <c r="BA150" s="749">
        <f t="shared" si="363"/>
        <v>1285.1999999999998</v>
      </c>
      <c r="BB150" s="197">
        <f>'Arable NPV'!$D129</f>
        <v>220</v>
      </c>
      <c r="BC150" s="197">
        <f t="shared" si="397"/>
        <v>1505.1999999999998</v>
      </c>
      <c r="BD150" s="197">
        <f>'Arable NPV'!$F129</f>
        <v>528.51499999999999</v>
      </c>
      <c r="BE150" s="197">
        <f>'Arable NPV'!$G129</f>
        <v>552.40000000000009</v>
      </c>
      <c r="BF150" s="197">
        <f t="shared" si="335"/>
        <v>540.45749999999998</v>
      </c>
      <c r="BG150" s="197">
        <f t="shared" si="336"/>
        <v>744.74249999999984</v>
      </c>
      <c r="BH150" s="197">
        <f t="shared" si="337"/>
        <v>964.74249999999984</v>
      </c>
      <c r="BI150" s="196">
        <f t="shared" si="364"/>
        <v>802.73212812029965</v>
      </c>
      <c r="BJ150" s="197">
        <f t="shared" si="365"/>
        <v>137.41135090761432</v>
      </c>
      <c r="BK150" s="197">
        <f t="shared" si="366"/>
        <v>337.56815992341802</v>
      </c>
      <c r="BL150" s="197">
        <f t="shared" si="367"/>
        <v>465.16396819688157</v>
      </c>
      <c r="BM150" s="199">
        <f t="shared" si="368"/>
        <v>602.57531910449586</v>
      </c>
      <c r="BN150" s="196">
        <f t="shared" si="369"/>
        <v>13346.896796992491</v>
      </c>
      <c r="BO150" s="197">
        <f t="shared" si="370"/>
        <v>2284.7162273096392</v>
      </c>
      <c r="BP150" s="197">
        <f t="shared" si="371"/>
        <v>5612.6910019145416</v>
      </c>
      <c r="BQ150" s="197">
        <f t="shared" si="372"/>
        <v>7734.2057950779481</v>
      </c>
      <c r="BR150" s="199">
        <f t="shared" si="373"/>
        <v>10018.922022387587</v>
      </c>
      <c r="BV150" s="881">
        <v>13</v>
      </c>
      <c r="BW150" s="892">
        <f>'Arable Inputs'!$H$18</f>
        <v>12</v>
      </c>
      <c r="BX150" s="747">
        <f>'Arable Inputs'!$H$25</f>
        <v>107.1</v>
      </c>
      <c r="BY150" s="749">
        <f t="shared" si="374"/>
        <v>1285.1999999999998</v>
      </c>
      <c r="BZ150" s="197">
        <f>'Arable NPV'!$D129</f>
        <v>220</v>
      </c>
      <c r="CA150" s="197">
        <f t="shared" si="398"/>
        <v>1505.1999999999998</v>
      </c>
      <c r="CB150" s="197">
        <f>'Arable NPV'!$F129</f>
        <v>528.51499999999999</v>
      </c>
      <c r="CC150" s="197">
        <f>'Arable NPV'!$G129</f>
        <v>552.40000000000009</v>
      </c>
      <c r="CD150" s="197">
        <f t="shared" si="338"/>
        <v>2161.83</v>
      </c>
      <c r="CE150" s="197">
        <f t="shared" si="339"/>
        <v>-876.63000000000011</v>
      </c>
      <c r="CF150" s="197">
        <f t="shared" si="340"/>
        <v>-656.63000000000011</v>
      </c>
      <c r="CG150" s="196">
        <f t="shared" si="375"/>
        <v>802.73212812029965</v>
      </c>
      <c r="CH150" s="197">
        <f t="shared" si="376"/>
        <v>137.41135090761432</v>
      </c>
      <c r="CI150" s="197">
        <f t="shared" si="377"/>
        <v>1350.2726396936721</v>
      </c>
      <c r="CJ150" s="197">
        <f t="shared" si="378"/>
        <v>-547.54051157337256</v>
      </c>
      <c r="CK150" s="199">
        <f t="shared" si="379"/>
        <v>-410.12916066575826</v>
      </c>
      <c r="CL150" s="196">
        <f t="shared" si="380"/>
        <v>13346.896796992491</v>
      </c>
      <c r="CM150" s="197">
        <f t="shared" si="381"/>
        <v>2284.7162273096392</v>
      </c>
      <c r="CN150" s="197">
        <f t="shared" si="382"/>
        <v>22450.764007658167</v>
      </c>
      <c r="CO150" s="197">
        <f t="shared" si="383"/>
        <v>-9103.8672106656777</v>
      </c>
      <c r="CP150" s="199">
        <f t="shared" si="384"/>
        <v>-6819.1509833560376</v>
      </c>
      <c r="CT150" s="881">
        <v>13</v>
      </c>
      <c r="CU150" s="892">
        <f>'Arable Inputs'!$H$18</f>
        <v>12</v>
      </c>
      <c r="CV150" s="747">
        <f>'Arable Inputs'!$H$25</f>
        <v>107.1</v>
      </c>
      <c r="CW150" s="749">
        <f t="shared" si="341"/>
        <v>1285.1999999999998</v>
      </c>
      <c r="CX150" s="197">
        <f>'Arable NPV'!$D129</f>
        <v>220</v>
      </c>
      <c r="CY150" s="197">
        <f t="shared" si="399"/>
        <v>1505.1999999999998</v>
      </c>
      <c r="CZ150" s="197">
        <f>'Arable NPV'!$F129</f>
        <v>528.51499999999999</v>
      </c>
      <c r="DA150" s="197">
        <f>'Arable NPV'!$G129</f>
        <v>552.40000000000009</v>
      </c>
      <c r="DB150" s="197">
        <f t="shared" si="342"/>
        <v>0</v>
      </c>
      <c r="DC150" s="197">
        <f t="shared" si="343"/>
        <v>1285.1999999999998</v>
      </c>
      <c r="DD150" s="197">
        <f t="shared" si="344"/>
        <v>1505.1999999999998</v>
      </c>
      <c r="DE150" s="196">
        <f t="shared" si="385"/>
        <v>802.73212812029965</v>
      </c>
      <c r="DF150" s="197">
        <f t="shared" si="386"/>
        <v>137.41135090761432</v>
      </c>
      <c r="DG150" s="197">
        <f t="shared" si="387"/>
        <v>0</v>
      </c>
      <c r="DH150" s="197">
        <f t="shared" si="388"/>
        <v>802.73212812029965</v>
      </c>
      <c r="DI150" s="199">
        <f t="shared" si="389"/>
        <v>940.14347902791394</v>
      </c>
      <c r="DJ150" s="196">
        <f t="shared" si="390"/>
        <v>13346.896796992491</v>
      </c>
      <c r="DK150" s="197">
        <f t="shared" si="391"/>
        <v>2284.7162273096392</v>
      </c>
      <c r="DL150" s="197">
        <f t="shared" si="392"/>
        <v>0</v>
      </c>
      <c r="DM150" s="197">
        <f t="shared" si="393"/>
        <v>13346.896796992491</v>
      </c>
      <c r="DN150" s="199">
        <f t="shared" si="394"/>
        <v>15631.613024302131</v>
      </c>
    </row>
    <row r="151" spans="2:118" x14ac:dyDescent="0.3">
      <c r="B151" s="881">
        <v>14</v>
      </c>
      <c r="C151" s="892">
        <f>'Arable Inputs'!$H$18</f>
        <v>12</v>
      </c>
      <c r="D151" s="747">
        <f>'Arable Inputs'!$H$25</f>
        <v>107.1</v>
      </c>
      <c r="E151" s="749">
        <f t="shared" si="345"/>
        <v>1285.1999999999998</v>
      </c>
      <c r="F151" s="197">
        <f>'Arable NPV'!$D130</f>
        <v>220</v>
      </c>
      <c r="G151" s="197">
        <f t="shared" si="395"/>
        <v>1505.1999999999998</v>
      </c>
      <c r="H151" s="197">
        <f>'Arable NPV'!$F130</f>
        <v>528.51499999999999</v>
      </c>
      <c r="I151" s="197">
        <f>'Arable NPV'!$G130</f>
        <v>552.40000000000009</v>
      </c>
      <c r="J151" s="197">
        <f t="shared" si="329"/>
        <v>1080.915</v>
      </c>
      <c r="K151" s="197">
        <f t="shared" si="330"/>
        <v>204.28499999999985</v>
      </c>
      <c r="L151" s="197">
        <f t="shared" si="331"/>
        <v>424.28499999999985</v>
      </c>
      <c r="M151" s="196">
        <f t="shared" si="346"/>
        <v>771.8578155002881</v>
      </c>
      <c r="N151" s="197">
        <f t="shared" si="347"/>
        <v>132.12629894962916</v>
      </c>
      <c r="O151" s="197">
        <f t="shared" si="348"/>
        <v>649.16953831426542</v>
      </c>
      <c r="P151" s="197">
        <f t="shared" si="349"/>
        <v>122.6882771860226</v>
      </c>
      <c r="Q151" s="199">
        <f t="shared" si="350"/>
        <v>254.81457613565178</v>
      </c>
      <c r="R151" s="196">
        <f t="shared" si="351"/>
        <v>14118.754612492779</v>
      </c>
      <c r="S151" s="197">
        <f t="shared" si="351"/>
        <v>2416.8425262592682</v>
      </c>
      <c r="T151" s="197">
        <f t="shared" si="351"/>
        <v>11874.551542143348</v>
      </c>
      <c r="U151" s="197">
        <f t="shared" si="351"/>
        <v>2244.2030703494288</v>
      </c>
      <c r="V151" s="199">
        <f t="shared" si="351"/>
        <v>4661.0455966086965</v>
      </c>
      <c r="Z151" s="881">
        <v>14</v>
      </c>
      <c r="AA151" s="892">
        <f>'Arable Inputs'!$H$18</f>
        <v>12</v>
      </c>
      <c r="AB151" s="747">
        <f>'Arable Inputs'!$H$25</f>
        <v>107.1</v>
      </c>
      <c r="AC151" s="749">
        <f t="shared" si="352"/>
        <v>1285.1999999999998</v>
      </c>
      <c r="AD151" s="197">
        <f>'Arable NPV'!$D130</f>
        <v>220</v>
      </c>
      <c r="AE151" s="197">
        <f t="shared" si="396"/>
        <v>1505.1999999999998</v>
      </c>
      <c r="AF151" s="197">
        <f>'Arable NPV'!$F130</f>
        <v>528.51499999999999</v>
      </c>
      <c r="AG151" s="197">
        <f>'Arable NPV'!$G130</f>
        <v>552.40000000000009</v>
      </c>
      <c r="AH151" s="197">
        <f t="shared" si="332"/>
        <v>1621.3724999999999</v>
      </c>
      <c r="AI151" s="197">
        <f t="shared" si="333"/>
        <v>-336.17250000000013</v>
      </c>
      <c r="AJ151" s="197">
        <f t="shared" si="334"/>
        <v>-116.17250000000013</v>
      </c>
      <c r="AK151" s="196">
        <f t="shared" si="353"/>
        <v>771.8578155002881</v>
      </c>
      <c r="AL151" s="197">
        <f t="shared" si="354"/>
        <v>132.12629894962916</v>
      </c>
      <c r="AM151" s="197">
        <f t="shared" si="355"/>
        <v>973.75430747139819</v>
      </c>
      <c r="AN151" s="197">
        <f t="shared" si="356"/>
        <v>-201.89649197111012</v>
      </c>
      <c r="AO151" s="199">
        <f t="shared" si="357"/>
        <v>-69.770193021480964</v>
      </c>
      <c r="AP151" s="196">
        <f t="shared" si="358"/>
        <v>14118.754612492779</v>
      </c>
      <c r="AQ151" s="197">
        <f t="shared" si="359"/>
        <v>2416.8425262592682</v>
      </c>
      <c r="AR151" s="197">
        <f t="shared" si="360"/>
        <v>17811.827313215024</v>
      </c>
      <c r="AS151" s="197">
        <f t="shared" si="361"/>
        <v>-3693.0727007222463</v>
      </c>
      <c r="AT151" s="199">
        <f t="shared" si="362"/>
        <v>-1276.2301744629781</v>
      </c>
      <c r="AX151" s="881">
        <v>14</v>
      </c>
      <c r="AY151" s="892">
        <f>'Arable Inputs'!$H$18</f>
        <v>12</v>
      </c>
      <c r="AZ151" s="747">
        <f>'Arable Inputs'!$H$25</f>
        <v>107.1</v>
      </c>
      <c r="BA151" s="749">
        <f t="shared" si="363"/>
        <v>1285.1999999999998</v>
      </c>
      <c r="BB151" s="197">
        <f>'Arable NPV'!$D130</f>
        <v>220</v>
      </c>
      <c r="BC151" s="197">
        <f t="shared" si="397"/>
        <v>1505.1999999999998</v>
      </c>
      <c r="BD151" s="197">
        <f>'Arable NPV'!$F130</f>
        <v>528.51499999999999</v>
      </c>
      <c r="BE151" s="197">
        <f>'Arable NPV'!$G130</f>
        <v>552.40000000000009</v>
      </c>
      <c r="BF151" s="197">
        <f t="shared" si="335"/>
        <v>540.45749999999998</v>
      </c>
      <c r="BG151" s="197">
        <f t="shared" si="336"/>
        <v>744.74249999999984</v>
      </c>
      <c r="BH151" s="197">
        <f t="shared" si="337"/>
        <v>964.74249999999984</v>
      </c>
      <c r="BI151" s="196">
        <f t="shared" si="364"/>
        <v>771.8578155002881</v>
      </c>
      <c r="BJ151" s="197">
        <f t="shared" si="365"/>
        <v>132.12629894962916</v>
      </c>
      <c r="BK151" s="197">
        <f t="shared" si="366"/>
        <v>324.58476915713271</v>
      </c>
      <c r="BL151" s="197">
        <f t="shared" si="367"/>
        <v>447.27304634315533</v>
      </c>
      <c r="BM151" s="199">
        <f t="shared" si="368"/>
        <v>579.39934529278446</v>
      </c>
      <c r="BN151" s="196">
        <f t="shared" si="369"/>
        <v>14118.754612492779</v>
      </c>
      <c r="BO151" s="197">
        <f t="shared" si="370"/>
        <v>2416.8425262592682</v>
      </c>
      <c r="BP151" s="197">
        <f t="shared" si="371"/>
        <v>5937.2757710716742</v>
      </c>
      <c r="BQ151" s="197">
        <f t="shared" si="372"/>
        <v>8181.4788414211034</v>
      </c>
      <c r="BR151" s="199">
        <f t="shared" si="373"/>
        <v>10598.321367680372</v>
      </c>
      <c r="BV151" s="881">
        <v>14</v>
      </c>
      <c r="BW151" s="892">
        <f>'Arable Inputs'!$H$18</f>
        <v>12</v>
      </c>
      <c r="BX151" s="747">
        <f>'Arable Inputs'!$H$25</f>
        <v>107.1</v>
      </c>
      <c r="BY151" s="749">
        <f t="shared" si="374"/>
        <v>1285.1999999999998</v>
      </c>
      <c r="BZ151" s="197">
        <f>'Arable NPV'!$D130</f>
        <v>220</v>
      </c>
      <c r="CA151" s="197">
        <f t="shared" si="398"/>
        <v>1505.1999999999998</v>
      </c>
      <c r="CB151" s="197">
        <f>'Arable NPV'!$F130</f>
        <v>528.51499999999999</v>
      </c>
      <c r="CC151" s="197">
        <f>'Arable NPV'!$G130</f>
        <v>552.40000000000009</v>
      </c>
      <c r="CD151" s="197">
        <f t="shared" si="338"/>
        <v>2161.83</v>
      </c>
      <c r="CE151" s="197">
        <f t="shared" si="339"/>
        <v>-876.63000000000011</v>
      </c>
      <c r="CF151" s="197">
        <f t="shared" si="340"/>
        <v>-656.63000000000011</v>
      </c>
      <c r="CG151" s="196">
        <f t="shared" si="375"/>
        <v>771.8578155002881</v>
      </c>
      <c r="CH151" s="197">
        <f t="shared" si="376"/>
        <v>132.12629894962916</v>
      </c>
      <c r="CI151" s="197">
        <f t="shared" si="377"/>
        <v>1298.3390766285308</v>
      </c>
      <c r="CJ151" s="197">
        <f t="shared" si="378"/>
        <v>-526.48126112824286</v>
      </c>
      <c r="CK151" s="199">
        <f t="shared" si="379"/>
        <v>-394.35496217861368</v>
      </c>
      <c r="CL151" s="196">
        <f t="shared" si="380"/>
        <v>14118.754612492779</v>
      </c>
      <c r="CM151" s="197">
        <f t="shared" si="381"/>
        <v>2416.8425262592682</v>
      </c>
      <c r="CN151" s="197">
        <f t="shared" si="382"/>
        <v>23749.103084286697</v>
      </c>
      <c r="CO151" s="197">
        <f t="shared" si="383"/>
        <v>-9630.3484717939209</v>
      </c>
      <c r="CP151" s="199">
        <f t="shared" si="384"/>
        <v>-7213.5059455346509</v>
      </c>
      <c r="CT151" s="881">
        <v>14</v>
      </c>
      <c r="CU151" s="892">
        <f>'Arable Inputs'!$H$18</f>
        <v>12</v>
      </c>
      <c r="CV151" s="747">
        <f>'Arable Inputs'!$H$25</f>
        <v>107.1</v>
      </c>
      <c r="CW151" s="749">
        <f t="shared" si="341"/>
        <v>1285.1999999999998</v>
      </c>
      <c r="CX151" s="197">
        <f>'Arable NPV'!$D130</f>
        <v>220</v>
      </c>
      <c r="CY151" s="197">
        <f t="shared" si="399"/>
        <v>1505.1999999999998</v>
      </c>
      <c r="CZ151" s="197">
        <f>'Arable NPV'!$F130</f>
        <v>528.51499999999999</v>
      </c>
      <c r="DA151" s="197">
        <f>'Arable NPV'!$G130</f>
        <v>552.40000000000009</v>
      </c>
      <c r="DB151" s="197">
        <f t="shared" si="342"/>
        <v>0</v>
      </c>
      <c r="DC151" s="197">
        <f t="shared" si="343"/>
        <v>1285.1999999999998</v>
      </c>
      <c r="DD151" s="197">
        <f t="shared" si="344"/>
        <v>1505.1999999999998</v>
      </c>
      <c r="DE151" s="196">
        <f t="shared" si="385"/>
        <v>771.8578155002881</v>
      </c>
      <c r="DF151" s="197">
        <f t="shared" si="386"/>
        <v>132.12629894962916</v>
      </c>
      <c r="DG151" s="197">
        <f t="shared" si="387"/>
        <v>0</v>
      </c>
      <c r="DH151" s="197">
        <f t="shared" si="388"/>
        <v>771.8578155002881</v>
      </c>
      <c r="DI151" s="199">
        <f t="shared" si="389"/>
        <v>903.98411444991723</v>
      </c>
      <c r="DJ151" s="196">
        <f t="shared" si="390"/>
        <v>14118.754612492779</v>
      </c>
      <c r="DK151" s="197">
        <f t="shared" si="391"/>
        <v>2416.8425262592682</v>
      </c>
      <c r="DL151" s="197">
        <f t="shared" si="392"/>
        <v>0</v>
      </c>
      <c r="DM151" s="197">
        <f t="shared" si="393"/>
        <v>14118.754612492779</v>
      </c>
      <c r="DN151" s="199">
        <f t="shared" si="394"/>
        <v>16535.597138752048</v>
      </c>
    </row>
    <row r="152" spans="2:118" x14ac:dyDescent="0.3">
      <c r="B152" s="881">
        <v>15</v>
      </c>
      <c r="C152" s="892">
        <f>'Arable Inputs'!$H$18</f>
        <v>12</v>
      </c>
      <c r="D152" s="747">
        <f>'Arable Inputs'!$H$25</f>
        <v>107.1</v>
      </c>
      <c r="E152" s="749">
        <f t="shared" si="345"/>
        <v>1285.1999999999998</v>
      </c>
      <c r="F152" s="197">
        <f>'Arable NPV'!$D131</f>
        <v>220</v>
      </c>
      <c r="G152" s="197">
        <f t="shared" si="395"/>
        <v>1505.1999999999998</v>
      </c>
      <c r="H152" s="197">
        <f>'Arable NPV'!$F131</f>
        <v>528.51499999999999</v>
      </c>
      <c r="I152" s="197">
        <f>'Arable NPV'!$G131</f>
        <v>552.40000000000009</v>
      </c>
      <c r="J152" s="197">
        <f t="shared" si="329"/>
        <v>1080.915</v>
      </c>
      <c r="K152" s="197">
        <f t="shared" si="330"/>
        <v>204.28499999999985</v>
      </c>
      <c r="L152" s="197">
        <f t="shared" si="331"/>
        <v>424.28499999999985</v>
      </c>
      <c r="M152" s="196">
        <f t="shared" si="346"/>
        <v>742.17097644258467</v>
      </c>
      <c r="N152" s="197">
        <f t="shared" si="347"/>
        <v>127.04451822079727</v>
      </c>
      <c r="O152" s="197">
        <f t="shared" si="348"/>
        <v>624.20147914833217</v>
      </c>
      <c r="P152" s="197">
        <f t="shared" si="349"/>
        <v>117.96949729425251</v>
      </c>
      <c r="Q152" s="199">
        <f t="shared" si="350"/>
        <v>245.01401551504978</v>
      </c>
      <c r="R152" s="196">
        <f t="shared" si="351"/>
        <v>14860.925588935364</v>
      </c>
      <c r="S152" s="197">
        <f t="shared" si="351"/>
        <v>2543.8870444800655</v>
      </c>
      <c r="T152" s="197">
        <f t="shared" si="351"/>
        <v>12498.753021291681</v>
      </c>
      <c r="U152" s="197">
        <f t="shared" si="351"/>
        <v>2362.1725676436813</v>
      </c>
      <c r="V152" s="199">
        <f t="shared" si="351"/>
        <v>4906.0596121237468</v>
      </c>
      <c r="Z152" s="881">
        <v>15</v>
      </c>
      <c r="AA152" s="892">
        <f>'Arable Inputs'!$H$18</f>
        <v>12</v>
      </c>
      <c r="AB152" s="747">
        <f>'Arable Inputs'!$H$25</f>
        <v>107.1</v>
      </c>
      <c r="AC152" s="749">
        <f t="shared" si="352"/>
        <v>1285.1999999999998</v>
      </c>
      <c r="AD152" s="197">
        <f>'Arable NPV'!$D131</f>
        <v>220</v>
      </c>
      <c r="AE152" s="197">
        <f t="shared" si="396"/>
        <v>1505.1999999999998</v>
      </c>
      <c r="AF152" s="197">
        <f>'Arable NPV'!$F131</f>
        <v>528.51499999999999</v>
      </c>
      <c r="AG152" s="197">
        <f>'Arable NPV'!$G131</f>
        <v>552.40000000000009</v>
      </c>
      <c r="AH152" s="197">
        <f t="shared" si="332"/>
        <v>1621.3724999999999</v>
      </c>
      <c r="AI152" s="197">
        <f t="shared" si="333"/>
        <v>-336.17250000000013</v>
      </c>
      <c r="AJ152" s="197">
        <f t="shared" si="334"/>
        <v>-116.17250000000013</v>
      </c>
      <c r="AK152" s="196">
        <f t="shared" si="353"/>
        <v>742.17097644258467</v>
      </c>
      <c r="AL152" s="197">
        <f t="shared" si="354"/>
        <v>127.04451822079727</v>
      </c>
      <c r="AM152" s="197">
        <f t="shared" si="355"/>
        <v>936.30221872249831</v>
      </c>
      <c r="AN152" s="197">
        <f t="shared" si="356"/>
        <v>-194.13124227991358</v>
      </c>
      <c r="AO152" s="199">
        <f t="shared" si="357"/>
        <v>-67.086724059116307</v>
      </c>
      <c r="AP152" s="196">
        <f t="shared" si="358"/>
        <v>14860.925588935364</v>
      </c>
      <c r="AQ152" s="197">
        <f t="shared" si="359"/>
        <v>2543.8870444800655</v>
      </c>
      <c r="AR152" s="197">
        <f t="shared" si="360"/>
        <v>18748.129531937524</v>
      </c>
      <c r="AS152" s="197">
        <f t="shared" si="361"/>
        <v>-3887.20394300216</v>
      </c>
      <c r="AT152" s="199">
        <f t="shared" si="362"/>
        <v>-1343.3168985220943</v>
      </c>
      <c r="AX152" s="881">
        <v>15</v>
      </c>
      <c r="AY152" s="892">
        <f>'Arable Inputs'!$H$18</f>
        <v>12</v>
      </c>
      <c r="AZ152" s="747">
        <f>'Arable Inputs'!$H$25</f>
        <v>107.1</v>
      </c>
      <c r="BA152" s="749">
        <f t="shared" si="363"/>
        <v>1285.1999999999998</v>
      </c>
      <c r="BB152" s="197">
        <f>'Arable NPV'!$D131</f>
        <v>220</v>
      </c>
      <c r="BC152" s="197">
        <f t="shared" si="397"/>
        <v>1505.1999999999998</v>
      </c>
      <c r="BD152" s="197">
        <f>'Arable NPV'!$F131</f>
        <v>528.51499999999999</v>
      </c>
      <c r="BE152" s="197">
        <f>'Arable NPV'!$G131</f>
        <v>552.40000000000009</v>
      </c>
      <c r="BF152" s="197">
        <f t="shared" si="335"/>
        <v>540.45749999999998</v>
      </c>
      <c r="BG152" s="197">
        <f t="shared" si="336"/>
        <v>744.74249999999984</v>
      </c>
      <c r="BH152" s="197">
        <f t="shared" si="337"/>
        <v>964.74249999999984</v>
      </c>
      <c r="BI152" s="196">
        <f t="shared" si="364"/>
        <v>742.17097644258467</v>
      </c>
      <c r="BJ152" s="197">
        <f t="shared" si="365"/>
        <v>127.04451822079727</v>
      </c>
      <c r="BK152" s="197">
        <f t="shared" si="366"/>
        <v>312.10073957416608</v>
      </c>
      <c r="BL152" s="197">
        <f t="shared" si="367"/>
        <v>430.07023686841859</v>
      </c>
      <c r="BM152" s="199">
        <f t="shared" si="368"/>
        <v>557.11475508921592</v>
      </c>
      <c r="BN152" s="196">
        <f t="shared" si="369"/>
        <v>14860.925588935364</v>
      </c>
      <c r="BO152" s="197">
        <f t="shared" si="370"/>
        <v>2543.8870444800655</v>
      </c>
      <c r="BP152" s="197">
        <f t="shared" si="371"/>
        <v>6249.3765106458404</v>
      </c>
      <c r="BQ152" s="197">
        <f t="shared" si="372"/>
        <v>8611.5490782895213</v>
      </c>
      <c r="BR152" s="199">
        <f t="shared" si="373"/>
        <v>11155.436122769588</v>
      </c>
      <c r="BV152" s="881">
        <v>15</v>
      </c>
      <c r="BW152" s="892">
        <f>'Arable Inputs'!$H$18</f>
        <v>12</v>
      </c>
      <c r="BX152" s="747">
        <f>'Arable Inputs'!$H$25</f>
        <v>107.1</v>
      </c>
      <c r="BY152" s="749">
        <f t="shared" si="374"/>
        <v>1285.1999999999998</v>
      </c>
      <c r="BZ152" s="197">
        <f>'Arable NPV'!$D131</f>
        <v>220</v>
      </c>
      <c r="CA152" s="197">
        <f t="shared" si="398"/>
        <v>1505.1999999999998</v>
      </c>
      <c r="CB152" s="197">
        <f>'Arable NPV'!$F131</f>
        <v>528.51499999999999</v>
      </c>
      <c r="CC152" s="197">
        <f>'Arable NPV'!$G131</f>
        <v>552.40000000000009</v>
      </c>
      <c r="CD152" s="197">
        <f t="shared" si="338"/>
        <v>2161.83</v>
      </c>
      <c r="CE152" s="197">
        <f t="shared" si="339"/>
        <v>-876.63000000000011</v>
      </c>
      <c r="CF152" s="197">
        <f t="shared" si="340"/>
        <v>-656.63000000000011</v>
      </c>
      <c r="CG152" s="196">
        <f t="shared" si="375"/>
        <v>742.17097644258467</v>
      </c>
      <c r="CH152" s="197">
        <f t="shared" si="376"/>
        <v>127.04451822079727</v>
      </c>
      <c r="CI152" s="197">
        <f t="shared" si="377"/>
        <v>1248.4029582966643</v>
      </c>
      <c r="CJ152" s="197">
        <f t="shared" si="378"/>
        <v>-506.23198185407966</v>
      </c>
      <c r="CK152" s="199">
        <f t="shared" si="379"/>
        <v>-379.18746363328239</v>
      </c>
      <c r="CL152" s="196">
        <f t="shared" si="380"/>
        <v>14860.925588935364</v>
      </c>
      <c r="CM152" s="197">
        <f t="shared" si="381"/>
        <v>2543.8870444800655</v>
      </c>
      <c r="CN152" s="197">
        <f t="shared" si="382"/>
        <v>24997.506042583362</v>
      </c>
      <c r="CO152" s="197">
        <f t="shared" si="383"/>
        <v>-10136.580453648001</v>
      </c>
      <c r="CP152" s="199">
        <f t="shared" si="384"/>
        <v>-7592.6934091679332</v>
      </c>
      <c r="CT152" s="881">
        <v>15</v>
      </c>
      <c r="CU152" s="892">
        <f>'Arable Inputs'!$H$18</f>
        <v>12</v>
      </c>
      <c r="CV152" s="747">
        <f>'Arable Inputs'!$H$25</f>
        <v>107.1</v>
      </c>
      <c r="CW152" s="749">
        <f t="shared" si="341"/>
        <v>1285.1999999999998</v>
      </c>
      <c r="CX152" s="197">
        <f>'Arable NPV'!$D131</f>
        <v>220</v>
      </c>
      <c r="CY152" s="197">
        <f t="shared" si="399"/>
        <v>1505.1999999999998</v>
      </c>
      <c r="CZ152" s="197">
        <f>'Arable NPV'!$F131</f>
        <v>528.51499999999999</v>
      </c>
      <c r="DA152" s="197">
        <f>'Arable NPV'!$G131</f>
        <v>552.40000000000009</v>
      </c>
      <c r="DB152" s="197">
        <f t="shared" si="342"/>
        <v>0</v>
      </c>
      <c r="DC152" s="197">
        <f t="shared" si="343"/>
        <v>1285.1999999999998</v>
      </c>
      <c r="DD152" s="197">
        <f t="shared" si="344"/>
        <v>1505.1999999999998</v>
      </c>
      <c r="DE152" s="196">
        <f t="shared" si="385"/>
        <v>742.17097644258467</v>
      </c>
      <c r="DF152" s="197">
        <f t="shared" si="386"/>
        <v>127.04451822079727</v>
      </c>
      <c r="DG152" s="197">
        <f t="shared" si="387"/>
        <v>0</v>
      </c>
      <c r="DH152" s="197">
        <f t="shared" si="388"/>
        <v>742.17097644258467</v>
      </c>
      <c r="DI152" s="199">
        <f t="shared" si="389"/>
        <v>869.21549466338195</v>
      </c>
      <c r="DJ152" s="196">
        <f t="shared" si="390"/>
        <v>14860.925588935364</v>
      </c>
      <c r="DK152" s="197">
        <f t="shared" si="391"/>
        <v>2543.8870444800655</v>
      </c>
      <c r="DL152" s="197">
        <f t="shared" si="392"/>
        <v>0</v>
      </c>
      <c r="DM152" s="197">
        <f t="shared" si="393"/>
        <v>14860.925588935364</v>
      </c>
      <c r="DN152" s="199">
        <f t="shared" si="394"/>
        <v>17404.812633415429</v>
      </c>
    </row>
    <row r="153" spans="2:118" x14ac:dyDescent="0.3">
      <c r="B153" s="882">
        <v>16</v>
      </c>
      <c r="C153" s="893">
        <f>'Arable Inputs'!$H$18</f>
        <v>12</v>
      </c>
      <c r="D153" s="748">
        <f>'Arable Inputs'!$H$25</f>
        <v>107.1</v>
      </c>
      <c r="E153" s="207">
        <f t="shared" si="345"/>
        <v>1285.1999999999998</v>
      </c>
      <c r="F153" s="207">
        <f>'Arable NPV'!$D132</f>
        <v>220</v>
      </c>
      <c r="G153" s="207">
        <f>E153+F153</f>
        <v>1505.1999999999998</v>
      </c>
      <c r="H153" s="207">
        <f>'Arable NPV'!$F132</f>
        <v>528.51499999999999</v>
      </c>
      <c r="I153" s="207">
        <f>'Arable NPV'!$G132</f>
        <v>552.40000000000009</v>
      </c>
      <c r="J153" s="207">
        <f t="shared" si="329"/>
        <v>1080.915</v>
      </c>
      <c r="K153" s="207">
        <f t="shared" si="330"/>
        <v>204.28499999999985</v>
      </c>
      <c r="L153" s="207">
        <f t="shared" si="331"/>
        <v>424.28499999999985</v>
      </c>
      <c r="M153" s="208">
        <f t="shared" si="346"/>
        <v>713.62593888710069</v>
      </c>
      <c r="N153" s="207">
        <f t="shared" si="347"/>
        <v>122.15819059692046</v>
      </c>
      <c r="O153" s="207">
        <f t="shared" si="348"/>
        <v>600.19372995031938</v>
      </c>
      <c r="P153" s="207">
        <f t="shared" si="349"/>
        <v>113.43220893678127</v>
      </c>
      <c r="Q153" s="209">
        <f>L153/(1+$B$4)^(B153-1)</f>
        <v>235.59039953370171</v>
      </c>
      <c r="R153" s="208">
        <f t="shared" si="351"/>
        <v>15574.551527822465</v>
      </c>
      <c r="S153" s="207">
        <f t="shared" si="351"/>
        <v>2666.045235076986</v>
      </c>
      <c r="T153" s="207">
        <f t="shared" si="351"/>
        <v>13098.946751242</v>
      </c>
      <c r="U153" s="207">
        <f t="shared" si="351"/>
        <v>2475.6047765804624</v>
      </c>
      <c r="V153" s="209">
        <f t="shared" si="351"/>
        <v>5141.6500116574489</v>
      </c>
      <c r="Z153" s="882">
        <v>16</v>
      </c>
      <c r="AA153" s="893">
        <f>'Arable Inputs'!$H$18</f>
        <v>12</v>
      </c>
      <c r="AB153" s="748">
        <f>'Arable Inputs'!$H$25</f>
        <v>107.1</v>
      </c>
      <c r="AC153" s="207">
        <f t="shared" si="352"/>
        <v>1285.1999999999998</v>
      </c>
      <c r="AD153" s="207">
        <f>'Arable NPV'!$D132</f>
        <v>220</v>
      </c>
      <c r="AE153" s="207">
        <f>AC153+AD153</f>
        <v>1505.1999999999998</v>
      </c>
      <c r="AF153" s="207">
        <f>'Arable NPV'!$F132</f>
        <v>528.51499999999999</v>
      </c>
      <c r="AG153" s="207">
        <f>'Arable NPV'!$G132</f>
        <v>552.40000000000009</v>
      </c>
      <c r="AH153" s="207">
        <f t="shared" si="332"/>
        <v>1621.3724999999999</v>
      </c>
      <c r="AI153" s="207">
        <f t="shared" si="333"/>
        <v>-336.17250000000013</v>
      </c>
      <c r="AJ153" s="207">
        <f t="shared" si="334"/>
        <v>-116.17250000000013</v>
      </c>
      <c r="AK153" s="208">
        <f t="shared" si="353"/>
        <v>713.62593888710069</v>
      </c>
      <c r="AL153" s="207">
        <f t="shared" si="354"/>
        <v>122.15819059692046</v>
      </c>
      <c r="AM153" s="207">
        <f t="shared" si="355"/>
        <v>900.29059492547913</v>
      </c>
      <c r="AN153" s="207">
        <f t="shared" si="356"/>
        <v>-186.66465603837844</v>
      </c>
      <c r="AO153" s="209">
        <f>AJ153/(1+$B$4)^(Z153-1)</f>
        <v>-64.506465441457991</v>
      </c>
      <c r="AP153" s="208">
        <f t="shared" si="358"/>
        <v>15574.551527822465</v>
      </c>
      <c r="AQ153" s="207">
        <f t="shared" si="359"/>
        <v>2666.045235076986</v>
      </c>
      <c r="AR153" s="207">
        <f t="shared" si="360"/>
        <v>19648.420126863002</v>
      </c>
      <c r="AS153" s="207">
        <f t="shared" si="361"/>
        <v>-4073.8685990405384</v>
      </c>
      <c r="AT153" s="209">
        <f t="shared" si="362"/>
        <v>-1407.8233639635523</v>
      </c>
      <c r="AX153" s="882">
        <v>16</v>
      </c>
      <c r="AY153" s="893">
        <f>'Arable Inputs'!$H$18</f>
        <v>12</v>
      </c>
      <c r="AZ153" s="748">
        <f>'Arable Inputs'!$H$25</f>
        <v>107.1</v>
      </c>
      <c r="BA153" s="207">
        <f t="shared" si="363"/>
        <v>1285.1999999999998</v>
      </c>
      <c r="BB153" s="207">
        <f>'Arable NPV'!$D132</f>
        <v>220</v>
      </c>
      <c r="BC153" s="207">
        <f>BA153+BB153</f>
        <v>1505.1999999999998</v>
      </c>
      <c r="BD153" s="207">
        <f>'Arable NPV'!$F132</f>
        <v>528.51499999999999</v>
      </c>
      <c r="BE153" s="207">
        <f>'Arable NPV'!$G132</f>
        <v>552.40000000000009</v>
      </c>
      <c r="BF153" s="207">
        <f t="shared" si="335"/>
        <v>540.45749999999998</v>
      </c>
      <c r="BG153" s="207">
        <f t="shared" si="336"/>
        <v>744.74249999999984</v>
      </c>
      <c r="BH153" s="207">
        <f t="shared" si="337"/>
        <v>964.74249999999984</v>
      </c>
      <c r="BI153" s="208">
        <f t="shared" si="364"/>
        <v>713.62593888710069</v>
      </c>
      <c r="BJ153" s="207">
        <f t="shared" si="365"/>
        <v>122.15819059692046</v>
      </c>
      <c r="BK153" s="207">
        <f t="shared" si="366"/>
        <v>300.09686497515969</v>
      </c>
      <c r="BL153" s="207">
        <f t="shared" si="367"/>
        <v>413.52907391194094</v>
      </c>
      <c r="BM153" s="209">
        <f>BH153/(1+$B$4)^(AX153-1)</f>
        <v>535.6872645088614</v>
      </c>
      <c r="BN153" s="208">
        <f t="shared" si="369"/>
        <v>15574.551527822465</v>
      </c>
      <c r="BO153" s="207">
        <f t="shared" si="370"/>
        <v>2666.045235076986</v>
      </c>
      <c r="BP153" s="207">
        <f t="shared" si="371"/>
        <v>6549.4733756209998</v>
      </c>
      <c r="BQ153" s="207">
        <f t="shared" si="372"/>
        <v>9025.0781522014622</v>
      </c>
      <c r="BR153" s="209">
        <f t="shared" si="373"/>
        <v>11691.123387278449</v>
      </c>
      <c r="BV153" s="882">
        <v>16</v>
      </c>
      <c r="BW153" s="893">
        <f>'Arable Inputs'!$H$18</f>
        <v>12</v>
      </c>
      <c r="BX153" s="748">
        <f>'Arable Inputs'!$H$25</f>
        <v>107.1</v>
      </c>
      <c r="BY153" s="207">
        <f t="shared" si="374"/>
        <v>1285.1999999999998</v>
      </c>
      <c r="BZ153" s="207">
        <f>'Arable NPV'!$D132</f>
        <v>220</v>
      </c>
      <c r="CA153" s="207">
        <f>BY153+BZ153</f>
        <v>1505.1999999999998</v>
      </c>
      <c r="CB153" s="207">
        <f>'Arable NPV'!$F132</f>
        <v>528.51499999999999</v>
      </c>
      <c r="CC153" s="207">
        <f>'Arable NPV'!$G132</f>
        <v>552.40000000000009</v>
      </c>
      <c r="CD153" s="207">
        <f t="shared" si="338"/>
        <v>2161.83</v>
      </c>
      <c r="CE153" s="207">
        <f t="shared" si="339"/>
        <v>-876.63000000000011</v>
      </c>
      <c r="CF153" s="207">
        <f t="shared" si="340"/>
        <v>-656.63000000000011</v>
      </c>
      <c r="CG153" s="208">
        <f t="shared" si="375"/>
        <v>713.62593888710069</v>
      </c>
      <c r="CH153" s="207">
        <f t="shared" si="376"/>
        <v>122.15819059692046</v>
      </c>
      <c r="CI153" s="207">
        <f t="shared" si="377"/>
        <v>1200.3874599006388</v>
      </c>
      <c r="CJ153" s="207">
        <f t="shared" si="378"/>
        <v>-486.76152101353813</v>
      </c>
      <c r="CK153" s="209">
        <f>CF153/(1+$B$4)^(BV153-1)</f>
        <v>-364.60333041661767</v>
      </c>
      <c r="CL153" s="208">
        <f t="shared" si="380"/>
        <v>15574.551527822465</v>
      </c>
      <c r="CM153" s="207">
        <f t="shared" si="381"/>
        <v>2666.045235076986</v>
      </c>
      <c r="CN153" s="207">
        <f t="shared" si="382"/>
        <v>26197.893502483999</v>
      </c>
      <c r="CO153" s="207">
        <f t="shared" si="383"/>
        <v>-10623.341974661538</v>
      </c>
      <c r="CP153" s="209">
        <f t="shared" si="384"/>
        <v>-7957.2967395845508</v>
      </c>
      <c r="CT153" s="882">
        <v>16</v>
      </c>
      <c r="CU153" s="893">
        <f>'Arable Inputs'!$H$18</f>
        <v>12</v>
      </c>
      <c r="CV153" s="748">
        <f>'Arable Inputs'!$H$25</f>
        <v>107.1</v>
      </c>
      <c r="CW153" s="207">
        <f t="shared" si="341"/>
        <v>1285.1999999999998</v>
      </c>
      <c r="CX153" s="207">
        <f>'Arable NPV'!$D132</f>
        <v>220</v>
      </c>
      <c r="CY153" s="207">
        <f>CW153+CX153</f>
        <v>1505.1999999999998</v>
      </c>
      <c r="CZ153" s="207">
        <f>'Arable NPV'!$F132</f>
        <v>528.51499999999999</v>
      </c>
      <c r="DA153" s="207">
        <f>'Arable NPV'!$G132</f>
        <v>552.40000000000009</v>
      </c>
      <c r="DB153" s="207">
        <f t="shared" si="342"/>
        <v>0</v>
      </c>
      <c r="DC153" s="207">
        <f t="shared" si="343"/>
        <v>1285.1999999999998</v>
      </c>
      <c r="DD153" s="207">
        <f t="shared" si="344"/>
        <v>1505.1999999999998</v>
      </c>
      <c r="DE153" s="208">
        <f t="shared" si="385"/>
        <v>713.62593888710069</v>
      </c>
      <c r="DF153" s="207">
        <f t="shared" si="386"/>
        <v>122.15819059692046</v>
      </c>
      <c r="DG153" s="207">
        <f t="shared" si="387"/>
        <v>0</v>
      </c>
      <c r="DH153" s="207">
        <f t="shared" si="388"/>
        <v>713.62593888710069</v>
      </c>
      <c r="DI153" s="209">
        <f>DD153/(1+$B$4)^(CT153-1)</f>
        <v>835.78412948402115</v>
      </c>
      <c r="DJ153" s="208">
        <f t="shared" si="390"/>
        <v>15574.551527822465</v>
      </c>
      <c r="DK153" s="207">
        <f t="shared" si="391"/>
        <v>2666.045235076986</v>
      </c>
      <c r="DL153" s="207">
        <f t="shared" si="392"/>
        <v>0</v>
      </c>
      <c r="DM153" s="207">
        <f t="shared" si="393"/>
        <v>15574.551527822465</v>
      </c>
      <c r="DN153" s="209">
        <f t="shared" si="394"/>
        <v>18240.596762899451</v>
      </c>
    </row>
    <row r="159" spans="2:118" x14ac:dyDescent="0.3">
      <c r="B159" s="273" t="s">
        <v>352</v>
      </c>
      <c r="C159" s="274"/>
      <c r="D159" s="274"/>
      <c r="E159" s="88"/>
      <c r="F159" s="88"/>
      <c r="G159" s="88"/>
      <c r="H159" s="275"/>
      <c r="I159" s="276" t="s">
        <v>328</v>
      </c>
      <c r="J159" s="277" t="s">
        <v>329</v>
      </c>
      <c r="K159" s="277" t="s">
        <v>330</v>
      </c>
      <c r="L159" s="277" t="s">
        <v>331</v>
      </c>
      <c r="M159" s="277" t="s">
        <v>332</v>
      </c>
      <c r="N159" s="276" t="s">
        <v>646</v>
      </c>
      <c r="O159" s="277" t="s">
        <v>647</v>
      </c>
      <c r="P159" s="277" t="s">
        <v>648</v>
      </c>
      <c r="Q159" s="277" t="s">
        <v>649</v>
      </c>
      <c r="R159" s="277" t="s">
        <v>650</v>
      </c>
      <c r="S159" s="276" t="s">
        <v>412</v>
      </c>
      <c r="T159" s="277" t="s">
        <v>413</v>
      </c>
      <c r="U159" s="277" t="s">
        <v>414</v>
      </c>
      <c r="V159" s="277" t="s">
        <v>415</v>
      </c>
      <c r="W159" s="277" t="s">
        <v>416</v>
      </c>
      <c r="X159" s="276" t="s">
        <v>443</v>
      </c>
      <c r="Y159" s="277" t="s">
        <v>444</v>
      </c>
      <c r="Z159" s="277" t="s">
        <v>445</v>
      </c>
      <c r="AA159" s="277" t="s">
        <v>446</v>
      </c>
      <c r="AB159" s="277" t="s">
        <v>447</v>
      </c>
      <c r="AC159" s="276" t="s">
        <v>448</v>
      </c>
      <c r="AD159" s="277" t="s">
        <v>449</v>
      </c>
      <c r="AE159" s="277" t="s">
        <v>450</v>
      </c>
      <c r="AF159" s="277" t="s">
        <v>451</v>
      </c>
      <c r="AG159" s="277" t="s">
        <v>452</v>
      </c>
      <c r="AH159" s="276" t="s">
        <v>604</v>
      </c>
      <c r="AI159" s="277" t="s">
        <v>605</v>
      </c>
      <c r="AJ159" s="277" t="s">
        <v>606</v>
      </c>
      <c r="AK159" s="277" t="s">
        <v>607</v>
      </c>
      <c r="AL159" s="277" t="s">
        <v>608</v>
      </c>
    </row>
    <row r="160" spans="2:118" x14ac:dyDescent="0.3">
      <c r="B160" s="278" t="s">
        <v>314</v>
      </c>
      <c r="C160" s="974"/>
      <c r="D160" s="24"/>
      <c r="E160" s="279"/>
      <c r="F160" s="279"/>
      <c r="G160" s="279"/>
      <c r="H160" s="280" t="s">
        <v>460</v>
      </c>
      <c r="I160" s="281">
        <f>S27</f>
        <v>7004.3848744654333</v>
      </c>
      <c r="J160" s="281">
        <f>AQ27</f>
        <v>7004.3848744654333</v>
      </c>
      <c r="K160" s="281">
        <f>BO27</f>
        <v>7004.3848744654333</v>
      </c>
      <c r="L160" s="281">
        <f>CM27</f>
        <v>7004.3848744654333</v>
      </c>
      <c r="M160" s="281">
        <f>DK27</f>
        <v>7004.3848744654333</v>
      </c>
      <c r="N160" s="281">
        <f>S53</f>
        <v>9521.8676150658594</v>
      </c>
      <c r="O160" s="281">
        <f>AQ53</f>
        <v>9521.8676150658594</v>
      </c>
      <c r="P160" s="107">
        <f>BO53</f>
        <v>9521.8676150658594</v>
      </c>
      <c r="Q160" s="107">
        <f>CM53</f>
        <v>9521.8676150658594</v>
      </c>
      <c r="R160" s="107">
        <f>DL53</f>
        <v>9521.8676150658594</v>
      </c>
      <c r="S160" s="751">
        <f>U$78</f>
        <v>18134.61458036309</v>
      </c>
      <c r="T160" s="751">
        <f>AU$78</f>
        <v>18134.61458036309</v>
      </c>
      <c r="U160" s="107">
        <f>BU$78</f>
        <v>18134.61458036309</v>
      </c>
      <c r="V160" s="107">
        <f>CU$78</f>
        <v>18134.61458036309</v>
      </c>
      <c r="W160" s="107">
        <f>DU$78</f>
        <v>18134.61458036309</v>
      </c>
      <c r="X160" s="751">
        <f>S$103</f>
        <v>5876.9026342508314</v>
      </c>
      <c r="Y160" s="751">
        <f>AQ$103</f>
        <v>5876.9026342508314</v>
      </c>
      <c r="Z160" s="107">
        <f>BO$103</f>
        <v>5876.9026342508314</v>
      </c>
      <c r="AA160" s="107">
        <f>CM$103</f>
        <v>5876.9026342508314</v>
      </c>
      <c r="AB160" s="107">
        <f>DK$103</f>
        <v>5876.9026342508314</v>
      </c>
      <c r="AC160" s="751">
        <f>S$128</f>
        <v>7172.5259983568831</v>
      </c>
      <c r="AD160" s="751">
        <f>AQ$128</f>
        <v>7172.5259983568831</v>
      </c>
      <c r="AE160" s="107">
        <f>BO$128</f>
        <v>7172.5259983568831</v>
      </c>
      <c r="AF160" s="107">
        <f>CM$128</f>
        <v>7172.5259983568831</v>
      </c>
      <c r="AG160" s="107">
        <f>DK$128</f>
        <v>7172.5259983568831</v>
      </c>
      <c r="AH160" s="754">
        <f>R153</f>
        <v>15574.551527822465</v>
      </c>
      <c r="AI160" s="754">
        <f>AP153</f>
        <v>15574.551527822465</v>
      </c>
      <c r="AJ160" s="754">
        <f>BN153</f>
        <v>15574.551527822465</v>
      </c>
      <c r="AK160" s="754">
        <f>CL153</f>
        <v>15574.551527822465</v>
      </c>
      <c r="AL160" s="754">
        <f>DJ153</f>
        <v>15574.551527822465</v>
      </c>
    </row>
    <row r="161" spans="2:38" x14ac:dyDescent="0.3">
      <c r="B161" s="282" t="s">
        <v>313</v>
      </c>
      <c r="C161" s="974"/>
      <c r="D161" s="24"/>
      <c r="E161" s="279"/>
      <c r="F161" s="279"/>
      <c r="G161" s="279"/>
      <c r="H161" s="283" t="s">
        <v>460</v>
      </c>
      <c r="I161" s="281">
        <f>T27</f>
        <v>2666.045235076986</v>
      </c>
      <c r="J161" s="281">
        <f>AR27</f>
        <v>2666.045235076986</v>
      </c>
      <c r="K161" s="281">
        <f>BP27</f>
        <v>2666.045235076986</v>
      </c>
      <c r="L161" s="281">
        <f>CN27</f>
        <v>2666.045235076986</v>
      </c>
      <c r="M161" s="281">
        <f>DL27</f>
        <v>2666.045235076986</v>
      </c>
      <c r="N161" s="281">
        <f>T53</f>
        <v>2666.045235076986</v>
      </c>
      <c r="O161" s="281">
        <f>AR53</f>
        <v>2666.045235076986</v>
      </c>
      <c r="P161" s="108">
        <f>BP53</f>
        <v>2666.045235076986</v>
      </c>
      <c r="Q161" s="108">
        <f>CN53</f>
        <v>2666.045235076986</v>
      </c>
      <c r="R161" s="108">
        <f>DM53</f>
        <v>2638.282009941322</v>
      </c>
      <c r="S161" s="751">
        <f>V$78</f>
        <v>2666.045235076986</v>
      </c>
      <c r="T161" s="751">
        <f>AV$78</f>
        <v>2666.045235076986</v>
      </c>
      <c r="U161" s="108">
        <f>BV$78</f>
        <v>2666.045235076986</v>
      </c>
      <c r="V161" s="108">
        <f>CV$78</f>
        <v>2666.045235076986</v>
      </c>
      <c r="W161" s="108">
        <f>DV$78</f>
        <v>2666.045235076986</v>
      </c>
      <c r="X161" s="751">
        <f>T$103</f>
        <v>2666.045235076986</v>
      </c>
      <c r="Y161" s="751">
        <f>AR$103</f>
        <v>2666.045235076986</v>
      </c>
      <c r="Z161" s="108">
        <f>BP$103</f>
        <v>2666.045235076986</v>
      </c>
      <c r="AA161" s="108">
        <f>CN$103</f>
        <v>2666.045235076986</v>
      </c>
      <c r="AB161" s="108">
        <f>DL$103</f>
        <v>2666.045235076986</v>
      </c>
      <c r="AC161" s="751">
        <f>T$128</f>
        <v>2666.045235076986</v>
      </c>
      <c r="AD161" s="751">
        <f>AR$128</f>
        <v>2666.045235076986</v>
      </c>
      <c r="AE161" s="108">
        <f>BP$128</f>
        <v>2666.045235076986</v>
      </c>
      <c r="AF161" s="108">
        <f>CN$128</f>
        <v>2666.045235076986</v>
      </c>
      <c r="AG161" s="108">
        <f>DL$128</f>
        <v>2666.045235076986</v>
      </c>
      <c r="AH161" s="895">
        <f>S153</f>
        <v>2666.045235076986</v>
      </c>
      <c r="AI161" s="895">
        <f>AQ153</f>
        <v>2666.045235076986</v>
      </c>
      <c r="AJ161" s="895">
        <f>BO153</f>
        <v>2666.045235076986</v>
      </c>
      <c r="AK161" s="895">
        <f>CM153</f>
        <v>2666.045235076986</v>
      </c>
      <c r="AL161" s="895">
        <f>DK153</f>
        <v>2666.045235076986</v>
      </c>
    </row>
    <row r="162" spans="2:38" x14ac:dyDescent="0.3">
      <c r="B162" s="284" t="s">
        <v>312</v>
      </c>
      <c r="C162" s="975"/>
      <c r="D162" s="165"/>
      <c r="E162" s="279"/>
      <c r="F162" s="279"/>
      <c r="G162" s="279"/>
      <c r="H162" s="285" t="s">
        <v>460</v>
      </c>
      <c r="I162" s="281">
        <f>U27</f>
        <v>8595.5268864796944</v>
      </c>
      <c r="J162" s="281">
        <f>AS27</f>
        <v>12893.290329719543</v>
      </c>
      <c r="K162" s="281">
        <f>BQ27</f>
        <v>4297.7634432398472</v>
      </c>
      <c r="L162" s="281">
        <f>CO27</f>
        <v>17191.053772959389</v>
      </c>
      <c r="M162" s="281">
        <f>DM27</f>
        <v>0</v>
      </c>
      <c r="N162" s="281">
        <f>U53</f>
        <v>6490.5993620746312</v>
      </c>
      <c r="O162" s="281">
        <f>AS53</f>
        <v>9735.8990431119419</v>
      </c>
      <c r="P162" s="294">
        <f>BQ53</f>
        <v>3245.2996810373156</v>
      </c>
      <c r="Q162" s="294">
        <f>CO53</f>
        <v>12981.198724149262</v>
      </c>
      <c r="R162" s="294">
        <f>DN53</f>
        <v>0</v>
      </c>
      <c r="S162" s="751">
        <f>W$78</f>
        <v>16207.665363247013</v>
      </c>
      <c r="T162" s="751">
        <f>AW$78</f>
        <v>24311.498044870525</v>
      </c>
      <c r="U162" s="294">
        <f>BW$78</f>
        <v>8103.8326816235067</v>
      </c>
      <c r="V162" s="294">
        <f>CW$78</f>
        <v>32415.330726494027</v>
      </c>
      <c r="W162" s="294">
        <f>DW$78</f>
        <v>0</v>
      </c>
      <c r="X162" s="751">
        <f>U$103</f>
        <v>4111.4229907520166</v>
      </c>
      <c r="Y162" s="751">
        <f>AS$103</f>
        <v>6167.134486128024</v>
      </c>
      <c r="Z162" s="294">
        <f>BQ$103</f>
        <v>2055.7114953760083</v>
      </c>
      <c r="AA162" s="294">
        <f>CO$103</f>
        <v>8222.8459815040333</v>
      </c>
      <c r="AB162" s="294">
        <f>DM$103</f>
        <v>0</v>
      </c>
      <c r="AC162" s="751">
        <f>U$128</f>
        <v>4876.9946636093364</v>
      </c>
      <c r="AD162" s="751">
        <f>AS$128</f>
        <v>7315.4919954140041</v>
      </c>
      <c r="AE162" s="294">
        <f>BQ$128</f>
        <v>2438.4973318046682</v>
      </c>
      <c r="AF162" s="294">
        <f>CO$128</f>
        <v>9753.9893272186728</v>
      </c>
      <c r="AG162" s="294">
        <f>DM$128</f>
        <v>0</v>
      </c>
      <c r="AH162" s="755">
        <f>T153</f>
        <v>13098.946751242</v>
      </c>
      <c r="AI162" s="755">
        <f>AR153</f>
        <v>19648.420126863002</v>
      </c>
      <c r="AJ162" s="755">
        <f>BP153</f>
        <v>6549.4733756209998</v>
      </c>
      <c r="AK162" s="755">
        <f>CN153</f>
        <v>26197.893502483999</v>
      </c>
      <c r="AL162" s="755">
        <f>DL153</f>
        <v>0</v>
      </c>
    </row>
    <row r="163" spans="2:38" x14ac:dyDescent="0.3">
      <c r="B163" s="278" t="s">
        <v>345</v>
      </c>
      <c r="C163" s="974"/>
      <c r="D163" s="24"/>
      <c r="E163" s="286"/>
      <c r="F163" s="286"/>
      <c r="G163" s="286"/>
      <c r="H163" s="280" t="s">
        <v>460</v>
      </c>
      <c r="I163" s="287">
        <f t="shared" ref="I163:AL163" si="400">I160-I162</f>
        <v>-1591.1420120142611</v>
      </c>
      <c r="J163" s="287">
        <f t="shared" si="400"/>
        <v>-5888.9054552541093</v>
      </c>
      <c r="K163" s="287">
        <f t="shared" si="400"/>
        <v>2706.6214312255861</v>
      </c>
      <c r="L163" s="287">
        <f t="shared" si="400"/>
        <v>-10186.668898493956</v>
      </c>
      <c r="M163" s="287">
        <f t="shared" si="400"/>
        <v>7004.3848744654333</v>
      </c>
      <c r="N163" s="287">
        <f t="shared" si="400"/>
        <v>3031.2682529912281</v>
      </c>
      <c r="O163" s="287">
        <f t="shared" si="400"/>
        <v>-214.03142804608251</v>
      </c>
      <c r="P163" s="287">
        <f t="shared" si="400"/>
        <v>6276.5679340285442</v>
      </c>
      <c r="Q163" s="287">
        <f t="shared" si="400"/>
        <v>-3459.3311090834031</v>
      </c>
      <c r="R163" s="287">
        <f t="shared" si="400"/>
        <v>9521.8676150658594</v>
      </c>
      <c r="S163" s="752">
        <f t="shared" si="400"/>
        <v>1926.9492171160764</v>
      </c>
      <c r="T163" s="752">
        <f t="shared" si="400"/>
        <v>-6176.8834645074348</v>
      </c>
      <c r="U163" s="752">
        <f t="shared" si="400"/>
        <v>10030.781898739584</v>
      </c>
      <c r="V163" s="752">
        <f t="shared" si="400"/>
        <v>-14280.716146130937</v>
      </c>
      <c r="W163" s="752">
        <f t="shared" si="400"/>
        <v>18134.61458036309</v>
      </c>
      <c r="X163" s="752">
        <f t="shared" si="400"/>
        <v>1765.4796434988148</v>
      </c>
      <c r="Y163" s="752">
        <f t="shared" si="400"/>
        <v>-290.23185187719264</v>
      </c>
      <c r="Z163" s="752">
        <f t="shared" si="400"/>
        <v>3821.1911388748231</v>
      </c>
      <c r="AA163" s="752">
        <f t="shared" si="400"/>
        <v>-2345.9433472532019</v>
      </c>
      <c r="AB163" s="752">
        <f t="shared" si="400"/>
        <v>5876.9026342508314</v>
      </c>
      <c r="AC163" s="752">
        <f t="shared" si="400"/>
        <v>2295.5313347475467</v>
      </c>
      <c r="AD163" s="752">
        <f t="shared" si="400"/>
        <v>-142.96599705712106</v>
      </c>
      <c r="AE163" s="752">
        <f t="shared" si="400"/>
        <v>4734.0286665522144</v>
      </c>
      <c r="AF163" s="752">
        <f t="shared" si="400"/>
        <v>-2581.4633288617897</v>
      </c>
      <c r="AG163" s="752">
        <f t="shared" si="400"/>
        <v>7172.5259983568831</v>
      </c>
      <c r="AH163" s="752">
        <f t="shared" si="400"/>
        <v>2475.6047765804651</v>
      </c>
      <c r="AI163" s="752">
        <f t="shared" si="400"/>
        <v>-4073.8685990405374</v>
      </c>
      <c r="AJ163" s="752">
        <f t="shared" si="400"/>
        <v>9025.0781522014659</v>
      </c>
      <c r="AK163" s="752">
        <f t="shared" si="400"/>
        <v>-10623.341974661535</v>
      </c>
      <c r="AL163" s="752">
        <f t="shared" si="400"/>
        <v>15574.551527822465</v>
      </c>
    </row>
    <row r="164" spans="2:38" x14ac:dyDescent="0.3">
      <c r="B164" s="284" t="s">
        <v>346</v>
      </c>
      <c r="C164" s="975"/>
      <c r="D164" s="165"/>
      <c r="E164" s="288"/>
      <c r="F164" s="288"/>
      <c r="G164" s="288"/>
      <c r="H164" s="285" t="s">
        <v>460</v>
      </c>
      <c r="I164" s="295">
        <f>I160+I161-I162</f>
        <v>1074.9032230627254</v>
      </c>
      <c r="J164" s="295">
        <f t="shared" ref="J164:V164" si="401">J160+J161-J162</f>
        <v>-3222.8602201771228</v>
      </c>
      <c r="K164" s="295">
        <f t="shared" si="401"/>
        <v>5372.6666663025726</v>
      </c>
      <c r="L164" s="295">
        <f t="shared" si="401"/>
        <v>-7520.6236634169691</v>
      </c>
      <c r="M164" s="295">
        <f t="shared" si="401"/>
        <v>9670.4301095424198</v>
      </c>
      <c r="N164" s="295">
        <f t="shared" si="401"/>
        <v>5697.3134880682146</v>
      </c>
      <c r="O164" s="295">
        <f t="shared" si="401"/>
        <v>2452.013807030904</v>
      </c>
      <c r="P164" s="295">
        <f t="shared" si="401"/>
        <v>8942.6131691055307</v>
      </c>
      <c r="Q164" s="295">
        <f t="shared" si="401"/>
        <v>-793.28587400641663</v>
      </c>
      <c r="R164" s="295">
        <f t="shared" si="401"/>
        <v>12160.149625007181</v>
      </c>
      <c r="S164" s="753">
        <f t="shared" si="401"/>
        <v>4592.9944521930611</v>
      </c>
      <c r="T164" s="753">
        <f t="shared" si="401"/>
        <v>-3510.8382294304502</v>
      </c>
      <c r="U164" s="753">
        <f t="shared" si="401"/>
        <v>12696.827133816569</v>
      </c>
      <c r="V164" s="753">
        <f t="shared" si="401"/>
        <v>-11614.670911053952</v>
      </c>
      <c r="W164" s="753">
        <f t="shared" ref="W164:AF164" si="402">W160+W161-W162</f>
        <v>20800.659815440074</v>
      </c>
      <c r="X164" s="753">
        <f t="shared" si="402"/>
        <v>4431.5248785758013</v>
      </c>
      <c r="Y164" s="753">
        <f t="shared" si="402"/>
        <v>2375.8133831997939</v>
      </c>
      <c r="Z164" s="753">
        <f t="shared" si="402"/>
        <v>6487.2363739518096</v>
      </c>
      <c r="AA164" s="753">
        <f t="shared" si="402"/>
        <v>320.10188782378464</v>
      </c>
      <c r="AB164" s="753">
        <f t="shared" si="402"/>
        <v>8542.9478693278179</v>
      </c>
      <c r="AC164" s="753">
        <f t="shared" si="402"/>
        <v>4961.5765698245332</v>
      </c>
      <c r="AD164" s="753">
        <f t="shared" si="402"/>
        <v>2523.0792380198654</v>
      </c>
      <c r="AE164" s="753">
        <f t="shared" si="402"/>
        <v>7400.0739016292009</v>
      </c>
      <c r="AF164" s="753">
        <f t="shared" si="402"/>
        <v>84.581906215196796</v>
      </c>
      <c r="AG164" s="753">
        <f t="shared" ref="AG164:AL164" si="403">AG160+AG161-AG162</f>
        <v>9838.5712334338696</v>
      </c>
      <c r="AH164" s="753">
        <f t="shared" si="403"/>
        <v>5141.6500116574516</v>
      </c>
      <c r="AI164" s="753">
        <f t="shared" si="403"/>
        <v>-1407.8233639635509</v>
      </c>
      <c r="AJ164" s="753">
        <f t="shared" si="403"/>
        <v>11691.123387278451</v>
      </c>
      <c r="AK164" s="753">
        <f t="shared" si="403"/>
        <v>-7957.296739584548</v>
      </c>
      <c r="AL164" s="753">
        <f t="shared" si="403"/>
        <v>18240.596762899451</v>
      </c>
    </row>
    <row r="165" spans="2:38" ht="14.5" x14ac:dyDescent="0.35">
      <c r="B165" s="62" t="s">
        <v>347</v>
      </c>
      <c r="C165" s="26"/>
      <c r="D165" s="24"/>
      <c r="E165" s="289"/>
      <c r="F165" s="289"/>
      <c r="G165" s="289"/>
      <c r="H165" s="280" t="s">
        <v>460</v>
      </c>
      <c r="I165" s="290">
        <f>I163*((1+$B$4)^16)/(((1+$B$4)^16)-1)</f>
        <v>-3413.7951558270352</v>
      </c>
      <c r="J165" s="290">
        <f t="shared" ref="J165:R166" si="404">J163*((1+$B$4)^16)/(((1+$B$4)^16)-1)</f>
        <v>-12634.646539701633</v>
      </c>
      <c r="K165" s="290">
        <f t="shared" si="404"/>
        <v>5807.0562280475606</v>
      </c>
      <c r="L165" s="290">
        <f t="shared" si="404"/>
        <v>-21855.497923576226</v>
      </c>
      <c r="M165" s="290">
        <f t="shared" si="404"/>
        <v>15027.907611922157</v>
      </c>
      <c r="N165" s="290">
        <f t="shared" si="404"/>
        <v>6503.5859778309868</v>
      </c>
      <c r="O165" s="290">
        <f t="shared" si="404"/>
        <v>-459.20442470970988</v>
      </c>
      <c r="P165" s="290">
        <f t="shared" si="404"/>
        <v>13466.376380371696</v>
      </c>
      <c r="Q165" s="290">
        <f t="shared" si="404"/>
        <v>-7421.9948272504289</v>
      </c>
      <c r="R165" s="290">
        <f>R163*((1+$B$4)^16)/(((1+$B$4)^16)-1)</f>
        <v>20429.166782912402</v>
      </c>
      <c r="S165" s="290">
        <f>S163*((1+$B$4)^16)/(((1+$B$4)^16)-1)</f>
        <v>4134.2695078411389</v>
      </c>
      <c r="T165" s="290">
        <f t="shared" ref="T165:W166" si="405">T163*((1+$B$4)^16)/(((1+$B$4)^16)-1)</f>
        <v>-13252.503352953136</v>
      </c>
      <c r="U165" s="290">
        <f t="shared" si="405"/>
        <v>21521.042368635404</v>
      </c>
      <c r="V165" s="290">
        <f t="shared" si="405"/>
        <v>-30639.276213747391</v>
      </c>
      <c r="W165" s="290">
        <f t="shared" si="405"/>
        <v>38907.815229429667</v>
      </c>
      <c r="X165" s="290">
        <f t="shared" ref="X165:AL165" si="406">X163*((1+$B$4)^16)/(((1+$B$4)^16)-1)</f>
        <v>3787.8365407860747</v>
      </c>
      <c r="Y165" s="290">
        <f t="shared" si="406"/>
        <v>-622.69243255716981</v>
      </c>
      <c r="Z165" s="290">
        <f t="shared" si="406"/>
        <v>8198.365514129322</v>
      </c>
      <c r="AA165" s="290">
        <f t="shared" si="406"/>
        <v>-5033.2214059004182</v>
      </c>
      <c r="AB165" s="290">
        <f t="shared" si="406"/>
        <v>12608.894487472569</v>
      </c>
      <c r="AC165" s="290">
        <f t="shared" si="406"/>
        <v>4925.0624340501081</v>
      </c>
      <c r="AD165" s="290">
        <f t="shared" si="406"/>
        <v>-306.73354390519836</v>
      </c>
      <c r="AE165" s="290">
        <f t="shared" si="406"/>
        <v>10156.858412005413</v>
      </c>
      <c r="AF165" s="290">
        <f t="shared" si="406"/>
        <v>-5538.5295218605061</v>
      </c>
      <c r="AG165" s="290">
        <f t="shared" si="406"/>
        <v>15388.65438996072</v>
      </c>
      <c r="AH165" s="290">
        <f t="shared" si="406"/>
        <v>5311.4099999999962</v>
      </c>
      <c r="AI165" s="290">
        <f t="shared" si="406"/>
        <v>-8740.4849999999915</v>
      </c>
      <c r="AJ165" s="290">
        <f t="shared" si="406"/>
        <v>19363.304999999982</v>
      </c>
      <c r="AK165" s="290">
        <f t="shared" si="406"/>
        <v>-22792.379999999965</v>
      </c>
      <c r="AL165" s="290">
        <f t="shared" si="406"/>
        <v>33415.199999999961</v>
      </c>
    </row>
    <row r="166" spans="2:38" ht="14.5" x14ac:dyDescent="0.35">
      <c r="B166" s="41" t="s">
        <v>348</v>
      </c>
      <c r="C166" s="26"/>
      <c r="D166" s="24"/>
      <c r="E166" s="149"/>
      <c r="F166" s="149"/>
      <c r="G166" s="149"/>
      <c r="H166" s="285" t="s">
        <v>460</v>
      </c>
      <c r="I166" s="293">
        <f>I164*((1+$B$4)^16)/(((1+$B$4)^16)-1)</f>
        <v>2306.2048441729598</v>
      </c>
      <c r="J166" s="293">
        <f t="shared" si="404"/>
        <v>-6914.6465397016382</v>
      </c>
      <c r="K166" s="293">
        <f t="shared" si="404"/>
        <v>11527.056228047555</v>
      </c>
      <c r="L166" s="293">
        <f t="shared" si="404"/>
        <v>-16135.497923576231</v>
      </c>
      <c r="M166" s="293">
        <f t="shared" si="404"/>
        <v>20747.90761192215</v>
      </c>
      <c r="N166" s="293">
        <f t="shared" si="404"/>
        <v>12223.585977830982</v>
      </c>
      <c r="O166" s="293">
        <f t="shared" si="404"/>
        <v>5260.7955752902853</v>
      </c>
      <c r="P166" s="293">
        <f t="shared" si="404"/>
        <v>19186.37638037169</v>
      </c>
      <c r="Q166" s="293">
        <f t="shared" si="404"/>
        <v>-1701.9948272504341</v>
      </c>
      <c r="R166" s="293">
        <f t="shared" si="404"/>
        <v>26089.600783923855</v>
      </c>
      <c r="S166" s="755">
        <f>S164*((1+$B$4)^16)/(((1+$B$4)^16)-1)</f>
        <v>9854.2695078411307</v>
      </c>
      <c r="T166" s="755">
        <f t="shared" si="405"/>
        <v>-7532.5033529531447</v>
      </c>
      <c r="U166" s="755">
        <f t="shared" si="405"/>
        <v>27241.042368635393</v>
      </c>
      <c r="V166" s="755">
        <f t="shared" si="405"/>
        <v>-24919.276213747402</v>
      </c>
      <c r="W166" s="755">
        <f t="shared" si="405"/>
        <v>44627.81522942966</v>
      </c>
      <c r="X166" s="755">
        <f t="shared" ref="X166:AL166" si="407">X164*((1+$B$4)^16)/(((1+$B$4)^16)-1)</f>
        <v>9507.8365407860692</v>
      </c>
      <c r="Y166" s="755">
        <f t="shared" si="407"/>
        <v>5097.3075674428246</v>
      </c>
      <c r="Z166" s="755">
        <f t="shared" si="407"/>
        <v>13918.365514129317</v>
      </c>
      <c r="AA166" s="755">
        <f t="shared" si="407"/>
        <v>686.77859409957603</v>
      </c>
      <c r="AB166" s="755">
        <f t="shared" si="407"/>
        <v>18328.894487472564</v>
      </c>
      <c r="AC166" s="755">
        <f t="shared" si="407"/>
        <v>10645.062434050102</v>
      </c>
      <c r="AD166" s="755">
        <f t="shared" si="407"/>
        <v>5413.2664560947969</v>
      </c>
      <c r="AE166" s="755">
        <f t="shared" si="407"/>
        <v>15876.858412005407</v>
      </c>
      <c r="AF166" s="755">
        <f t="shared" si="407"/>
        <v>181.47047813948831</v>
      </c>
      <c r="AG166" s="755">
        <f t="shared" si="407"/>
        <v>21108.654389960717</v>
      </c>
      <c r="AH166" s="755">
        <f t="shared" si="407"/>
        <v>11031.409999999991</v>
      </c>
      <c r="AI166" s="755">
        <f t="shared" si="407"/>
        <v>-3020.4849999999974</v>
      </c>
      <c r="AJ166" s="755">
        <f t="shared" si="407"/>
        <v>25083.304999999971</v>
      </c>
      <c r="AK166" s="755">
        <f t="shared" si="407"/>
        <v>-17072.379999999972</v>
      </c>
      <c r="AL166" s="755">
        <f t="shared" si="407"/>
        <v>39135.199999999953</v>
      </c>
    </row>
    <row r="167" spans="2:38" x14ac:dyDescent="0.3">
      <c r="B167" s="62" t="s">
        <v>349</v>
      </c>
      <c r="C167" s="976"/>
      <c r="D167" s="265"/>
      <c r="E167" s="289"/>
      <c r="F167" s="289"/>
      <c r="G167" s="289"/>
      <c r="H167" s="280" t="s">
        <v>487</v>
      </c>
      <c r="I167" s="290">
        <f>I165*$B$4</f>
        <v>-136.55180623308141</v>
      </c>
      <c r="J167" s="290">
        <f t="shared" ref="J167:R168" si="408">J165*$B$4</f>
        <v>-505.38586158806532</v>
      </c>
      <c r="K167" s="290">
        <f t="shared" si="408"/>
        <v>232.28224912190242</v>
      </c>
      <c r="L167" s="290">
        <f t="shared" si="408"/>
        <v>-874.21991694304904</v>
      </c>
      <c r="M167" s="290">
        <f t="shared" si="408"/>
        <v>601.11630447688628</v>
      </c>
      <c r="N167" s="290">
        <f t="shared" si="408"/>
        <v>260.14343911323948</v>
      </c>
      <c r="O167" s="290">
        <f t="shared" si="408"/>
        <v>-18.368176988388395</v>
      </c>
      <c r="P167" s="290">
        <f t="shared" si="408"/>
        <v>538.65505521486784</v>
      </c>
      <c r="Q167" s="290">
        <f t="shared" si="408"/>
        <v>-296.87979309001719</v>
      </c>
      <c r="R167" s="290">
        <f t="shared" si="408"/>
        <v>817.16667131649604</v>
      </c>
      <c r="S167" s="754">
        <f>S165*$B$4</f>
        <v>165.37078031364555</v>
      </c>
      <c r="T167" s="754">
        <f t="shared" ref="T167:W168" si="409">T165*$B$4</f>
        <v>-530.10013411812542</v>
      </c>
      <c r="U167" s="754">
        <f t="shared" si="409"/>
        <v>860.84169474541613</v>
      </c>
      <c r="V167" s="754">
        <f t="shared" si="409"/>
        <v>-1225.5710485498957</v>
      </c>
      <c r="W167" s="754">
        <f t="shared" si="409"/>
        <v>1556.3126091771867</v>
      </c>
      <c r="X167" s="754">
        <f t="shared" ref="X167:AL167" si="410">X165*$B$4</f>
        <v>151.51346163144299</v>
      </c>
      <c r="Y167" s="754">
        <f t="shared" si="410"/>
        <v>-24.907697302286792</v>
      </c>
      <c r="Z167" s="754">
        <f t="shared" si="410"/>
        <v>327.93462056517291</v>
      </c>
      <c r="AA167" s="754">
        <f t="shared" si="410"/>
        <v>-201.32885623601672</v>
      </c>
      <c r="AB167" s="754">
        <f t="shared" si="410"/>
        <v>504.35577949890279</v>
      </c>
      <c r="AC167" s="754">
        <f t="shared" si="410"/>
        <v>197.00249736200433</v>
      </c>
      <c r="AD167" s="754">
        <f t="shared" si="410"/>
        <v>-12.269341756207934</v>
      </c>
      <c r="AE167" s="754">
        <f t="shared" si="410"/>
        <v>406.2743364802165</v>
      </c>
      <c r="AF167" s="754">
        <f t="shared" si="410"/>
        <v>-221.54118087442023</v>
      </c>
      <c r="AG167" s="754">
        <f t="shared" si="410"/>
        <v>615.54617559842882</v>
      </c>
      <c r="AH167" s="754">
        <f t="shared" si="410"/>
        <v>212.45639999999986</v>
      </c>
      <c r="AI167" s="754">
        <f t="shared" si="410"/>
        <v>-349.61939999999964</v>
      </c>
      <c r="AJ167" s="754">
        <f t="shared" si="410"/>
        <v>774.53219999999931</v>
      </c>
      <c r="AK167" s="754">
        <f t="shared" si="410"/>
        <v>-911.69519999999864</v>
      </c>
      <c r="AL167" s="754">
        <f t="shared" si="410"/>
        <v>1336.6079999999984</v>
      </c>
    </row>
    <row r="168" spans="2:38" x14ac:dyDescent="0.3">
      <c r="B168" s="46" t="s">
        <v>350</v>
      </c>
      <c r="C168" s="47"/>
      <c r="D168" s="291"/>
      <c r="E168" s="292"/>
      <c r="F168" s="292"/>
      <c r="G168" s="292"/>
      <c r="H168" s="285" t="s">
        <v>487</v>
      </c>
      <c r="I168" s="293">
        <f>I166*$B$4</f>
        <v>92.248193766918391</v>
      </c>
      <c r="J168" s="293">
        <f t="shared" si="408"/>
        <v>-276.58586158806554</v>
      </c>
      <c r="K168" s="293">
        <f t="shared" si="408"/>
        <v>461.08224912190224</v>
      </c>
      <c r="L168" s="293">
        <f t="shared" si="408"/>
        <v>-645.41991694304932</v>
      </c>
      <c r="M168" s="293">
        <f t="shared" si="408"/>
        <v>829.91630447688601</v>
      </c>
      <c r="N168" s="293">
        <f t="shared" si="408"/>
        <v>488.94343911323932</v>
      </c>
      <c r="O168" s="293">
        <f t="shared" si="408"/>
        <v>210.43182301161141</v>
      </c>
      <c r="P168" s="293">
        <f t="shared" si="408"/>
        <v>767.45505521486757</v>
      </c>
      <c r="Q168" s="293">
        <f t="shared" si="408"/>
        <v>-68.079793090017361</v>
      </c>
      <c r="R168" s="293">
        <f t="shared" si="408"/>
        <v>1043.5840313569543</v>
      </c>
      <c r="S168" s="755">
        <f>S166*$B$4</f>
        <v>394.17078031364525</v>
      </c>
      <c r="T168" s="755">
        <f t="shared" si="409"/>
        <v>-301.30013411812581</v>
      </c>
      <c r="U168" s="755">
        <f t="shared" si="409"/>
        <v>1089.6416947454159</v>
      </c>
      <c r="V168" s="755">
        <f t="shared" si="409"/>
        <v>-996.77104854989614</v>
      </c>
      <c r="W168" s="755">
        <f t="shared" si="409"/>
        <v>1785.1126091771864</v>
      </c>
      <c r="X168" s="755">
        <f t="shared" ref="X168:AL168" si="411">X166*$B$4</f>
        <v>380.31346163144275</v>
      </c>
      <c r="Y168" s="755">
        <f t="shared" si="411"/>
        <v>203.89230269771298</v>
      </c>
      <c r="Z168" s="755">
        <f t="shared" si="411"/>
        <v>556.73462056517269</v>
      </c>
      <c r="AA168" s="755">
        <f t="shared" si="411"/>
        <v>27.47114376398304</v>
      </c>
      <c r="AB168" s="755">
        <f t="shared" si="411"/>
        <v>733.15577949890258</v>
      </c>
      <c r="AC168" s="755">
        <f t="shared" si="411"/>
        <v>425.80249736200409</v>
      </c>
      <c r="AD168" s="755">
        <f t="shared" si="411"/>
        <v>216.53065824379189</v>
      </c>
      <c r="AE168" s="755">
        <f t="shared" si="411"/>
        <v>635.07433648021629</v>
      </c>
      <c r="AF168" s="755">
        <f t="shared" si="411"/>
        <v>7.2588191255795325</v>
      </c>
      <c r="AG168" s="755">
        <f t="shared" si="411"/>
        <v>844.34617559842866</v>
      </c>
      <c r="AH168" s="755">
        <f t="shared" si="411"/>
        <v>441.25639999999964</v>
      </c>
      <c r="AI168" s="755">
        <f t="shared" si="411"/>
        <v>-120.8193999999999</v>
      </c>
      <c r="AJ168" s="755">
        <f t="shared" si="411"/>
        <v>1003.3321999999989</v>
      </c>
      <c r="AK168" s="755">
        <f t="shared" si="411"/>
        <v>-682.89519999999891</v>
      </c>
      <c r="AL168" s="755">
        <f t="shared" si="411"/>
        <v>1565.4079999999981</v>
      </c>
    </row>
  </sheetData>
  <mergeCells count="1">
    <mergeCell ref="B2:E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Y168"/>
  <sheetViews>
    <sheetView topLeftCell="CO33" zoomScaleNormal="100" workbookViewId="0">
      <selection activeCell="DH46" sqref="DH46"/>
    </sheetView>
  </sheetViews>
  <sheetFormatPr defaultColWidth="9" defaultRowHeight="14" x14ac:dyDescent="0.3"/>
  <sheetData>
    <row r="2" spans="2:119" x14ac:dyDescent="0.3">
      <c r="B2" s="1132" t="s">
        <v>366</v>
      </c>
      <c r="C2" s="1133"/>
      <c r="D2" s="1134"/>
    </row>
    <row r="4" spans="2:119" x14ac:dyDescent="0.3">
      <c r="B4" s="906">
        <f>'Arable NPV'!C6</f>
        <v>0.04</v>
      </c>
      <c r="C4" s="906">
        <f>B4+(B4*0.5)</f>
        <v>0.06</v>
      </c>
      <c r="D4" s="906">
        <f>B4-(B4*0.5)</f>
        <v>0.02</v>
      </c>
      <c r="E4" s="906">
        <f>B4+B4</f>
        <v>0.08</v>
      </c>
      <c r="F4" s="906">
        <f>B4-B4</f>
        <v>0</v>
      </c>
    </row>
    <row r="5" spans="2:119" x14ac:dyDescent="0.3">
      <c r="D5" s="271"/>
    </row>
    <row r="8" spans="2:119" x14ac:dyDescent="0.3">
      <c r="B8" s="227" t="s">
        <v>96</v>
      </c>
      <c r="C8" s="750" t="s">
        <v>433</v>
      </c>
      <c r="D8" s="269" t="s">
        <v>418</v>
      </c>
      <c r="E8" s="194"/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Z8" s="227" t="s">
        <v>96</v>
      </c>
      <c r="AA8" s="1135" t="s">
        <v>419</v>
      </c>
      <c r="AB8" s="1136"/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X8" s="227" t="s">
        <v>96</v>
      </c>
      <c r="AY8" s="1135" t="s">
        <v>420</v>
      </c>
      <c r="AZ8" s="1136"/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V8" s="227" t="s">
        <v>96</v>
      </c>
      <c r="BW8" s="1135" t="s">
        <v>421</v>
      </c>
      <c r="BX8" s="1136"/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T8" s="227" t="s">
        <v>96</v>
      </c>
      <c r="CU8" s="1135" t="s">
        <v>422</v>
      </c>
      <c r="CV8" s="1136"/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2:119" x14ac:dyDescent="0.3">
      <c r="B9" s="203"/>
      <c r="C9" s="148"/>
      <c r="D9" s="148"/>
      <c r="E9" s="1124"/>
      <c r="F9" s="1124"/>
      <c r="G9" s="1124"/>
      <c r="H9" s="148"/>
      <c r="I9" s="910"/>
      <c r="J9" s="1124"/>
      <c r="K9" s="1124"/>
      <c r="L9" s="148"/>
      <c r="M9" s="148"/>
      <c r="N9" s="1125" t="s">
        <v>279</v>
      </c>
      <c r="O9" s="1126"/>
      <c r="P9" s="1126"/>
      <c r="Q9" s="1126"/>
      <c r="R9" s="1127"/>
      <c r="S9" s="1125" t="s">
        <v>280</v>
      </c>
      <c r="T9" s="1126"/>
      <c r="U9" s="1126"/>
      <c r="V9" s="1126"/>
      <c r="W9" s="1127"/>
      <c r="X9" s="984"/>
      <c r="Z9" s="203"/>
      <c r="AA9" s="148"/>
      <c r="AB9" s="148"/>
      <c r="AC9" s="1124"/>
      <c r="AD9" s="1124"/>
      <c r="AE9" s="1124"/>
      <c r="AF9" s="148"/>
      <c r="AG9" s="910"/>
      <c r="AH9" s="1124"/>
      <c r="AI9" s="1124"/>
      <c r="AJ9" s="148"/>
      <c r="AK9" s="148"/>
      <c r="AL9" s="1125" t="s">
        <v>326</v>
      </c>
      <c r="AM9" s="1126"/>
      <c r="AN9" s="1126"/>
      <c r="AO9" s="1126"/>
      <c r="AP9" s="1127"/>
      <c r="AQ9" s="1125" t="s">
        <v>280</v>
      </c>
      <c r="AR9" s="1126"/>
      <c r="AS9" s="1126"/>
      <c r="AT9" s="1126"/>
      <c r="AU9" s="1127"/>
      <c r="AV9" s="984"/>
      <c r="AX9" s="203"/>
      <c r="AY9" s="148"/>
      <c r="AZ9" s="148"/>
      <c r="BA9" s="232"/>
      <c r="BB9" s="232"/>
      <c r="BC9" s="232"/>
      <c r="BD9" s="148"/>
      <c r="BE9" s="910"/>
      <c r="BF9" s="232"/>
      <c r="BG9" s="232"/>
      <c r="BH9" s="148"/>
      <c r="BI9" s="148"/>
      <c r="BJ9" s="1125" t="s">
        <v>279</v>
      </c>
      <c r="BK9" s="1126"/>
      <c r="BL9" s="1126"/>
      <c r="BM9" s="1126"/>
      <c r="BN9" s="1127"/>
      <c r="BO9" s="1125" t="s">
        <v>280</v>
      </c>
      <c r="BP9" s="1126"/>
      <c r="BQ9" s="1126"/>
      <c r="BR9" s="1126"/>
      <c r="BS9" s="1127"/>
      <c r="BT9" s="984"/>
      <c r="BV9" s="203"/>
      <c r="BW9" s="148"/>
      <c r="BX9" s="148"/>
      <c r="BY9" s="232"/>
      <c r="BZ9" s="232"/>
      <c r="CA9" s="232"/>
      <c r="CB9" s="148"/>
      <c r="CC9" s="910"/>
      <c r="CD9" s="232"/>
      <c r="CE9" s="232"/>
      <c r="CF9" s="148"/>
      <c r="CG9" s="148"/>
      <c r="CH9" s="1125" t="s">
        <v>279</v>
      </c>
      <c r="CI9" s="1126"/>
      <c r="CJ9" s="1126"/>
      <c r="CK9" s="1126"/>
      <c r="CL9" s="1127"/>
      <c r="CM9" s="1125" t="s">
        <v>280</v>
      </c>
      <c r="CN9" s="1126"/>
      <c r="CO9" s="1126"/>
      <c r="CP9" s="1126"/>
      <c r="CQ9" s="1127"/>
      <c r="CR9" s="984"/>
      <c r="CT9" s="203"/>
      <c r="CU9" s="148"/>
      <c r="CV9" s="148"/>
      <c r="CW9" s="232"/>
      <c r="CX9" s="232"/>
      <c r="CY9" s="232"/>
      <c r="CZ9" s="148"/>
      <c r="DA9" s="910"/>
      <c r="DB9" s="232"/>
      <c r="DC9" s="232"/>
      <c r="DD9" s="148"/>
      <c r="DE9" s="148"/>
      <c r="DF9" s="1125" t="s">
        <v>279</v>
      </c>
      <c r="DG9" s="1126"/>
      <c r="DH9" s="1126"/>
      <c r="DI9" s="1126"/>
      <c r="DJ9" s="1127"/>
      <c r="DK9" s="1125" t="s">
        <v>280</v>
      </c>
      <c r="DL9" s="1126"/>
      <c r="DM9" s="1126"/>
      <c r="DN9" s="1126"/>
      <c r="DO9" s="1127"/>
    </row>
    <row r="10" spans="2:119" ht="51" x14ac:dyDescent="0.3">
      <c r="B10" s="204" t="s">
        <v>281</v>
      </c>
      <c r="C10" s="205" t="s">
        <v>307</v>
      </c>
      <c r="D10" s="205" t="s">
        <v>308</v>
      </c>
      <c r="E10" s="171" t="s">
        <v>283</v>
      </c>
      <c r="F10" s="171" t="s">
        <v>10</v>
      </c>
      <c r="G10" s="171" t="s">
        <v>284</v>
      </c>
      <c r="H10" s="205" t="s">
        <v>305</v>
      </c>
      <c r="I10" s="914" t="s">
        <v>306</v>
      </c>
      <c r="J10" s="205" t="s">
        <v>309</v>
      </c>
      <c r="K10" s="171" t="s">
        <v>287</v>
      </c>
      <c r="L10" s="171" t="s">
        <v>288</v>
      </c>
      <c r="M10" s="171" t="s">
        <v>289</v>
      </c>
      <c r="N10" s="195" t="s">
        <v>290</v>
      </c>
      <c r="O10" s="171" t="s">
        <v>291</v>
      </c>
      <c r="P10" s="171" t="s">
        <v>292</v>
      </c>
      <c r="Q10" s="171" t="s">
        <v>293</v>
      </c>
      <c r="R10" s="198" t="s">
        <v>294</v>
      </c>
      <c r="S10" s="195" t="s">
        <v>295</v>
      </c>
      <c r="T10" s="171" t="s">
        <v>296</v>
      </c>
      <c r="U10" s="171" t="s">
        <v>297</v>
      </c>
      <c r="V10" s="171" t="s">
        <v>298</v>
      </c>
      <c r="W10" s="198" t="s">
        <v>299</v>
      </c>
      <c r="X10" s="171"/>
      <c r="Z10" s="204" t="s">
        <v>281</v>
      </c>
      <c r="AA10" s="205" t="s">
        <v>307</v>
      </c>
      <c r="AB10" s="205" t="s">
        <v>308</v>
      </c>
      <c r="AC10" s="171" t="s">
        <v>283</v>
      </c>
      <c r="AD10" s="171" t="s">
        <v>10</v>
      </c>
      <c r="AE10" s="171" t="s">
        <v>284</v>
      </c>
      <c r="AF10" s="205" t="s">
        <v>305</v>
      </c>
      <c r="AG10" s="914" t="s">
        <v>306</v>
      </c>
      <c r="AH10" s="205" t="s">
        <v>309</v>
      </c>
      <c r="AI10" s="171" t="s">
        <v>287</v>
      </c>
      <c r="AJ10" s="171" t="s">
        <v>288</v>
      </c>
      <c r="AK10" s="171" t="s">
        <v>289</v>
      </c>
      <c r="AL10" s="195" t="s">
        <v>290</v>
      </c>
      <c r="AM10" s="171" t="s">
        <v>291</v>
      </c>
      <c r="AN10" s="171" t="s">
        <v>292</v>
      </c>
      <c r="AO10" s="171" t="s">
        <v>293</v>
      </c>
      <c r="AP10" s="198" t="s">
        <v>294</v>
      </c>
      <c r="AQ10" s="195" t="s">
        <v>295</v>
      </c>
      <c r="AR10" s="171" t="s">
        <v>296</v>
      </c>
      <c r="AS10" s="171" t="s">
        <v>297</v>
      </c>
      <c r="AT10" s="171" t="s">
        <v>298</v>
      </c>
      <c r="AU10" s="198" t="s">
        <v>299</v>
      </c>
      <c r="AV10" s="171"/>
      <c r="AX10" s="204" t="s">
        <v>281</v>
      </c>
      <c r="AY10" s="205" t="s">
        <v>307</v>
      </c>
      <c r="AZ10" s="205" t="s">
        <v>308</v>
      </c>
      <c r="BA10" s="171" t="s">
        <v>283</v>
      </c>
      <c r="BB10" s="171" t="s">
        <v>10</v>
      </c>
      <c r="BC10" s="171" t="s">
        <v>284</v>
      </c>
      <c r="BD10" s="205" t="s">
        <v>305</v>
      </c>
      <c r="BE10" s="914" t="s">
        <v>306</v>
      </c>
      <c r="BF10" s="205" t="s">
        <v>309</v>
      </c>
      <c r="BG10" s="171" t="s">
        <v>287</v>
      </c>
      <c r="BH10" s="171" t="s">
        <v>288</v>
      </c>
      <c r="BI10" s="171" t="s">
        <v>289</v>
      </c>
      <c r="BJ10" s="195" t="s">
        <v>290</v>
      </c>
      <c r="BK10" s="171" t="s">
        <v>291</v>
      </c>
      <c r="BL10" s="171" t="s">
        <v>292</v>
      </c>
      <c r="BM10" s="171" t="s">
        <v>293</v>
      </c>
      <c r="BN10" s="198" t="s">
        <v>294</v>
      </c>
      <c r="BO10" s="195" t="s">
        <v>295</v>
      </c>
      <c r="BP10" s="171" t="s">
        <v>296</v>
      </c>
      <c r="BQ10" s="171" t="s">
        <v>297</v>
      </c>
      <c r="BR10" s="171" t="s">
        <v>298</v>
      </c>
      <c r="BS10" s="198" t="s">
        <v>299</v>
      </c>
      <c r="BT10" s="171"/>
      <c r="BV10" s="204" t="s">
        <v>281</v>
      </c>
      <c r="BW10" s="205" t="s">
        <v>307</v>
      </c>
      <c r="BX10" s="205" t="s">
        <v>308</v>
      </c>
      <c r="BY10" s="171" t="s">
        <v>283</v>
      </c>
      <c r="BZ10" s="171" t="s">
        <v>10</v>
      </c>
      <c r="CA10" s="171" t="s">
        <v>284</v>
      </c>
      <c r="CB10" s="205" t="s">
        <v>305</v>
      </c>
      <c r="CC10" s="914" t="s">
        <v>306</v>
      </c>
      <c r="CD10" s="205" t="s">
        <v>309</v>
      </c>
      <c r="CE10" s="171" t="s">
        <v>287</v>
      </c>
      <c r="CF10" s="171" t="s">
        <v>288</v>
      </c>
      <c r="CG10" s="171" t="s">
        <v>289</v>
      </c>
      <c r="CH10" s="195" t="s">
        <v>290</v>
      </c>
      <c r="CI10" s="171" t="s">
        <v>291</v>
      </c>
      <c r="CJ10" s="171" t="s">
        <v>292</v>
      </c>
      <c r="CK10" s="171" t="s">
        <v>293</v>
      </c>
      <c r="CL10" s="198" t="s">
        <v>294</v>
      </c>
      <c r="CM10" s="195" t="s">
        <v>295</v>
      </c>
      <c r="CN10" s="171" t="s">
        <v>296</v>
      </c>
      <c r="CO10" s="171" t="s">
        <v>297</v>
      </c>
      <c r="CP10" s="171" t="s">
        <v>298</v>
      </c>
      <c r="CQ10" s="198" t="s">
        <v>299</v>
      </c>
      <c r="CR10" s="171"/>
      <c r="CT10" s="204" t="s">
        <v>281</v>
      </c>
      <c r="CU10" s="205" t="s">
        <v>307</v>
      </c>
      <c r="CV10" s="205" t="s">
        <v>308</v>
      </c>
      <c r="CW10" s="171" t="s">
        <v>283</v>
      </c>
      <c r="CX10" s="171" t="s">
        <v>10</v>
      </c>
      <c r="CY10" s="171" t="s">
        <v>284</v>
      </c>
      <c r="CZ10" s="205" t="s">
        <v>305</v>
      </c>
      <c r="DA10" s="914" t="s">
        <v>306</v>
      </c>
      <c r="DB10" s="205" t="s">
        <v>309</v>
      </c>
      <c r="DC10" s="171" t="s">
        <v>287</v>
      </c>
      <c r="DD10" s="171" t="s">
        <v>288</v>
      </c>
      <c r="DE10" s="171" t="s">
        <v>289</v>
      </c>
      <c r="DF10" s="195" t="s">
        <v>290</v>
      </c>
      <c r="DG10" s="171" t="s">
        <v>291</v>
      </c>
      <c r="DH10" s="171" t="s">
        <v>292</v>
      </c>
      <c r="DI10" s="171" t="s">
        <v>293</v>
      </c>
      <c r="DJ10" s="198" t="s">
        <v>294</v>
      </c>
      <c r="DK10" s="195" t="s">
        <v>295</v>
      </c>
      <c r="DL10" s="171" t="s">
        <v>296</v>
      </c>
      <c r="DM10" s="171" t="s">
        <v>297</v>
      </c>
      <c r="DN10" s="171" t="s">
        <v>298</v>
      </c>
      <c r="DO10" s="198" t="s">
        <v>299</v>
      </c>
    </row>
    <row r="11" spans="2:119" x14ac:dyDescent="0.3">
      <c r="B11" s="173"/>
      <c r="C11" s="226" t="s">
        <v>356</v>
      </c>
      <c r="D11" s="226" t="s">
        <v>476</v>
      </c>
      <c r="E11" s="201" t="s">
        <v>474</v>
      </c>
      <c r="F11" s="201" t="s">
        <v>474</v>
      </c>
      <c r="G11" s="201" t="s">
        <v>474</v>
      </c>
      <c r="H11" s="201" t="s">
        <v>474</v>
      </c>
      <c r="I11" s="948" t="s">
        <v>474</v>
      </c>
      <c r="J11" s="201" t="s">
        <v>474</v>
      </c>
      <c r="K11" s="201" t="s">
        <v>474</v>
      </c>
      <c r="L11" s="201" t="s">
        <v>474</v>
      </c>
      <c r="M11" s="202" t="s">
        <v>474</v>
      </c>
      <c r="N11" s="201" t="s">
        <v>474</v>
      </c>
      <c r="O11" s="201" t="s">
        <v>474</v>
      </c>
      <c r="P11" s="201" t="s">
        <v>474</v>
      </c>
      <c r="Q11" s="201" t="s">
        <v>474</v>
      </c>
      <c r="R11" s="202" t="s">
        <v>474</v>
      </c>
      <c r="S11" s="201" t="s">
        <v>474</v>
      </c>
      <c r="T11" s="201" t="s">
        <v>474</v>
      </c>
      <c r="U11" s="201" t="s">
        <v>474</v>
      </c>
      <c r="V11" s="201" t="s">
        <v>474</v>
      </c>
      <c r="W11" s="202" t="s">
        <v>474</v>
      </c>
      <c r="X11" s="985"/>
      <c r="Z11" s="173"/>
      <c r="AA11" s="226" t="s">
        <v>356</v>
      </c>
      <c r="AB11" s="226" t="s">
        <v>476</v>
      </c>
      <c r="AC11" s="201" t="s">
        <v>474</v>
      </c>
      <c r="AD11" s="201" t="s">
        <v>474</v>
      </c>
      <c r="AE11" s="201" t="s">
        <v>474</v>
      </c>
      <c r="AF11" s="201" t="s">
        <v>474</v>
      </c>
      <c r="AG11" s="948" t="s">
        <v>474</v>
      </c>
      <c r="AH11" s="201" t="s">
        <v>474</v>
      </c>
      <c r="AI11" s="201" t="s">
        <v>474</v>
      </c>
      <c r="AJ11" s="201" t="s">
        <v>474</v>
      </c>
      <c r="AK11" s="202" t="s">
        <v>474</v>
      </c>
      <c r="AL11" s="201" t="s">
        <v>474</v>
      </c>
      <c r="AM11" s="201" t="s">
        <v>474</v>
      </c>
      <c r="AN11" s="201" t="s">
        <v>474</v>
      </c>
      <c r="AO11" s="201" t="s">
        <v>474</v>
      </c>
      <c r="AP11" s="202" t="s">
        <v>474</v>
      </c>
      <c r="AQ11" s="201" t="s">
        <v>474</v>
      </c>
      <c r="AR11" s="201" t="s">
        <v>474</v>
      </c>
      <c r="AS11" s="201" t="s">
        <v>474</v>
      </c>
      <c r="AT11" s="201" t="s">
        <v>474</v>
      </c>
      <c r="AU11" s="202" t="s">
        <v>474</v>
      </c>
      <c r="AV11" s="985"/>
      <c r="AX11" s="173"/>
      <c r="AY11" s="226" t="s">
        <v>356</v>
      </c>
      <c r="AZ11" s="226" t="s">
        <v>476</v>
      </c>
      <c r="BA11" s="201" t="s">
        <v>474</v>
      </c>
      <c r="BB11" s="201" t="s">
        <v>474</v>
      </c>
      <c r="BC11" s="201" t="s">
        <v>474</v>
      </c>
      <c r="BD11" s="201" t="s">
        <v>474</v>
      </c>
      <c r="BE11" s="948" t="s">
        <v>474</v>
      </c>
      <c r="BF11" s="201" t="s">
        <v>474</v>
      </c>
      <c r="BG11" s="201" t="s">
        <v>474</v>
      </c>
      <c r="BH11" s="201" t="s">
        <v>474</v>
      </c>
      <c r="BI11" s="202" t="s">
        <v>474</v>
      </c>
      <c r="BJ11" s="201" t="s">
        <v>474</v>
      </c>
      <c r="BK11" s="201" t="s">
        <v>474</v>
      </c>
      <c r="BL11" s="201" t="s">
        <v>474</v>
      </c>
      <c r="BM11" s="201" t="s">
        <v>474</v>
      </c>
      <c r="BN11" s="202" t="s">
        <v>474</v>
      </c>
      <c r="BO11" s="201" t="s">
        <v>474</v>
      </c>
      <c r="BP11" s="201" t="s">
        <v>474</v>
      </c>
      <c r="BQ11" s="201" t="s">
        <v>474</v>
      </c>
      <c r="BR11" s="201" t="s">
        <v>474</v>
      </c>
      <c r="BS11" s="202" t="s">
        <v>474</v>
      </c>
      <c r="BT11" s="985"/>
      <c r="BV11" s="173"/>
      <c r="BW11" s="226" t="s">
        <v>356</v>
      </c>
      <c r="BX11" s="226" t="s">
        <v>476</v>
      </c>
      <c r="BY11" s="201" t="s">
        <v>474</v>
      </c>
      <c r="BZ11" s="201" t="s">
        <v>474</v>
      </c>
      <c r="CA11" s="201" t="s">
        <v>474</v>
      </c>
      <c r="CB11" s="201" t="s">
        <v>474</v>
      </c>
      <c r="CC11" s="948" t="s">
        <v>474</v>
      </c>
      <c r="CD11" s="201" t="s">
        <v>474</v>
      </c>
      <c r="CE11" s="201" t="s">
        <v>474</v>
      </c>
      <c r="CF11" s="201" t="s">
        <v>474</v>
      </c>
      <c r="CG11" s="202" t="s">
        <v>474</v>
      </c>
      <c r="CH11" s="201" t="s">
        <v>474</v>
      </c>
      <c r="CI11" s="201" t="s">
        <v>474</v>
      </c>
      <c r="CJ11" s="201" t="s">
        <v>474</v>
      </c>
      <c r="CK11" s="201" t="s">
        <v>474</v>
      </c>
      <c r="CL11" s="202" t="s">
        <v>474</v>
      </c>
      <c r="CM11" s="201" t="s">
        <v>474</v>
      </c>
      <c r="CN11" s="201" t="s">
        <v>474</v>
      </c>
      <c r="CO11" s="201" t="s">
        <v>474</v>
      </c>
      <c r="CP11" s="201" t="s">
        <v>474</v>
      </c>
      <c r="CQ11" s="202" t="s">
        <v>474</v>
      </c>
      <c r="CR11" s="985"/>
      <c r="CT11" s="173"/>
      <c r="CU11" s="226" t="s">
        <v>356</v>
      </c>
      <c r="CV11" s="226" t="s">
        <v>476</v>
      </c>
      <c r="CW11" s="201" t="s">
        <v>474</v>
      </c>
      <c r="CX11" s="201" t="s">
        <v>474</v>
      </c>
      <c r="CY11" s="201" t="s">
        <v>474</v>
      </c>
      <c r="CZ11" s="201" t="s">
        <v>474</v>
      </c>
      <c r="DA11" s="948" t="s">
        <v>474</v>
      </c>
      <c r="DB11" s="201" t="s">
        <v>474</v>
      </c>
      <c r="DC11" s="201" t="s">
        <v>474</v>
      </c>
      <c r="DD11" s="201" t="s">
        <v>474</v>
      </c>
      <c r="DE11" s="202" t="s">
        <v>474</v>
      </c>
      <c r="DF11" s="201" t="s">
        <v>474</v>
      </c>
      <c r="DG11" s="201" t="s">
        <v>474</v>
      </c>
      <c r="DH11" s="201" t="s">
        <v>474</v>
      </c>
      <c r="DI11" s="201" t="s">
        <v>474</v>
      </c>
      <c r="DJ11" s="202" t="s">
        <v>474</v>
      </c>
      <c r="DK11" s="201" t="s">
        <v>474</v>
      </c>
      <c r="DL11" s="201" t="s">
        <v>474</v>
      </c>
      <c r="DM11" s="201" t="s">
        <v>474</v>
      </c>
      <c r="DN11" s="201" t="s">
        <v>474</v>
      </c>
      <c r="DO11" s="202" t="s">
        <v>474</v>
      </c>
    </row>
    <row r="12" spans="2:119" x14ac:dyDescent="0.3">
      <c r="B12" s="204">
        <v>1</v>
      </c>
      <c r="C12" s="197">
        <f>'Energy NPV'!$D65</f>
        <v>2.0466666666666664</v>
      </c>
      <c r="D12" s="197">
        <f>'Energy margins'!$S$12</f>
        <v>55</v>
      </c>
      <c r="E12" s="197">
        <f>C12*D12</f>
        <v>112.56666666666665</v>
      </c>
      <c r="F12" s="197">
        <f>'Margins summary'!$U$14</f>
        <v>220</v>
      </c>
      <c r="G12" s="197">
        <f>E12+F12</f>
        <v>332.56666666666666</v>
      </c>
      <c r="H12" s="197">
        <f>'Margins summary'!$T$20</f>
        <v>5106.0919999999996</v>
      </c>
      <c r="I12" s="897">
        <f>'Energy NPV'!U65</f>
        <v>0</v>
      </c>
      <c r="J12" s="197"/>
      <c r="K12" s="197">
        <f>H12+I12+J12</f>
        <v>5106.0919999999996</v>
      </c>
      <c r="L12" s="197">
        <f t="shared" ref="L12:L27" si="0">E12-K12</f>
        <v>-4993.525333333333</v>
      </c>
      <c r="M12" s="197">
        <f t="shared" ref="M12:M27" si="1">G12-K12</f>
        <v>-4773.525333333333</v>
      </c>
      <c r="N12" s="1016">
        <f>E12/((1+$B$4)^(B12-1))</f>
        <v>112.56666666666665</v>
      </c>
      <c r="O12" s="213">
        <f>F12/((1+$B$4)^(B12-1))</f>
        <v>220</v>
      </c>
      <c r="P12" s="213">
        <f>K12/((1+$B$4)^(B12-1))</f>
        <v>5106.0919999999996</v>
      </c>
      <c r="Q12" s="213">
        <f>L12/((1+$B$4)^(B12-1))</f>
        <v>-4993.525333333333</v>
      </c>
      <c r="R12" s="908">
        <f>M12/((1+$B$4)^(B12-1))</f>
        <v>-4773.525333333333</v>
      </c>
      <c r="S12" s="196">
        <f>N12</f>
        <v>112.56666666666665</v>
      </c>
      <c r="T12" s="197">
        <f>O12</f>
        <v>220</v>
      </c>
      <c r="U12" s="197">
        <f>P12</f>
        <v>5106.0919999999996</v>
      </c>
      <c r="V12" s="197">
        <f>Q12</f>
        <v>-4993.525333333333</v>
      </c>
      <c r="W12" s="199">
        <f>R12</f>
        <v>-4773.525333333333</v>
      </c>
      <c r="X12" s="197"/>
      <c r="Z12" s="204">
        <v>1</v>
      </c>
      <c r="AA12" s="225">
        <f>'Energy NPV'!$D65</f>
        <v>2.0466666666666664</v>
      </c>
      <c r="AB12" s="197">
        <f>'Energy margins'!$S$12</f>
        <v>55</v>
      </c>
      <c r="AC12" s="197">
        <f>AA12*AB12</f>
        <v>112.56666666666665</v>
      </c>
      <c r="AD12" s="197">
        <f>'Margins summary'!$U$14</f>
        <v>220</v>
      </c>
      <c r="AE12" s="197">
        <f>AC12+AD12</f>
        <v>332.56666666666666</v>
      </c>
      <c r="AF12" s="197">
        <f>'Margins summary'!$T$20</f>
        <v>5106.0919999999996</v>
      </c>
      <c r="AG12" s="897">
        <f>'Energy NPV'!U65</f>
        <v>0</v>
      </c>
      <c r="AH12" s="197"/>
      <c r="AI12" s="197">
        <f>AF12+AG12+AH12</f>
        <v>5106.0919999999996</v>
      </c>
      <c r="AJ12" s="197">
        <f t="shared" ref="AJ12:AJ27" si="2">AC12-AI12</f>
        <v>-4993.525333333333</v>
      </c>
      <c r="AK12" s="197">
        <f t="shared" ref="AK12:AK27" si="3">AE12-AI12</f>
        <v>-4773.525333333333</v>
      </c>
      <c r="AL12" s="1016">
        <f>AC12/((1+$C$4)^(Z12-1))</f>
        <v>112.56666666666665</v>
      </c>
      <c r="AM12" s="213">
        <f>AD12/((1+$C$4)^(Z12-1))</f>
        <v>220</v>
      </c>
      <c r="AN12" s="213">
        <f>AI12/((1+$C$4)^(Z12-1))</f>
        <v>5106.0919999999996</v>
      </c>
      <c r="AO12" s="213">
        <f>AJ12/((1+$C$4)^(Z12-1))</f>
        <v>-4993.525333333333</v>
      </c>
      <c r="AP12" s="908">
        <f>AK12/((1+$C$4)^(Z12-1))</f>
        <v>-4773.525333333333</v>
      </c>
      <c r="AQ12" s="196">
        <f>AL12</f>
        <v>112.56666666666665</v>
      </c>
      <c r="AR12" s="197">
        <f>AM12</f>
        <v>220</v>
      </c>
      <c r="AS12" s="197">
        <f>AN12</f>
        <v>5106.0919999999996</v>
      </c>
      <c r="AT12" s="197">
        <f>AO12</f>
        <v>-4993.525333333333</v>
      </c>
      <c r="AU12" s="199">
        <f>AP12</f>
        <v>-4773.525333333333</v>
      </c>
      <c r="AV12" s="197"/>
      <c r="AX12" s="204">
        <v>1</v>
      </c>
      <c r="AY12" s="225">
        <f>'Energy NPV'!$D65</f>
        <v>2.0466666666666664</v>
      </c>
      <c r="AZ12" s="197">
        <f>'Energy margins'!$S$12</f>
        <v>55</v>
      </c>
      <c r="BA12" s="197">
        <f>AY12*AZ12</f>
        <v>112.56666666666665</v>
      </c>
      <c r="BB12" s="197">
        <f>'Margins summary'!$U$14</f>
        <v>220</v>
      </c>
      <c r="BC12" s="197">
        <f>BA12+BB12</f>
        <v>332.56666666666666</v>
      </c>
      <c r="BD12" s="197">
        <f>'Margins summary'!$T$20</f>
        <v>5106.0919999999996</v>
      </c>
      <c r="BE12" s="897">
        <f>'Energy NPV'!U65</f>
        <v>0</v>
      </c>
      <c r="BF12" s="197"/>
      <c r="BG12" s="197">
        <f>BD12+BE12+BF12</f>
        <v>5106.0919999999996</v>
      </c>
      <c r="BH12" s="197">
        <f t="shared" ref="BH12:BH27" si="4">BA12-BG12</f>
        <v>-4993.525333333333</v>
      </c>
      <c r="BI12" s="197">
        <f t="shared" ref="BI12:BI27" si="5">BC12-BG12</f>
        <v>-4773.525333333333</v>
      </c>
      <c r="BJ12" s="1016">
        <f>BA12/((1+$D$4)^(AX12-1))</f>
        <v>112.56666666666665</v>
      </c>
      <c r="BK12" s="213">
        <f>BB12/((1+$D$4)^(AX12-1))</f>
        <v>220</v>
      </c>
      <c r="BL12" s="213">
        <f>BG12/((1+$D$4)^(AX12-1))</f>
        <v>5106.0919999999996</v>
      </c>
      <c r="BM12" s="213">
        <f>BH12/((1+$D$4)^(AX12-1))</f>
        <v>-4993.525333333333</v>
      </c>
      <c r="BN12" s="908">
        <f>BI12/((1+$D$4)^(AX12-1))</f>
        <v>-4773.525333333333</v>
      </c>
      <c r="BO12" s="196">
        <f>BJ12</f>
        <v>112.56666666666665</v>
      </c>
      <c r="BP12" s="197">
        <f>BK12</f>
        <v>220</v>
      </c>
      <c r="BQ12" s="197">
        <f>BL12</f>
        <v>5106.0919999999996</v>
      </c>
      <c r="BR12" s="197">
        <f>BM12</f>
        <v>-4993.525333333333</v>
      </c>
      <c r="BS12" s="199">
        <f>BN12</f>
        <v>-4773.525333333333</v>
      </c>
      <c r="BT12" s="197"/>
      <c r="BV12" s="204">
        <v>1</v>
      </c>
      <c r="BW12" s="225">
        <f>'Energy NPV'!$D65</f>
        <v>2.0466666666666664</v>
      </c>
      <c r="BX12" s="197">
        <f>'Energy margins'!$S$12</f>
        <v>55</v>
      </c>
      <c r="BY12" s="197">
        <f>BW12*BX12</f>
        <v>112.56666666666665</v>
      </c>
      <c r="BZ12" s="197">
        <f>'Margins summary'!$U$14</f>
        <v>220</v>
      </c>
      <c r="CA12" s="197">
        <f>BY12+BZ12</f>
        <v>332.56666666666666</v>
      </c>
      <c r="CB12" s="197">
        <f>'Margins summary'!$T$20</f>
        <v>5106.0919999999996</v>
      </c>
      <c r="CC12" s="897">
        <f>'Energy NPV'!U65</f>
        <v>0</v>
      </c>
      <c r="CD12" s="197"/>
      <c r="CE12" s="197">
        <f>CB12+CC12+CD12</f>
        <v>5106.0919999999996</v>
      </c>
      <c r="CF12" s="197">
        <f t="shared" ref="CF12:CF27" si="6">BY12-CE12</f>
        <v>-4993.525333333333</v>
      </c>
      <c r="CG12" s="197">
        <f t="shared" ref="CG12:CG27" si="7">CA12-CE12</f>
        <v>-4773.525333333333</v>
      </c>
      <c r="CH12" s="1016">
        <f>BY12/((1+$E$4)^(BV12-1))</f>
        <v>112.56666666666665</v>
      </c>
      <c r="CI12" s="213">
        <f>BZ12/((1+$E$4)^(BV12-1))</f>
        <v>220</v>
      </c>
      <c r="CJ12" s="213">
        <f>CE12/((1+$E$4)^(BV12-1))</f>
        <v>5106.0919999999996</v>
      </c>
      <c r="CK12" s="213">
        <f>CF12/((1+$E$4)^(BV12-1))</f>
        <v>-4993.525333333333</v>
      </c>
      <c r="CL12" s="908">
        <f>CG12/((1+$E$4)^(BV12-1))</f>
        <v>-4773.525333333333</v>
      </c>
      <c r="CM12" s="196">
        <f>CH12</f>
        <v>112.56666666666665</v>
      </c>
      <c r="CN12" s="197">
        <f>CI12</f>
        <v>220</v>
      </c>
      <c r="CO12" s="197">
        <f>CJ12</f>
        <v>5106.0919999999996</v>
      </c>
      <c r="CP12" s="197">
        <f>CK12</f>
        <v>-4993.525333333333</v>
      </c>
      <c r="CQ12" s="199">
        <f>CL12</f>
        <v>-4773.525333333333</v>
      </c>
      <c r="CR12" s="197"/>
      <c r="CT12" s="204">
        <v>1</v>
      </c>
      <c r="CU12" s="225">
        <f>'Energy NPV'!$D65</f>
        <v>2.0466666666666664</v>
      </c>
      <c r="CV12" s="197">
        <f>'Energy margins'!$S$12</f>
        <v>55</v>
      </c>
      <c r="CW12" s="197">
        <f>CU12*CV12</f>
        <v>112.56666666666665</v>
      </c>
      <c r="CX12" s="197">
        <f>'Margins summary'!$U$14</f>
        <v>220</v>
      </c>
      <c r="CY12" s="197">
        <f>CW12+CX12</f>
        <v>332.56666666666666</v>
      </c>
      <c r="CZ12" s="197">
        <f>'Margins summary'!$T$20</f>
        <v>5106.0919999999996</v>
      </c>
      <c r="DA12" s="897">
        <f>'Energy NPV'!U65</f>
        <v>0</v>
      </c>
      <c r="DB12" s="197"/>
      <c r="DC12" s="197">
        <f>CZ12+DA12+DB12</f>
        <v>5106.0919999999996</v>
      </c>
      <c r="DD12" s="197">
        <f t="shared" ref="DD12:DD27" si="8">CW12-DC12</f>
        <v>-4993.525333333333</v>
      </c>
      <c r="DE12" s="197">
        <f t="shared" ref="DE12:DE27" si="9">CY12-DC12</f>
        <v>-4773.525333333333</v>
      </c>
      <c r="DF12" s="1016">
        <f>CW12/((1+$F$4)^(CT12-1))</f>
        <v>112.56666666666665</v>
      </c>
      <c r="DG12" s="213">
        <f>CX12/((1+$F$4)^(CT12-1))</f>
        <v>220</v>
      </c>
      <c r="DH12" s="213">
        <f>DC12/((1+$F$4)^(CT12-1))</f>
        <v>5106.0919999999996</v>
      </c>
      <c r="DI12" s="213">
        <f>DD12/((1+$F$4)^(CT12-1))</f>
        <v>-4993.525333333333</v>
      </c>
      <c r="DJ12" s="908">
        <f>DE12/((1+$F$4)^(CT12-1))</f>
        <v>-4773.525333333333</v>
      </c>
      <c r="DK12" s="196">
        <f>DF12</f>
        <v>112.56666666666665</v>
      </c>
      <c r="DL12" s="197">
        <f>DG12</f>
        <v>220</v>
      </c>
      <c r="DM12" s="197">
        <f>DH12</f>
        <v>5106.0919999999996</v>
      </c>
      <c r="DN12" s="197">
        <f>DI12</f>
        <v>-4993.525333333333</v>
      </c>
      <c r="DO12" s="199">
        <f>DJ12</f>
        <v>-4773.525333333333</v>
      </c>
    </row>
    <row r="13" spans="2:119" x14ac:dyDescent="0.3">
      <c r="B13" s="204">
        <v>2</v>
      </c>
      <c r="C13" s="197">
        <f>'Energy NPV'!$D66</f>
        <v>8.27</v>
      </c>
      <c r="D13" s="197">
        <f>'Energy margins'!$S$12</f>
        <v>55</v>
      </c>
      <c r="E13" s="197">
        <f t="shared" ref="E13:E27" si="10">C13*D13</f>
        <v>454.84999999999997</v>
      </c>
      <c r="F13" s="197">
        <f>'Margins summary'!$U$14</f>
        <v>220</v>
      </c>
      <c r="G13" s="197">
        <f t="shared" ref="G13:G27" si="11">E13+F13</f>
        <v>674.84999999999991</v>
      </c>
      <c r="H13" s="197"/>
      <c r="I13" s="897">
        <f>'Energy NPV'!U66</f>
        <v>439.04199999999997</v>
      </c>
      <c r="J13" s="197"/>
      <c r="K13" s="197">
        <f t="shared" ref="K13:K27" si="12">H13+I13+J13</f>
        <v>439.04199999999997</v>
      </c>
      <c r="L13" s="197">
        <f t="shared" si="0"/>
        <v>15.807999999999993</v>
      </c>
      <c r="M13" s="197">
        <f t="shared" si="1"/>
        <v>235.80799999999994</v>
      </c>
      <c r="N13" s="196">
        <f t="shared" ref="N13:N27" si="13">E13/((1+$B$4)^(B13-1))</f>
        <v>437.35576923076917</v>
      </c>
      <c r="O13" s="197">
        <f t="shared" ref="O13:O27" si="14">F13/((1+$B$4)^(B13-1))</f>
        <v>211.53846153846152</v>
      </c>
      <c r="P13" s="197">
        <f t="shared" ref="P13:P27" si="15">K13/((1+$B$4)^(B13-1))</f>
        <v>422.15576923076918</v>
      </c>
      <c r="Q13" s="197">
        <f t="shared" ref="Q13:Q27" si="16">L13/((1+$B$4)^(B13-1))</f>
        <v>15.199999999999992</v>
      </c>
      <c r="R13" s="199">
        <f t="shared" ref="R13:R26" si="17">M13/((1+$B$4)^(B13-1))</f>
        <v>226.73846153846148</v>
      </c>
      <c r="S13" s="196">
        <f>S12+N13</f>
        <v>549.92243589743578</v>
      </c>
      <c r="T13" s="197">
        <f t="shared" ref="T13:W27" si="18">T12+O13</f>
        <v>431.53846153846155</v>
      </c>
      <c r="U13" s="197">
        <f t="shared" si="18"/>
        <v>5528.2477692307684</v>
      </c>
      <c r="V13" s="197">
        <f t="shared" si="18"/>
        <v>-4978.3253333333332</v>
      </c>
      <c r="W13" s="199">
        <f t="shared" si="18"/>
        <v>-4546.7868717948713</v>
      </c>
      <c r="X13" s="197"/>
      <c r="Z13" s="204">
        <v>2</v>
      </c>
      <c r="AA13" s="225">
        <f>'Energy NPV'!$D66</f>
        <v>8.27</v>
      </c>
      <c r="AB13" s="197">
        <f>'Energy margins'!$S$12</f>
        <v>55</v>
      </c>
      <c r="AC13" s="197">
        <f t="shared" ref="AC13:AC26" si="19">AA13*AB13</f>
        <v>454.84999999999997</v>
      </c>
      <c r="AD13" s="197">
        <f>'Margins summary'!$U$14</f>
        <v>220</v>
      </c>
      <c r="AE13" s="197">
        <f t="shared" ref="AE13:AE27" si="20">AC13+AD13</f>
        <v>674.84999999999991</v>
      </c>
      <c r="AF13" s="197"/>
      <c r="AG13" s="897">
        <f>'Energy NPV'!U66</f>
        <v>439.04199999999997</v>
      </c>
      <c r="AH13" s="197"/>
      <c r="AI13" s="197">
        <f t="shared" ref="AI13:AI27" si="21">AF13+AG13+AH13</f>
        <v>439.04199999999997</v>
      </c>
      <c r="AJ13" s="197">
        <f t="shared" si="2"/>
        <v>15.807999999999993</v>
      </c>
      <c r="AK13" s="197">
        <f t="shared" si="3"/>
        <v>235.80799999999994</v>
      </c>
      <c r="AL13" s="196">
        <f t="shared" ref="AL13:AL27" si="22">AC13/((1+$C$4)^(Z13-1))</f>
        <v>429.10377358490558</v>
      </c>
      <c r="AM13" s="197">
        <f t="shared" ref="AM13:AM27" si="23">AD13/((1+$C$4)^(Z13-1))</f>
        <v>207.54716981132074</v>
      </c>
      <c r="AN13" s="197">
        <f t="shared" ref="AN13:AN27" si="24">AI13/((1+$C$4)^(Z13-1))</f>
        <v>414.19056603773578</v>
      </c>
      <c r="AO13" s="197">
        <f t="shared" ref="AO13:AO27" si="25">AJ13/((1+$C$4)^(Z13-1))</f>
        <v>14.913207547169804</v>
      </c>
      <c r="AP13" s="199">
        <f t="shared" ref="AP13:AP27" si="26">AK13/((1+$C$4)^(Z13-1))</f>
        <v>222.46037735849049</v>
      </c>
      <c r="AQ13" s="196">
        <f>AQ12+AL13</f>
        <v>541.67044025157224</v>
      </c>
      <c r="AR13" s="197">
        <f t="shared" ref="AR13:AU27" si="27">AR12+AM13</f>
        <v>427.54716981132071</v>
      </c>
      <c r="AS13" s="197">
        <f t="shared" si="27"/>
        <v>5520.2825660377357</v>
      </c>
      <c r="AT13" s="197">
        <f t="shared" si="27"/>
        <v>-4978.6121257861632</v>
      </c>
      <c r="AU13" s="199">
        <f t="shared" si="27"/>
        <v>-4551.0649559748426</v>
      </c>
      <c r="AV13" s="197"/>
      <c r="AX13" s="204">
        <v>2</v>
      </c>
      <c r="AY13" s="225">
        <f>'Energy NPV'!$D66</f>
        <v>8.27</v>
      </c>
      <c r="AZ13" s="197">
        <f>'Energy margins'!$S$12</f>
        <v>55</v>
      </c>
      <c r="BA13" s="197">
        <f t="shared" ref="BA13:BA27" si="28">AY13*AZ13</f>
        <v>454.84999999999997</v>
      </c>
      <c r="BB13" s="197">
        <f>'Margins summary'!$U$14</f>
        <v>220</v>
      </c>
      <c r="BC13" s="197">
        <f t="shared" ref="BC13:BC27" si="29">BA13+BB13</f>
        <v>674.84999999999991</v>
      </c>
      <c r="BD13" s="197"/>
      <c r="BE13" s="897">
        <f>'Energy NPV'!U66</f>
        <v>439.04199999999997</v>
      </c>
      <c r="BF13" s="197"/>
      <c r="BG13" s="197">
        <f t="shared" ref="BG13:BG27" si="30">BD13+BE13+BF13</f>
        <v>439.04199999999997</v>
      </c>
      <c r="BH13" s="197">
        <f t="shared" si="4"/>
        <v>15.807999999999993</v>
      </c>
      <c r="BI13" s="197">
        <f t="shared" si="5"/>
        <v>235.80799999999994</v>
      </c>
      <c r="BJ13" s="196">
        <f t="shared" ref="BJ13:BJ27" si="31">BA13/((1+$D$4)^(AX13-1))</f>
        <v>445.93137254901956</v>
      </c>
      <c r="BK13" s="197">
        <f t="shared" ref="BK13:BK27" si="32">BB13/((1+$D$4)^(AX13-1))</f>
        <v>215.68627450980392</v>
      </c>
      <c r="BL13" s="197">
        <f t="shared" ref="BL13:BL27" si="33">BG13/((1+$D$4)^(AX13-1))</f>
        <v>430.43333333333328</v>
      </c>
      <c r="BM13" s="197">
        <f t="shared" ref="BM13:BM27" si="34">BH13/((1+$D$4)^(AX13-1))</f>
        <v>15.498039215686267</v>
      </c>
      <c r="BN13" s="199">
        <f t="shared" ref="BN13:BN27" si="35">BI13/((1+$D$4)^(AX13-1))</f>
        <v>231.18431372549014</v>
      </c>
      <c r="BO13" s="196">
        <f>BO12+BJ13</f>
        <v>558.49803921568616</v>
      </c>
      <c r="BP13" s="197">
        <f t="shared" ref="BP13:BS27" si="36">BP12+BK13</f>
        <v>435.68627450980392</v>
      </c>
      <c r="BQ13" s="197">
        <f t="shared" si="36"/>
        <v>5536.525333333333</v>
      </c>
      <c r="BR13" s="197">
        <f t="shared" si="36"/>
        <v>-4978.0272941176472</v>
      </c>
      <c r="BS13" s="199">
        <f t="shared" si="36"/>
        <v>-4542.341019607843</v>
      </c>
      <c r="BT13" s="197"/>
      <c r="BV13" s="204">
        <v>2</v>
      </c>
      <c r="BW13" s="225">
        <f>'Energy NPV'!$D66</f>
        <v>8.27</v>
      </c>
      <c r="BX13" s="197">
        <f>'Energy margins'!$S$12</f>
        <v>55</v>
      </c>
      <c r="BY13" s="197">
        <f t="shared" ref="BY13:BY27" si="37">BW13*BX13</f>
        <v>454.84999999999997</v>
      </c>
      <c r="BZ13" s="197">
        <f>'Margins summary'!$U$14</f>
        <v>220</v>
      </c>
      <c r="CA13" s="197">
        <f t="shared" ref="CA13:CA27" si="38">BY13+BZ13</f>
        <v>674.84999999999991</v>
      </c>
      <c r="CB13" s="197"/>
      <c r="CC13" s="897">
        <f>'Energy NPV'!U66</f>
        <v>439.04199999999997</v>
      </c>
      <c r="CD13" s="197"/>
      <c r="CE13" s="197">
        <f t="shared" ref="CE13:CE27" si="39">CB13+CC13+CD13</f>
        <v>439.04199999999997</v>
      </c>
      <c r="CF13" s="197">
        <f t="shared" si="6"/>
        <v>15.807999999999993</v>
      </c>
      <c r="CG13" s="197">
        <f t="shared" si="7"/>
        <v>235.80799999999994</v>
      </c>
      <c r="CH13" s="196">
        <f t="shared" ref="CH13:CH27" si="40">BY13/((1+$E$4)^(BV13-1))</f>
        <v>421.15740740740733</v>
      </c>
      <c r="CI13" s="197">
        <f t="shared" ref="CI13:CI27" si="41">BZ13/((1+$E$4)^(BV13-1))</f>
        <v>203.7037037037037</v>
      </c>
      <c r="CJ13" s="197">
        <f t="shared" ref="CJ13:CJ27" si="42">CE13/((1+$E$4)^(BV13-1))</f>
        <v>406.5203703703703</v>
      </c>
      <c r="CK13" s="197">
        <f t="shared" ref="CK13:CK27" si="43">CF13/((1+$E$4)^(BV13-1))</f>
        <v>14.637037037037029</v>
      </c>
      <c r="CL13" s="199">
        <f t="shared" ref="CL13:CL27" si="44">CG13/((1+$E$4)^(BV13-1))</f>
        <v>218.34074074074067</v>
      </c>
      <c r="CM13" s="196">
        <f>CM12+CH13</f>
        <v>533.724074074074</v>
      </c>
      <c r="CN13" s="197">
        <f t="shared" ref="CN13:CN27" si="45">CN12+CI13</f>
        <v>423.7037037037037</v>
      </c>
      <c r="CO13" s="197">
        <f t="shared" ref="CO13:CO27" si="46">CO12+CJ13</f>
        <v>5512.6123703703697</v>
      </c>
      <c r="CP13" s="197">
        <f t="shared" ref="CP13:CP27" si="47">CP12+CK13</f>
        <v>-4978.8882962962962</v>
      </c>
      <c r="CQ13" s="199">
        <f t="shared" ref="CQ13:CQ27" si="48">CQ12+CL13</f>
        <v>-4555.1845925925927</v>
      </c>
      <c r="CR13" s="197"/>
      <c r="CT13" s="204">
        <f>CT12+1</f>
        <v>2</v>
      </c>
      <c r="CU13" s="225">
        <f>'Energy NPV'!$D66</f>
        <v>8.27</v>
      </c>
      <c r="CV13" s="197">
        <f>'Energy margins'!$S$12</f>
        <v>55</v>
      </c>
      <c r="CW13" s="197">
        <f t="shared" ref="CW13:CW27" si="49">CU13*CV13</f>
        <v>454.84999999999997</v>
      </c>
      <c r="CX13" s="197">
        <f>'Margins summary'!$U$14</f>
        <v>220</v>
      </c>
      <c r="CY13" s="197">
        <f t="shared" ref="CY13:CY27" si="50">CW13+CX13</f>
        <v>674.84999999999991</v>
      </c>
      <c r="CZ13" s="197"/>
      <c r="DA13" s="897">
        <f>'Energy NPV'!U66</f>
        <v>439.04199999999997</v>
      </c>
      <c r="DB13" s="197"/>
      <c r="DC13" s="197">
        <f t="shared" ref="DC13:DC27" si="51">CZ13+DA13+DB13</f>
        <v>439.04199999999997</v>
      </c>
      <c r="DD13" s="197">
        <f t="shared" si="8"/>
        <v>15.807999999999993</v>
      </c>
      <c r="DE13" s="197">
        <f t="shared" si="9"/>
        <v>235.80799999999994</v>
      </c>
      <c r="DF13" s="196">
        <f t="shared" ref="DF13:DF27" si="52">CW13/((1+$F$4)^(CT13-1))</f>
        <v>454.84999999999997</v>
      </c>
      <c r="DG13" s="197">
        <f t="shared" ref="DG13:DG27" si="53">CX13/((1+$F$4)^(CT13-1))</f>
        <v>220</v>
      </c>
      <c r="DH13" s="197">
        <f t="shared" ref="DH13:DH27" si="54">DC13/((1+$F$4)^(CT13-1))</f>
        <v>439.04199999999997</v>
      </c>
      <c r="DI13" s="197">
        <f t="shared" ref="DI13:DI27" si="55">DD13/((1+$F$4)^(CT13-1))</f>
        <v>15.807999999999993</v>
      </c>
      <c r="DJ13" s="199">
        <f t="shared" ref="DJ13:DJ27" si="56">DE13/((1+$F$4)^(CT13-1))</f>
        <v>235.80799999999994</v>
      </c>
      <c r="DK13" s="196">
        <f>DK12+DF13</f>
        <v>567.41666666666663</v>
      </c>
      <c r="DL13" s="197">
        <f t="shared" ref="DL13:DL27" si="57">DL12+DG13</f>
        <v>440</v>
      </c>
      <c r="DM13" s="197">
        <f t="shared" ref="DM13:DM27" si="58">DM12+DH13</f>
        <v>5545.134</v>
      </c>
      <c r="DN13" s="197">
        <f t="shared" ref="DN13:DN27" si="59">DN12+DI13</f>
        <v>-4977.717333333333</v>
      </c>
      <c r="DO13" s="199">
        <f t="shared" ref="DO13:DO27" si="60">DO12+DJ13</f>
        <v>-4537.717333333333</v>
      </c>
    </row>
    <row r="14" spans="2:119" x14ac:dyDescent="0.3">
      <c r="B14" s="204">
        <f t="shared" ref="B14:B27" si="61">B13+1</f>
        <v>3</v>
      </c>
      <c r="C14" s="197">
        <f>'Energy NPV'!$D67</f>
        <v>10.926666666666668</v>
      </c>
      <c r="D14" s="197">
        <f>'Energy margins'!$S$12</f>
        <v>55</v>
      </c>
      <c r="E14" s="197">
        <f t="shared" si="10"/>
        <v>600.9666666666667</v>
      </c>
      <c r="F14" s="197">
        <f>'Margins summary'!$U$14</f>
        <v>220</v>
      </c>
      <c r="G14" s="197">
        <f t="shared" si="11"/>
        <v>820.9666666666667</v>
      </c>
      <c r="H14" s="197"/>
      <c r="I14" s="897">
        <f>'Energy NPV'!U67</f>
        <v>439.04199999999997</v>
      </c>
      <c r="J14" s="197"/>
      <c r="K14" s="197">
        <f t="shared" si="12"/>
        <v>439.04199999999997</v>
      </c>
      <c r="L14" s="197">
        <f t="shared" si="0"/>
        <v>161.92466666666672</v>
      </c>
      <c r="M14" s="197">
        <f t="shared" si="1"/>
        <v>381.92466666666672</v>
      </c>
      <c r="N14" s="196">
        <f t="shared" si="13"/>
        <v>555.62746548323469</v>
      </c>
      <c r="O14" s="197">
        <f t="shared" si="14"/>
        <v>203.40236686390531</v>
      </c>
      <c r="P14" s="197">
        <f t="shared" si="15"/>
        <v>405.91900887573956</v>
      </c>
      <c r="Q14" s="197">
        <f t="shared" si="16"/>
        <v>149.70845660749509</v>
      </c>
      <c r="R14" s="199">
        <f t="shared" si="17"/>
        <v>353.11082347140041</v>
      </c>
      <c r="S14" s="196">
        <f t="shared" ref="S14:S27" si="62">S13+N14</f>
        <v>1105.5499013806705</v>
      </c>
      <c r="T14" s="197">
        <f t="shared" si="18"/>
        <v>634.94082840236683</v>
      </c>
      <c r="U14" s="197">
        <f t="shared" si="18"/>
        <v>5934.166778106508</v>
      </c>
      <c r="V14" s="197">
        <f t="shared" si="18"/>
        <v>-4828.6168767258378</v>
      </c>
      <c r="W14" s="199">
        <f t="shared" si="18"/>
        <v>-4193.6760483234712</v>
      </c>
      <c r="X14" s="197"/>
      <c r="Z14" s="204">
        <f t="shared" ref="Z14:Z27" si="63">Z13+1</f>
        <v>3</v>
      </c>
      <c r="AA14" s="225">
        <f>'Energy NPV'!$D67</f>
        <v>10.926666666666668</v>
      </c>
      <c r="AB14" s="197">
        <f>'Energy margins'!$S$12</f>
        <v>55</v>
      </c>
      <c r="AC14" s="197">
        <f t="shared" si="19"/>
        <v>600.9666666666667</v>
      </c>
      <c r="AD14" s="197">
        <f>'Margins summary'!$U$14</f>
        <v>220</v>
      </c>
      <c r="AE14" s="197">
        <f t="shared" si="20"/>
        <v>820.9666666666667</v>
      </c>
      <c r="AF14" s="197"/>
      <c r="AG14" s="897">
        <f>'Energy NPV'!U67</f>
        <v>439.04199999999997</v>
      </c>
      <c r="AH14" s="197"/>
      <c r="AI14" s="197">
        <f t="shared" si="21"/>
        <v>439.04199999999997</v>
      </c>
      <c r="AJ14" s="197">
        <f t="shared" si="2"/>
        <v>161.92466666666672</v>
      </c>
      <c r="AK14" s="197">
        <f t="shared" si="3"/>
        <v>381.92466666666672</v>
      </c>
      <c r="AL14" s="196">
        <f t="shared" si="22"/>
        <v>534.85819390055769</v>
      </c>
      <c r="AM14" s="197">
        <f t="shared" si="23"/>
        <v>195.79921680313277</v>
      </c>
      <c r="AN14" s="197">
        <f t="shared" si="24"/>
        <v>390.74581701673185</v>
      </c>
      <c r="AO14" s="197">
        <f t="shared" si="25"/>
        <v>144.11237688382582</v>
      </c>
      <c r="AP14" s="199">
        <f t="shared" si="26"/>
        <v>339.91159368695861</v>
      </c>
      <c r="AQ14" s="196">
        <f t="shared" ref="AQ14:AQ27" si="64">AQ13+AL14</f>
        <v>1076.5286341521301</v>
      </c>
      <c r="AR14" s="197">
        <f t="shared" si="27"/>
        <v>623.34638661445342</v>
      </c>
      <c r="AS14" s="197">
        <f t="shared" si="27"/>
        <v>5911.0283830544677</v>
      </c>
      <c r="AT14" s="197">
        <f t="shared" si="27"/>
        <v>-4834.4997489023372</v>
      </c>
      <c r="AU14" s="199">
        <f t="shared" si="27"/>
        <v>-4211.1533622878842</v>
      </c>
      <c r="AV14" s="197"/>
      <c r="AX14" s="204">
        <f t="shared" ref="AX14:AX27" si="65">AX13+1</f>
        <v>3</v>
      </c>
      <c r="AY14" s="225">
        <f>'Energy NPV'!$D67</f>
        <v>10.926666666666668</v>
      </c>
      <c r="AZ14" s="197">
        <f>'Energy margins'!$S$12</f>
        <v>55</v>
      </c>
      <c r="BA14" s="197">
        <f t="shared" si="28"/>
        <v>600.9666666666667</v>
      </c>
      <c r="BB14" s="197">
        <f>'Margins summary'!$U$14</f>
        <v>220</v>
      </c>
      <c r="BC14" s="197">
        <f t="shared" si="29"/>
        <v>820.9666666666667</v>
      </c>
      <c r="BD14" s="197"/>
      <c r="BE14" s="897">
        <f>'Energy NPV'!U67</f>
        <v>439.04199999999997</v>
      </c>
      <c r="BF14" s="197"/>
      <c r="BG14" s="197">
        <f t="shared" si="30"/>
        <v>439.04199999999997</v>
      </c>
      <c r="BH14" s="197">
        <f t="shared" si="4"/>
        <v>161.92466666666672</v>
      </c>
      <c r="BI14" s="197">
        <f t="shared" si="5"/>
        <v>381.92466666666672</v>
      </c>
      <c r="BJ14" s="196">
        <f t="shared" si="31"/>
        <v>577.63039856465468</v>
      </c>
      <c r="BK14" s="197">
        <f t="shared" si="32"/>
        <v>211.4571318723568</v>
      </c>
      <c r="BL14" s="197">
        <f t="shared" si="33"/>
        <v>421.99346405228755</v>
      </c>
      <c r="BM14" s="197">
        <f t="shared" si="34"/>
        <v>155.63693451236711</v>
      </c>
      <c r="BN14" s="199">
        <f t="shared" si="35"/>
        <v>367.09406638472387</v>
      </c>
      <c r="BO14" s="196">
        <f t="shared" ref="BO14:BO27" si="66">BO13+BJ14</f>
        <v>1136.1284377803408</v>
      </c>
      <c r="BP14" s="197">
        <f t="shared" si="36"/>
        <v>647.14340638216072</v>
      </c>
      <c r="BQ14" s="197">
        <f t="shared" si="36"/>
        <v>5958.5187973856209</v>
      </c>
      <c r="BR14" s="197">
        <f t="shared" si="36"/>
        <v>-4822.3903596052805</v>
      </c>
      <c r="BS14" s="199">
        <f t="shared" si="36"/>
        <v>-4175.2469532231189</v>
      </c>
      <c r="BT14" s="197"/>
      <c r="BV14" s="204">
        <f t="shared" ref="BV14:BV27" si="67">BV13+1</f>
        <v>3</v>
      </c>
      <c r="BW14" s="225">
        <f>'Energy NPV'!$D67</f>
        <v>10.926666666666668</v>
      </c>
      <c r="BX14" s="197">
        <f>'Energy margins'!$S$12</f>
        <v>55</v>
      </c>
      <c r="BY14" s="197">
        <f t="shared" si="37"/>
        <v>600.9666666666667</v>
      </c>
      <c r="BZ14" s="197">
        <f>'Margins summary'!$U$14</f>
        <v>220</v>
      </c>
      <c r="CA14" s="197">
        <f t="shared" si="38"/>
        <v>820.9666666666667</v>
      </c>
      <c r="CB14" s="197"/>
      <c r="CC14" s="897">
        <f>'Energy NPV'!U67</f>
        <v>439.04199999999997</v>
      </c>
      <c r="CD14" s="197"/>
      <c r="CE14" s="197">
        <f t="shared" si="39"/>
        <v>439.04199999999997</v>
      </c>
      <c r="CF14" s="197">
        <f t="shared" si="6"/>
        <v>161.92466666666672</v>
      </c>
      <c r="CG14" s="197">
        <f t="shared" si="7"/>
        <v>381.92466666666672</v>
      </c>
      <c r="CH14" s="196">
        <f t="shared" si="40"/>
        <v>515.23205304069495</v>
      </c>
      <c r="CI14" s="197">
        <f t="shared" si="41"/>
        <v>188.6145404663923</v>
      </c>
      <c r="CJ14" s="197">
        <f t="shared" si="42"/>
        <v>376.40775034293546</v>
      </c>
      <c r="CK14" s="197">
        <f t="shared" si="43"/>
        <v>138.82430269775952</v>
      </c>
      <c r="CL14" s="199">
        <f t="shared" si="44"/>
        <v>327.43884316415182</v>
      </c>
      <c r="CM14" s="196">
        <f t="shared" ref="CM14:CM27" si="68">CM13+CH14</f>
        <v>1048.9561271147691</v>
      </c>
      <c r="CN14" s="197">
        <f t="shared" si="45"/>
        <v>612.31824417009602</v>
      </c>
      <c r="CO14" s="197">
        <f t="shared" si="46"/>
        <v>5889.020120713305</v>
      </c>
      <c r="CP14" s="197">
        <f t="shared" si="47"/>
        <v>-4840.0639935985364</v>
      </c>
      <c r="CQ14" s="199">
        <f t="shared" si="48"/>
        <v>-4227.7457494284408</v>
      </c>
      <c r="CR14" s="197"/>
      <c r="CT14" s="204">
        <f t="shared" ref="CT14:CT27" si="69">CT13+1</f>
        <v>3</v>
      </c>
      <c r="CU14" s="225">
        <f>'Energy NPV'!$D67</f>
        <v>10.926666666666668</v>
      </c>
      <c r="CV14" s="197">
        <f>'Energy margins'!$S$12</f>
        <v>55</v>
      </c>
      <c r="CW14" s="197">
        <f t="shared" si="49"/>
        <v>600.9666666666667</v>
      </c>
      <c r="CX14" s="197">
        <f>'Margins summary'!$U$14</f>
        <v>220</v>
      </c>
      <c r="CY14" s="197">
        <f t="shared" si="50"/>
        <v>820.9666666666667</v>
      </c>
      <c r="CZ14" s="197"/>
      <c r="DA14" s="897">
        <f>'Energy NPV'!U67</f>
        <v>439.04199999999997</v>
      </c>
      <c r="DB14" s="197"/>
      <c r="DC14" s="197">
        <f t="shared" si="51"/>
        <v>439.04199999999997</v>
      </c>
      <c r="DD14" s="197">
        <f t="shared" si="8"/>
        <v>161.92466666666672</v>
      </c>
      <c r="DE14" s="197">
        <f t="shared" si="9"/>
        <v>381.92466666666672</v>
      </c>
      <c r="DF14" s="196">
        <f t="shared" si="52"/>
        <v>600.9666666666667</v>
      </c>
      <c r="DG14" s="197">
        <f t="shared" si="53"/>
        <v>220</v>
      </c>
      <c r="DH14" s="197">
        <f t="shared" si="54"/>
        <v>439.04199999999997</v>
      </c>
      <c r="DI14" s="197">
        <f t="shared" si="55"/>
        <v>161.92466666666672</v>
      </c>
      <c r="DJ14" s="199">
        <f t="shared" si="56"/>
        <v>381.92466666666672</v>
      </c>
      <c r="DK14" s="196">
        <f t="shared" ref="DK14:DK27" si="70">DK13+DF14</f>
        <v>1168.3833333333332</v>
      </c>
      <c r="DL14" s="197">
        <f t="shared" si="57"/>
        <v>660</v>
      </c>
      <c r="DM14" s="197">
        <f t="shared" si="58"/>
        <v>5984.1760000000004</v>
      </c>
      <c r="DN14" s="197">
        <f t="shared" si="59"/>
        <v>-4815.7926666666663</v>
      </c>
      <c r="DO14" s="199">
        <f t="shared" si="60"/>
        <v>-4155.7926666666663</v>
      </c>
    </row>
    <row r="15" spans="2:119" x14ac:dyDescent="0.3">
      <c r="B15" s="204">
        <f t="shared" si="61"/>
        <v>4</v>
      </c>
      <c r="C15" s="225">
        <f>'Energy NPV'!$D68</f>
        <v>11.617000000000001</v>
      </c>
      <c r="D15" s="197">
        <f>'Energy margins'!$S$12</f>
        <v>55</v>
      </c>
      <c r="E15" s="197">
        <f t="shared" si="10"/>
        <v>638.93500000000006</v>
      </c>
      <c r="F15" s="197">
        <f>'Margins summary'!$U$14</f>
        <v>220</v>
      </c>
      <c r="G15" s="197">
        <f t="shared" si="11"/>
        <v>858.93500000000006</v>
      </c>
      <c r="H15" s="197"/>
      <c r="I15" s="897">
        <f>'Energy NPV'!U68</f>
        <v>278.04200000000003</v>
      </c>
      <c r="J15" s="197"/>
      <c r="K15" s="197">
        <f t="shared" si="12"/>
        <v>278.04200000000003</v>
      </c>
      <c r="L15" s="197">
        <f t="shared" si="0"/>
        <v>360.89300000000003</v>
      </c>
      <c r="M15" s="197">
        <f t="shared" si="1"/>
        <v>580.89300000000003</v>
      </c>
      <c r="N15" s="196">
        <f t="shared" si="13"/>
        <v>568.01088842740103</v>
      </c>
      <c r="O15" s="197">
        <f t="shared" si="14"/>
        <v>195.57919890760127</v>
      </c>
      <c r="P15" s="197">
        <f t="shared" si="15"/>
        <v>247.17832555757852</v>
      </c>
      <c r="Q15" s="197">
        <f t="shared" si="16"/>
        <v>320.83256286982248</v>
      </c>
      <c r="R15" s="199">
        <f t="shared" si="17"/>
        <v>516.41176177742375</v>
      </c>
      <c r="S15" s="196">
        <f t="shared" si="62"/>
        <v>1673.5607898080716</v>
      </c>
      <c r="T15" s="197">
        <f t="shared" si="18"/>
        <v>830.5200273099681</v>
      </c>
      <c r="U15" s="197">
        <f t="shared" si="18"/>
        <v>6181.3451036640863</v>
      </c>
      <c r="V15" s="197">
        <f t="shared" si="18"/>
        <v>-4507.7843138560156</v>
      </c>
      <c r="W15" s="199">
        <f t="shared" si="18"/>
        <v>-3677.2642865460475</v>
      </c>
      <c r="X15" s="197"/>
      <c r="Z15" s="204">
        <f t="shared" si="63"/>
        <v>4</v>
      </c>
      <c r="AA15" s="225">
        <f>'Energy NPV'!$D68</f>
        <v>11.617000000000001</v>
      </c>
      <c r="AB15" s="197">
        <f>'Energy margins'!$S$12</f>
        <v>55</v>
      </c>
      <c r="AC15" s="197">
        <f t="shared" si="19"/>
        <v>638.93500000000006</v>
      </c>
      <c r="AD15" s="197">
        <f>'Margins summary'!$U$14</f>
        <v>220</v>
      </c>
      <c r="AE15" s="197">
        <f t="shared" si="20"/>
        <v>858.93500000000006</v>
      </c>
      <c r="AF15" s="197"/>
      <c r="AG15" s="897">
        <f>'Energy NPV'!U68</f>
        <v>278.04200000000003</v>
      </c>
      <c r="AH15" s="197"/>
      <c r="AI15" s="197">
        <f t="shared" si="21"/>
        <v>278.04200000000003</v>
      </c>
      <c r="AJ15" s="197">
        <f t="shared" si="2"/>
        <v>360.89300000000003</v>
      </c>
      <c r="AK15" s="197">
        <f t="shared" si="3"/>
        <v>580.89300000000003</v>
      </c>
      <c r="AL15" s="196">
        <f t="shared" si="22"/>
        <v>536.46214660424369</v>
      </c>
      <c r="AM15" s="197">
        <f t="shared" si="23"/>
        <v>184.71624226710637</v>
      </c>
      <c r="AN15" s="197">
        <f t="shared" si="24"/>
        <v>233.44942469286724</v>
      </c>
      <c r="AO15" s="197">
        <f t="shared" si="25"/>
        <v>303.01272191137645</v>
      </c>
      <c r="AP15" s="199">
        <f t="shared" si="26"/>
        <v>487.72896417848278</v>
      </c>
      <c r="AQ15" s="196">
        <f t="shared" si="64"/>
        <v>1612.9907807563736</v>
      </c>
      <c r="AR15" s="197">
        <f t="shared" si="27"/>
        <v>808.06262888155982</v>
      </c>
      <c r="AS15" s="197">
        <f t="shared" si="27"/>
        <v>6144.4778077473347</v>
      </c>
      <c r="AT15" s="197">
        <f t="shared" si="27"/>
        <v>-4531.4870269909607</v>
      </c>
      <c r="AU15" s="199">
        <f t="shared" si="27"/>
        <v>-3723.4243981094014</v>
      </c>
      <c r="AV15" s="197"/>
      <c r="AX15" s="204">
        <f t="shared" si="65"/>
        <v>4</v>
      </c>
      <c r="AY15" s="225">
        <f>'Energy NPV'!$D68</f>
        <v>11.617000000000001</v>
      </c>
      <c r="AZ15" s="197">
        <f>'Energy margins'!$S$12</f>
        <v>55</v>
      </c>
      <c r="BA15" s="197">
        <f t="shared" si="28"/>
        <v>638.93500000000006</v>
      </c>
      <c r="BB15" s="197">
        <f>'Margins summary'!$U$14</f>
        <v>220</v>
      </c>
      <c r="BC15" s="197">
        <f t="shared" si="29"/>
        <v>858.93500000000006</v>
      </c>
      <c r="BD15" s="197"/>
      <c r="BE15" s="897">
        <f>'Energy NPV'!U68</f>
        <v>278.04200000000003</v>
      </c>
      <c r="BF15" s="197"/>
      <c r="BG15" s="197">
        <f t="shared" si="30"/>
        <v>278.04200000000003</v>
      </c>
      <c r="BH15" s="197">
        <f t="shared" si="4"/>
        <v>360.89300000000003</v>
      </c>
      <c r="BI15" s="197">
        <f t="shared" si="5"/>
        <v>580.89300000000003</v>
      </c>
      <c r="BJ15" s="196">
        <f t="shared" si="31"/>
        <v>602.08272082381598</v>
      </c>
      <c r="BK15" s="197">
        <f t="shared" si="32"/>
        <v>207.31091360034981</v>
      </c>
      <c r="BL15" s="197">
        <f t="shared" si="33"/>
        <v>262.00518654212937</v>
      </c>
      <c r="BM15" s="197">
        <f t="shared" si="34"/>
        <v>340.07753428168655</v>
      </c>
      <c r="BN15" s="199">
        <f t="shared" si="35"/>
        <v>547.38844788203642</v>
      </c>
      <c r="BO15" s="196">
        <f t="shared" si="66"/>
        <v>1738.2111586041569</v>
      </c>
      <c r="BP15" s="197">
        <f t="shared" si="36"/>
        <v>854.45431998251047</v>
      </c>
      <c r="BQ15" s="197">
        <f t="shared" si="36"/>
        <v>6220.5239839277501</v>
      </c>
      <c r="BR15" s="197">
        <f t="shared" si="36"/>
        <v>-4482.3128253235936</v>
      </c>
      <c r="BS15" s="199">
        <f t="shared" si="36"/>
        <v>-3627.8585053410825</v>
      </c>
      <c r="BT15" s="197"/>
      <c r="BV15" s="204">
        <f t="shared" si="67"/>
        <v>4</v>
      </c>
      <c r="BW15" s="225">
        <f>'Energy NPV'!$D68</f>
        <v>11.617000000000001</v>
      </c>
      <c r="BX15" s="197">
        <f>'Energy margins'!$S$12</f>
        <v>55</v>
      </c>
      <c r="BY15" s="197">
        <f t="shared" si="37"/>
        <v>638.93500000000006</v>
      </c>
      <c r="BZ15" s="197">
        <f>'Margins summary'!$U$14</f>
        <v>220</v>
      </c>
      <c r="CA15" s="197">
        <f t="shared" si="38"/>
        <v>858.93500000000006</v>
      </c>
      <c r="CB15" s="197"/>
      <c r="CC15" s="897">
        <f>'Energy NPV'!U68</f>
        <v>278.04200000000003</v>
      </c>
      <c r="CD15" s="197"/>
      <c r="CE15" s="197">
        <f t="shared" si="39"/>
        <v>278.04200000000003</v>
      </c>
      <c r="CF15" s="197">
        <f t="shared" si="6"/>
        <v>360.89300000000003</v>
      </c>
      <c r="CG15" s="197">
        <f t="shared" si="7"/>
        <v>580.89300000000003</v>
      </c>
      <c r="CH15" s="196">
        <f t="shared" si="40"/>
        <v>507.20720291622212</v>
      </c>
      <c r="CI15" s="197">
        <f t="shared" si="41"/>
        <v>174.64309302443732</v>
      </c>
      <c r="CJ15" s="197">
        <f t="shared" si="42"/>
        <v>220.71870395773001</v>
      </c>
      <c r="CK15" s="197">
        <f t="shared" si="43"/>
        <v>286.48849895849207</v>
      </c>
      <c r="CL15" s="199">
        <f t="shared" si="44"/>
        <v>461.13159198292942</v>
      </c>
      <c r="CM15" s="196">
        <f t="shared" si="68"/>
        <v>1556.1633300309911</v>
      </c>
      <c r="CN15" s="197">
        <f t="shared" si="45"/>
        <v>786.96133719453337</v>
      </c>
      <c r="CO15" s="197">
        <f t="shared" si="46"/>
        <v>6109.7388246710352</v>
      </c>
      <c r="CP15" s="197">
        <f t="shared" si="47"/>
        <v>-4553.5754946400448</v>
      </c>
      <c r="CQ15" s="199">
        <f t="shared" si="48"/>
        <v>-3766.6141574455114</v>
      </c>
      <c r="CR15" s="197"/>
      <c r="CT15" s="204">
        <f t="shared" si="69"/>
        <v>4</v>
      </c>
      <c r="CU15" s="225">
        <f>'Energy NPV'!$D68</f>
        <v>11.617000000000001</v>
      </c>
      <c r="CV15" s="197">
        <f>'Energy margins'!$S$12</f>
        <v>55</v>
      </c>
      <c r="CW15" s="197">
        <f t="shared" si="49"/>
        <v>638.93500000000006</v>
      </c>
      <c r="CX15" s="197">
        <f>'Margins summary'!$U$14</f>
        <v>220</v>
      </c>
      <c r="CY15" s="197">
        <f t="shared" si="50"/>
        <v>858.93500000000006</v>
      </c>
      <c r="CZ15" s="197"/>
      <c r="DA15" s="897">
        <f>'Energy NPV'!U68</f>
        <v>278.04200000000003</v>
      </c>
      <c r="DB15" s="197"/>
      <c r="DC15" s="197">
        <f t="shared" si="51"/>
        <v>278.04200000000003</v>
      </c>
      <c r="DD15" s="197">
        <f t="shared" si="8"/>
        <v>360.89300000000003</v>
      </c>
      <c r="DE15" s="197">
        <f t="shared" si="9"/>
        <v>580.89300000000003</v>
      </c>
      <c r="DF15" s="196">
        <f t="shared" si="52"/>
        <v>638.93500000000006</v>
      </c>
      <c r="DG15" s="197">
        <f t="shared" si="53"/>
        <v>220</v>
      </c>
      <c r="DH15" s="197">
        <f t="shared" si="54"/>
        <v>278.04200000000003</v>
      </c>
      <c r="DI15" s="197">
        <f t="shared" si="55"/>
        <v>360.89300000000003</v>
      </c>
      <c r="DJ15" s="199">
        <f t="shared" si="56"/>
        <v>580.89300000000003</v>
      </c>
      <c r="DK15" s="196">
        <f t="shared" si="70"/>
        <v>1807.3183333333332</v>
      </c>
      <c r="DL15" s="197">
        <f t="shared" si="57"/>
        <v>880</v>
      </c>
      <c r="DM15" s="197">
        <f t="shared" si="58"/>
        <v>6262.2180000000008</v>
      </c>
      <c r="DN15" s="197">
        <f t="shared" si="59"/>
        <v>-4454.8996666666662</v>
      </c>
      <c r="DO15" s="199">
        <f t="shared" si="60"/>
        <v>-3574.8996666666662</v>
      </c>
    </row>
    <row r="16" spans="2:119" x14ac:dyDescent="0.3">
      <c r="B16" s="204">
        <f t="shared" si="61"/>
        <v>5</v>
      </c>
      <c r="C16" s="225">
        <f>'Energy NPV'!$D69</f>
        <v>11.617000000000001</v>
      </c>
      <c r="D16" s="197">
        <f>'Energy margins'!$S$12</f>
        <v>55</v>
      </c>
      <c r="E16" s="197">
        <f t="shared" si="10"/>
        <v>638.93500000000006</v>
      </c>
      <c r="F16" s="197">
        <f>'Margins summary'!$U$14</f>
        <v>220</v>
      </c>
      <c r="G16" s="197">
        <f t="shared" si="11"/>
        <v>858.93500000000006</v>
      </c>
      <c r="H16" s="197"/>
      <c r="I16" s="897">
        <f>'Energy NPV'!U69</f>
        <v>278.04200000000003</v>
      </c>
      <c r="J16" s="197"/>
      <c r="K16" s="197">
        <f t="shared" si="12"/>
        <v>278.04200000000003</v>
      </c>
      <c r="L16" s="197">
        <f t="shared" si="0"/>
        <v>360.89300000000003</v>
      </c>
      <c r="M16" s="197">
        <f t="shared" si="1"/>
        <v>580.89300000000003</v>
      </c>
      <c r="N16" s="196">
        <f t="shared" si="13"/>
        <v>546.16431579557786</v>
      </c>
      <c r="O16" s="197">
        <f t="shared" si="14"/>
        <v>188.05692202653967</v>
      </c>
      <c r="P16" s="197">
        <f t="shared" si="15"/>
        <v>237.67146688228701</v>
      </c>
      <c r="Q16" s="197">
        <f t="shared" si="16"/>
        <v>308.4928489132908</v>
      </c>
      <c r="R16" s="199">
        <f t="shared" si="17"/>
        <v>496.54977093983047</v>
      </c>
      <c r="S16" s="196">
        <f t="shared" si="62"/>
        <v>2219.7251056036494</v>
      </c>
      <c r="T16" s="197">
        <f t="shared" si="18"/>
        <v>1018.5769493365078</v>
      </c>
      <c r="U16" s="197">
        <f t="shared" si="18"/>
        <v>6419.0165705463733</v>
      </c>
      <c r="V16" s="197">
        <f t="shared" si="18"/>
        <v>-4199.2914649427248</v>
      </c>
      <c r="W16" s="199">
        <f t="shared" si="18"/>
        <v>-3180.714515606217</v>
      </c>
      <c r="X16" s="197"/>
      <c r="Z16" s="204">
        <f t="shared" si="63"/>
        <v>5</v>
      </c>
      <c r="AA16" s="225">
        <f>'Energy NPV'!$D69</f>
        <v>11.617000000000001</v>
      </c>
      <c r="AB16" s="197">
        <f>'Energy margins'!$S$12</f>
        <v>55</v>
      </c>
      <c r="AC16" s="197">
        <f t="shared" si="19"/>
        <v>638.93500000000006</v>
      </c>
      <c r="AD16" s="197">
        <f>'Margins summary'!$U$14</f>
        <v>220</v>
      </c>
      <c r="AE16" s="197">
        <f t="shared" si="20"/>
        <v>858.93500000000006</v>
      </c>
      <c r="AF16" s="197"/>
      <c r="AG16" s="897">
        <f>'Energy NPV'!U69</f>
        <v>278.04200000000003</v>
      </c>
      <c r="AH16" s="197"/>
      <c r="AI16" s="197">
        <f t="shared" si="21"/>
        <v>278.04200000000003</v>
      </c>
      <c r="AJ16" s="197">
        <f t="shared" si="2"/>
        <v>360.89300000000003</v>
      </c>
      <c r="AK16" s="197">
        <f t="shared" si="3"/>
        <v>580.89300000000003</v>
      </c>
      <c r="AL16" s="196">
        <f t="shared" si="22"/>
        <v>506.09636472098464</v>
      </c>
      <c r="AM16" s="197">
        <f t="shared" si="23"/>
        <v>174.2606059123645</v>
      </c>
      <c r="AN16" s="197">
        <f t="shared" si="24"/>
        <v>220.23530631402568</v>
      </c>
      <c r="AO16" s="197">
        <f t="shared" si="25"/>
        <v>285.86105840695893</v>
      </c>
      <c r="AP16" s="199">
        <f t="shared" si="26"/>
        <v>460.12166431932343</v>
      </c>
      <c r="AQ16" s="196">
        <f t="shared" si="64"/>
        <v>2119.0871454773583</v>
      </c>
      <c r="AR16" s="197">
        <f t="shared" si="27"/>
        <v>982.32323479392426</v>
      </c>
      <c r="AS16" s="197">
        <f t="shared" si="27"/>
        <v>6364.7131140613601</v>
      </c>
      <c r="AT16" s="197">
        <f t="shared" si="27"/>
        <v>-4245.6259685840014</v>
      </c>
      <c r="AU16" s="199">
        <f t="shared" si="27"/>
        <v>-3263.302733790078</v>
      </c>
      <c r="AV16" s="197"/>
      <c r="AX16" s="204">
        <f t="shared" si="65"/>
        <v>5</v>
      </c>
      <c r="AY16" s="225">
        <f>'Energy NPV'!$D69</f>
        <v>11.617000000000001</v>
      </c>
      <c r="AZ16" s="197">
        <f>'Energy margins'!$S$12</f>
        <v>55</v>
      </c>
      <c r="BA16" s="197">
        <f t="shared" si="28"/>
        <v>638.93500000000006</v>
      </c>
      <c r="BB16" s="197">
        <f>'Margins summary'!$U$14</f>
        <v>220</v>
      </c>
      <c r="BC16" s="197">
        <f t="shared" si="29"/>
        <v>858.93500000000006</v>
      </c>
      <c r="BD16" s="197"/>
      <c r="BE16" s="897">
        <f>'Energy NPV'!U69</f>
        <v>278.04200000000003</v>
      </c>
      <c r="BF16" s="197"/>
      <c r="BG16" s="197">
        <f t="shared" si="30"/>
        <v>278.04200000000003</v>
      </c>
      <c r="BH16" s="197">
        <f t="shared" si="4"/>
        <v>360.89300000000003</v>
      </c>
      <c r="BI16" s="197">
        <f t="shared" si="5"/>
        <v>580.89300000000003</v>
      </c>
      <c r="BJ16" s="196">
        <f t="shared" si="31"/>
        <v>590.27717727825097</v>
      </c>
      <c r="BK16" s="197">
        <f t="shared" si="32"/>
        <v>203.24599372583313</v>
      </c>
      <c r="BL16" s="197">
        <f t="shared" si="33"/>
        <v>256.8678299432641</v>
      </c>
      <c r="BM16" s="197">
        <f t="shared" si="34"/>
        <v>333.40934733498682</v>
      </c>
      <c r="BN16" s="199">
        <f t="shared" si="35"/>
        <v>536.65534106081998</v>
      </c>
      <c r="BO16" s="196">
        <f t="shared" si="66"/>
        <v>2328.4883358824081</v>
      </c>
      <c r="BP16" s="197">
        <f t="shared" si="36"/>
        <v>1057.7003137083436</v>
      </c>
      <c r="BQ16" s="197">
        <f t="shared" si="36"/>
        <v>6477.3918138710142</v>
      </c>
      <c r="BR16" s="197">
        <f t="shared" si="36"/>
        <v>-4148.9034779886069</v>
      </c>
      <c r="BS16" s="199">
        <f t="shared" si="36"/>
        <v>-3091.2031642802626</v>
      </c>
      <c r="BT16" s="197"/>
      <c r="BV16" s="204">
        <f t="shared" si="67"/>
        <v>5</v>
      </c>
      <c r="BW16" s="225">
        <f>'Energy NPV'!$D69</f>
        <v>11.617000000000001</v>
      </c>
      <c r="BX16" s="197">
        <f>'Energy margins'!$S$12</f>
        <v>55</v>
      </c>
      <c r="BY16" s="197">
        <f t="shared" si="37"/>
        <v>638.93500000000006</v>
      </c>
      <c r="BZ16" s="197">
        <f>'Margins summary'!$U$14</f>
        <v>220</v>
      </c>
      <c r="CA16" s="197">
        <f t="shared" si="38"/>
        <v>858.93500000000006</v>
      </c>
      <c r="CB16" s="197"/>
      <c r="CC16" s="897">
        <f>'Energy NPV'!U69</f>
        <v>278.04200000000003</v>
      </c>
      <c r="CD16" s="197"/>
      <c r="CE16" s="197">
        <f t="shared" si="39"/>
        <v>278.04200000000003</v>
      </c>
      <c r="CF16" s="197">
        <f t="shared" si="6"/>
        <v>360.89300000000003</v>
      </c>
      <c r="CG16" s="197">
        <f t="shared" si="7"/>
        <v>580.89300000000003</v>
      </c>
      <c r="CH16" s="196">
        <f t="shared" si="40"/>
        <v>469.63629899650192</v>
      </c>
      <c r="CI16" s="197">
        <f t="shared" si="41"/>
        <v>161.70656761521971</v>
      </c>
      <c r="CJ16" s="197">
        <f t="shared" si="42"/>
        <v>204.36917033123149</v>
      </c>
      <c r="CK16" s="197">
        <f t="shared" si="43"/>
        <v>265.26712866527043</v>
      </c>
      <c r="CL16" s="199">
        <f t="shared" si="44"/>
        <v>426.97369628049012</v>
      </c>
      <c r="CM16" s="196">
        <f t="shared" si="68"/>
        <v>2025.799629027493</v>
      </c>
      <c r="CN16" s="197">
        <f t="shared" si="45"/>
        <v>948.66790480975305</v>
      </c>
      <c r="CO16" s="197">
        <f t="shared" si="46"/>
        <v>6314.1079950022668</v>
      </c>
      <c r="CP16" s="197">
        <f t="shared" si="47"/>
        <v>-4288.3083659747745</v>
      </c>
      <c r="CQ16" s="199">
        <f t="shared" si="48"/>
        <v>-3339.6404611650214</v>
      </c>
      <c r="CR16" s="197"/>
      <c r="CT16" s="204">
        <f t="shared" si="69"/>
        <v>5</v>
      </c>
      <c r="CU16" s="225">
        <f>'Energy NPV'!$D69</f>
        <v>11.617000000000001</v>
      </c>
      <c r="CV16" s="197">
        <f>'Energy margins'!$S$12</f>
        <v>55</v>
      </c>
      <c r="CW16" s="197">
        <f t="shared" si="49"/>
        <v>638.93500000000006</v>
      </c>
      <c r="CX16" s="197">
        <f>'Margins summary'!$U$14</f>
        <v>220</v>
      </c>
      <c r="CY16" s="197">
        <f t="shared" si="50"/>
        <v>858.93500000000006</v>
      </c>
      <c r="CZ16" s="197"/>
      <c r="DA16" s="897">
        <f>'Energy NPV'!U69</f>
        <v>278.04200000000003</v>
      </c>
      <c r="DB16" s="197"/>
      <c r="DC16" s="197">
        <f t="shared" si="51"/>
        <v>278.04200000000003</v>
      </c>
      <c r="DD16" s="197">
        <f t="shared" si="8"/>
        <v>360.89300000000003</v>
      </c>
      <c r="DE16" s="197">
        <f t="shared" si="9"/>
        <v>580.89300000000003</v>
      </c>
      <c r="DF16" s="196">
        <f t="shared" si="52"/>
        <v>638.93500000000006</v>
      </c>
      <c r="DG16" s="197">
        <f t="shared" si="53"/>
        <v>220</v>
      </c>
      <c r="DH16" s="197">
        <f t="shared" si="54"/>
        <v>278.04200000000003</v>
      </c>
      <c r="DI16" s="197">
        <f t="shared" si="55"/>
        <v>360.89300000000003</v>
      </c>
      <c r="DJ16" s="199">
        <f t="shared" si="56"/>
        <v>580.89300000000003</v>
      </c>
      <c r="DK16" s="196">
        <f t="shared" si="70"/>
        <v>2446.2533333333331</v>
      </c>
      <c r="DL16" s="197">
        <f t="shared" si="57"/>
        <v>1100</v>
      </c>
      <c r="DM16" s="197">
        <f t="shared" si="58"/>
        <v>6540.2600000000011</v>
      </c>
      <c r="DN16" s="197">
        <f t="shared" si="59"/>
        <v>-4094.0066666666662</v>
      </c>
      <c r="DO16" s="199">
        <f t="shared" si="60"/>
        <v>-2994.0066666666662</v>
      </c>
    </row>
    <row r="17" spans="2:119" x14ac:dyDescent="0.3">
      <c r="B17" s="204">
        <f t="shared" si="61"/>
        <v>6</v>
      </c>
      <c r="C17" s="225">
        <f>'Energy NPV'!$D70</f>
        <v>11.617000000000001</v>
      </c>
      <c r="D17" s="197">
        <f>'Energy margins'!$S$12</f>
        <v>55</v>
      </c>
      <c r="E17" s="197">
        <f t="shared" si="10"/>
        <v>638.93500000000006</v>
      </c>
      <c r="F17" s="197">
        <f>'Margins summary'!$U$14</f>
        <v>220</v>
      </c>
      <c r="G17" s="197">
        <f t="shared" si="11"/>
        <v>858.93500000000006</v>
      </c>
      <c r="H17" s="197"/>
      <c r="I17" s="897">
        <f>'Energy NPV'!U70</f>
        <v>278.04200000000003</v>
      </c>
      <c r="J17" s="197"/>
      <c r="K17" s="197">
        <f t="shared" si="12"/>
        <v>278.04200000000003</v>
      </c>
      <c r="L17" s="197">
        <f t="shared" si="0"/>
        <v>360.89300000000003</v>
      </c>
      <c r="M17" s="197">
        <f t="shared" si="1"/>
        <v>580.89300000000003</v>
      </c>
      <c r="N17" s="196">
        <f t="shared" si="13"/>
        <v>525.15799595728629</v>
      </c>
      <c r="O17" s="197">
        <f t="shared" si="14"/>
        <v>180.82396348705734</v>
      </c>
      <c r="P17" s="197">
        <f t="shared" si="15"/>
        <v>228.53025661758366</v>
      </c>
      <c r="Q17" s="197">
        <f t="shared" si="16"/>
        <v>296.62773933970266</v>
      </c>
      <c r="R17" s="199">
        <f t="shared" si="17"/>
        <v>477.45170282676003</v>
      </c>
      <c r="S17" s="196">
        <f t="shared" si="62"/>
        <v>2744.8831015609358</v>
      </c>
      <c r="T17" s="197">
        <f t="shared" si="18"/>
        <v>1199.4009128235652</v>
      </c>
      <c r="U17" s="197">
        <f t="shared" si="18"/>
        <v>6647.5468271639566</v>
      </c>
      <c r="V17" s="197">
        <f t="shared" si="18"/>
        <v>-3902.6637256030222</v>
      </c>
      <c r="W17" s="199">
        <f t="shared" si="18"/>
        <v>-2703.2628127794569</v>
      </c>
      <c r="X17" s="197"/>
      <c r="Z17" s="204">
        <f t="shared" si="63"/>
        <v>6</v>
      </c>
      <c r="AA17" s="225">
        <f>'Energy NPV'!$D70</f>
        <v>11.617000000000001</v>
      </c>
      <c r="AB17" s="197">
        <f>'Energy margins'!$S$12</f>
        <v>55</v>
      </c>
      <c r="AC17" s="197">
        <f t="shared" si="19"/>
        <v>638.93500000000006</v>
      </c>
      <c r="AD17" s="197">
        <f>'Margins summary'!$U$14</f>
        <v>220</v>
      </c>
      <c r="AE17" s="197">
        <f t="shared" si="20"/>
        <v>858.93500000000006</v>
      </c>
      <c r="AF17" s="197"/>
      <c r="AG17" s="897">
        <f>'Energy NPV'!U70</f>
        <v>278.04200000000003</v>
      </c>
      <c r="AH17" s="197"/>
      <c r="AI17" s="197">
        <f t="shared" si="21"/>
        <v>278.04200000000003</v>
      </c>
      <c r="AJ17" s="197">
        <f t="shared" si="2"/>
        <v>360.89300000000003</v>
      </c>
      <c r="AK17" s="197">
        <f t="shared" si="3"/>
        <v>580.89300000000003</v>
      </c>
      <c r="AL17" s="196">
        <f t="shared" si="22"/>
        <v>477.44940068017411</v>
      </c>
      <c r="AM17" s="197">
        <f t="shared" si="23"/>
        <v>164.39679803053252</v>
      </c>
      <c r="AN17" s="197">
        <f t="shared" si="24"/>
        <v>207.7691569000242</v>
      </c>
      <c r="AO17" s="197">
        <f t="shared" si="25"/>
        <v>269.68024378014991</v>
      </c>
      <c r="AP17" s="199">
        <f t="shared" si="26"/>
        <v>434.07704181068243</v>
      </c>
      <c r="AQ17" s="196">
        <f t="shared" si="64"/>
        <v>2596.5365461575325</v>
      </c>
      <c r="AR17" s="197">
        <f t="shared" si="27"/>
        <v>1146.7200328244567</v>
      </c>
      <c r="AS17" s="197">
        <f t="shared" si="27"/>
        <v>6572.4822709613845</v>
      </c>
      <c r="AT17" s="197">
        <f t="shared" si="27"/>
        <v>-3975.9457248038516</v>
      </c>
      <c r="AU17" s="199">
        <f t="shared" si="27"/>
        <v>-2829.2256919793954</v>
      </c>
      <c r="AV17" s="197"/>
      <c r="AX17" s="204">
        <f t="shared" si="65"/>
        <v>6</v>
      </c>
      <c r="AY17" s="225">
        <f>'Energy NPV'!$D70</f>
        <v>11.617000000000001</v>
      </c>
      <c r="AZ17" s="197">
        <f>'Energy margins'!$S$12</f>
        <v>55</v>
      </c>
      <c r="BA17" s="197">
        <f t="shared" si="28"/>
        <v>638.93500000000006</v>
      </c>
      <c r="BB17" s="197">
        <f>'Margins summary'!$U$14</f>
        <v>220</v>
      </c>
      <c r="BC17" s="197">
        <f t="shared" si="29"/>
        <v>858.93500000000006</v>
      </c>
      <c r="BD17" s="197"/>
      <c r="BE17" s="897">
        <f>'Energy NPV'!U70</f>
        <v>278.04200000000003</v>
      </c>
      <c r="BF17" s="197"/>
      <c r="BG17" s="197">
        <f t="shared" si="30"/>
        <v>278.04200000000003</v>
      </c>
      <c r="BH17" s="197">
        <f t="shared" si="4"/>
        <v>360.89300000000003</v>
      </c>
      <c r="BI17" s="197">
        <f t="shared" si="5"/>
        <v>580.89300000000003</v>
      </c>
      <c r="BJ17" s="196">
        <f t="shared" si="31"/>
        <v>578.70311497867738</v>
      </c>
      <c r="BK17" s="197">
        <f t="shared" si="32"/>
        <v>199.26077816258149</v>
      </c>
      <c r="BL17" s="197">
        <f t="shared" si="33"/>
        <v>251.8312058267295</v>
      </c>
      <c r="BM17" s="197">
        <f t="shared" si="34"/>
        <v>326.87190915194788</v>
      </c>
      <c r="BN17" s="199">
        <f t="shared" si="35"/>
        <v>526.13268731452933</v>
      </c>
      <c r="BO17" s="196">
        <f t="shared" si="66"/>
        <v>2907.1914508610853</v>
      </c>
      <c r="BP17" s="197">
        <f t="shared" si="36"/>
        <v>1256.9610918709252</v>
      </c>
      <c r="BQ17" s="197">
        <f t="shared" si="36"/>
        <v>6729.2230196977434</v>
      </c>
      <c r="BR17" s="197">
        <f t="shared" si="36"/>
        <v>-3822.0315688366591</v>
      </c>
      <c r="BS17" s="199">
        <f t="shared" si="36"/>
        <v>-2565.0704769657332</v>
      </c>
      <c r="BT17" s="197"/>
      <c r="BV17" s="204">
        <f t="shared" si="67"/>
        <v>6</v>
      </c>
      <c r="BW17" s="225">
        <f>'Energy NPV'!$D70</f>
        <v>11.617000000000001</v>
      </c>
      <c r="BX17" s="197">
        <f>'Energy margins'!$S$12</f>
        <v>55</v>
      </c>
      <c r="BY17" s="197">
        <f t="shared" si="37"/>
        <v>638.93500000000006</v>
      </c>
      <c r="BZ17" s="197">
        <f>'Margins summary'!$U$14</f>
        <v>220</v>
      </c>
      <c r="CA17" s="197">
        <f t="shared" si="38"/>
        <v>858.93500000000006</v>
      </c>
      <c r="CB17" s="197"/>
      <c r="CC17" s="897">
        <f>'Energy NPV'!U70</f>
        <v>278.04200000000003</v>
      </c>
      <c r="CD17" s="197"/>
      <c r="CE17" s="197">
        <f t="shared" si="39"/>
        <v>278.04200000000003</v>
      </c>
      <c r="CF17" s="197">
        <f t="shared" si="6"/>
        <v>360.89300000000003</v>
      </c>
      <c r="CG17" s="197">
        <f t="shared" si="7"/>
        <v>580.89300000000003</v>
      </c>
      <c r="CH17" s="196">
        <f t="shared" si="40"/>
        <v>434.84842499676103</v>
      </c>
      <c r="CI17" s="197">
        <f t="shared" si="41"/>
        <v>149.72830334742565</v>
      </c>
      <c r="CJ17" s="197">
        <f t="shared" si="42"/>
        <v>189.23071326965876</v>
      </c>
      <c r="CK17" s="197">
        <f t="shared" si="43"/>
        <v>245.61771172710223</v>
      </c>
      <c r="CL17" s="199">
        <f t="shared" si="44"/>
        <v>395.34601507452788</v>
      </c>
      <c r="CM17" s="196">
        <f t="shared" si="68"/>
        <v>2460.6480540242542</v>
      </c>
      <c r="CN17" s="197">
        <f t="shared" si="45"/>
        <v>1098.3962081571788</v>
      </c>
      <c r="CO17" s="197">
        <f t="shared" si="46"/>
        <v>6503.3387082719255</v>
      </c>
      <c r="CP17" s="197">
        <f t="shared" si="47"/>
        <v>-4042.6906542476722</v>
      </c>
      <c r="CQ17" s="199">
        <f t="shared" si="48"/>
        <v>-2944.2944460904937</v>
      </c>
      <c r="CR17" s="197"/>
      <c r="CT17" s="204">
        <f t="shared" si="69"/>
        <v>6</v>
      </c>
      <c r="CU17" s="225">
        <f>'Energy NPV'!$D70</f>
        <v>11.617000000000001</v>
      </c>
      <c r="CV17" s="197">
        <f>'Energy margins'!$S$12</f>
        <v>55</v>
      </c>
      <c r="CW17" s="197">
        <f t="shared" si="49"/>
        <v>638.93500000000006</v>
      </c>
      <c r="CX17" s="197">
        <f>'Margins summary'!$U$14</f>
        <v>220</v>
      </c>
      <c r="CY17" s="197">
        <f t="shared" si="50"/>
        <v>858.93500000000006</v>
      </c>
      <c r="CZ17" s="197"/>
      <c r="DA17" s="897">
        <f>'Energy NPV'!U70</f>
        <v>278.04200000000003</v>
      </c>
      <c r="DB17" s="197"/>
      <c r="DC17" s="197">
        <f t="shared" si="51"/>
        <v>278.04200000000003</v>
      </c>
      <c r="DD17" s="197">
        <f t="shared" si="8"/>
        <v>360.89300000000003</v>
      </c>
      <c r="DE17" s="197">
        <f t="shared" si="9"/>
        <v>580.89300000000003</v>
      </c>
      <c r="DF17" s="196">
        <f t="shared" si="52"/>
        <v>638.93500000000006</v>
      </c>
      <c r="DG17" s="197">
        <f t="shared" si="53"/>
        <v>220</v>
      </c>
      <c r="DH17" s="197">
        <f t="shared" si="54"/>
        <v>278.04200000000003</v>
      </c>
      <c r="DI17" s="197">
        <f t="shared" si="55"/>
        <v>360.89300000000003</v>
      </c>
      <c r="DJ17" s="199">
        <f t="shared" si="56"/>
        <v>580.89300000000003</v>
      </c>
      <c r="DK17" s="196">
        <f t="shared" si="70"/>
        <v>3085.188333333333</v>
      </c>
      <c r="DL17" s="197">
        <f t="shared" si="57"/>
        <v>1320</v>
      </c>
      <c r="DM17" s="197">
        <f t="shared" si="58"/>
        <v>6818.3020000000015</v>
      </c>
      <c r="DN17" s="197">
        <f t="shared" si="59"/>
        <v>-3733.1136666666662</v>
      </c>
      <c r="DO17" s="199">
        <f t="shared" si="60"/>
        <v>-2413.1136666666662</v>
      </c>
    </row>
    <row r="18" spans="2:119" x14ac:dyDescent="0.3">
      <c r="B18" s="204">
        <f t="shared" si="61"/>
        <v>7</v>
      </c>
      <c r="C18" s="225">
        <f>'Energy NPV'!$D71</f>
        <v>11.617000000000001</v>
      </c>
      <c r="D18" s="197">
        <f>'Energy margins'!$S$12</f>
        <v>55</v>
      </c>
      <c r="E18" s="197">
        <f t="shared" si="10"/>
        <v>638.93500000000006</v>
      </c>
      <c r="F18" s="197">
        <f>'Margins summary'!$U$14</f>
        <v>220</v>
      </c>
      <c r="G18" s="197">
        <f t="shared" si="11"/>
        <v>858.93500000000006</v>
      </c>
      <c r="H18" s="197"/>
      <c r="I18" s="897">
        <f>'Energy NPV'!U71</f>
        <v>278.04200000000003</v>
      </c>
      <c r="J18" s="197"/>
      <c r="K18" s="197">
        <f t="shared" si="12"/>
        <v>278.04200000000003</v>
      </c>
      <c r="L18" s="197">
        <f t="shared" si="0"/>
        <v>360.89300000000003</v>
      </c>
      <c r="M18" s="197">
        <f t="shared" si="1"/>
        <v>580.89300000000003</v>
      </c>
      <c r="N18" s="196">
        <f t="shared" si="13"/>
        <v>504.95961149739071</v>
      </c>
      <c r="O18" s="197">
        <f t="shared" si="14"/>
        <v>173.86919566063204</v>
      </c>
      <c r="P18" s="197">
        <f t="shared" si="15"/>
        <v>219.7406313630612</v>
      </c>
      <c r="Q18" s="197">
        <f t="shared" si="16"/>
        <v>285.21898013432951</v>
      </c>
      <c r="R18" s="199">
        <f t="shared" si="17"/>
        <v>459.08817579496156</v>
      </c>
      <c r="S18" s="196">
        <f t="shared" si="62"/>
        <v>3249.8427130583264</v>
      </c>
      <c r="T18" s="197">
        <f t="shared" si="18"/>
        <v>1373.2701084841974</v>
      </c>
      <c r="U18" s="197">
        <f t="shared" si="18"/>
        <v>6867.2874585270174</v>
      </c>
      <c r="V18" s="197">
        <f t="shared" si="18"/>
        <v>-3617.4447454686924</v>
      </c>
      <c r="W18" s="199">
        <f t="shared" si="18"/>
        <v>-2244.1746369844955</v>
      </c>
      <c r="X18" s="197"/>
      <c r="Z18" s="204">
        <f t="shared" si="63"/>
        <v>7</v>
      </c>
      <c r="AA18" s="225">
        <f>'Energy NPV'!$D71</f>
        <v>11.617000000000001</v>
      </c>
      <c r="AB18" s="197">
        <f>'Energy margins'!$S$12</f>
        <v>55</v>
      </c>
      <c r="AC18" s="197">
        <f t="shared" si="19"/>
        <v>638.93500000000006</v>
      </c>
      <c r="AD18" s="197">
        <f>'Margins summary'!$U$14</f>
        <v>220</v>
      </c>
      <c r="AE18" s="197">
        <f t="shared" si="20"/>
        <v>858.93500000000006</v>
      </c>
      <c r="AF18" s="197"/>
      <c r="AG18" s="897">
        <f>'Energy NPV'!U71</f>
        <v>278.04200000000003</v>
      </c>
      <c r="AH18" s="197"/>
      <c r="AI18" s="197">
        <f t="shared" si="21"/>
        <v>278.04200000000003</v>
      </c>
      <c r="AJ18" s="197">
        <f t="shared" si="2"/>
        <v>360.89300000000003</v>
      </c>
      <c r="AK18" s="197">
        <f t="shared" si="3"/>
        <v>580.89300000000003</v>
      </c>
      <c r="AL18" s="196">
        <f t="shared" si="22"/>
        <v>450.42396290582462</v>
      </c>
      <c r="AM18" s="197">
        <f t="shared" si="23"/>
        <v>155.09131889672878</v>
      </c>
      <c r="AN18" s="197">
        <f t="shared" si="24"/>
        <v>196.00863858492849</v>
      </c>
      <c r="AO18" s="197">
        <f t="shared" si="25"/>
        <v>254.4153243208961</v>
      </c>
      <c r="AP18" s="199">
        <f t="shared" si="26"/>
        <v>409.50664321762491</v>
      </c>
      <c r="AQ18" s="196">
        <f t="shared" si="64"/>
        <v>3046.9605090633572</v>
      </c>
      <c r="AR18" s="197">
        <f t="shared" si="27"/>
        <v>1301.8113517211855</v>
      </c>
      <c r="AS18" s="197">
        <f t="shared" si="27"/>
        <v>6768.4909095463127</v>
      </c>
      <c r="AT18" s="197">
        <f t="shared" si="27"/>
        <v>-3721.5304004829554</v>
      </c>
      <c r="AU18" s="199">
        <f t="shared" si="27"/>
        <v>-2419.7190487617704</v>
      </c>
      <c r="AV18" s="197"/>
      <c r="AX18" s="204">
        <f t="shared" si="65"/>
        <v>7</v>
      </c>
      <c r="AY18" s="225">
        <f>'Energy NPV'!$D71</f>
        <v>11.617000000000001</v>
      </c>
      <c r="AZ18" s="197">
        <f>'Energy margins'!$S$12</f>
        <v>55</v>
      </c>
      <c r="BA18" s="197">
        <f t="shared" si="28"/>
        <v>638.93500000000006</v>
      </c>
      <c r="BB18" s="197">
        <f>'Margins summary'!$U$14</f>
        <v>220</v>
      </c>
      <c r="BC18" s="197">
        <f t="shared" si="29"/>
        <v>858.93500000000006</v>
      </c>
      <c r="BD18" s="197"/>
      <c r="BE18" s="897">
        <f>'Energy NPV'!U71</f>
        <v>278.04200000000003</v>
      </c>
      <c r="BF18" s="197"/>
      <c r="BG18" s="197">
        <f t="shared" si="30"/>
        <v>278.04200000000003</v>
      </c>
      <c r="BH18" s="197">
        <f t="shared" si="4"/>
        <v>360.89300000000003</v>
      </c>
      <c r="BI18" s="197">
        <f t="shared" si="5"/>
        <v>580.89300000000003</v>
      </c>
      <c r="BJ18" s="196">
        <f t="shared" si="31"/>
        <v>567.35599507713459</v>
      </c>
      <c r="BK18" s="197">
        <f t="shared" si="32"/>
        <v>195.35370408096225</v>
      </c>
      <c r="BL18" s="197">
        <f t="shared" si="33"/>
        <v>246.89333904581324</v>
      </c>
      <c r="BM18" s="197">
        <f t="shared" si="34"/>
        <v>320.46265603132144</v>
      </c>
      <c r="BN18" s="199">
        <f t="shared" si="35"/>
        <v>515.81636011228363</v>
      </c>
      <c r="BO18" s="196">
        <f t="shared" si="66"/>
        <v>3474.5474459382199</v>
      </c>
      <c r="BP18" s="197">
        <f t="shared" si="36"/>
        <v>1452.3147959518874</v>
      </c>
      <c r="BQ18" s="197">
        <f t="shared" si="36"/>
        <v>6976.1163587435567</v>
      </c>
      <c r="BR18" s="197">
        <f t="shared" si="36"/>
        <v>-3501.5689128053377</v>
      </c>
      <c r="BS18" s="199">
        <f t="shared" si="36"/>
        <v>-2049.2541168534494</v>
      </c>
      <c r="BT18" s="197"/>
      <c r="BV18" s="204">
        <f t="shared" si="67"/>
        <v>7</v>
      </c>
      <c r="BW18" s="225">
        <f>'Energy NPV'!$D71</f>
        <v>11.617000000000001</v>
      </c>
      <c r="BX18" s="197">
        <f>'Energy margins'!$S$12</f>
        <v>55</v>
      </c>
      <c r="BY18" s="197">
        <f t="shared" si="37"/>
        <v>638.93500000000006</v>
      </c>
      <c r="BZ18" s="197">
        <f>'Margins summary'!$U$14</f>
        <v>220</v>
      </c>
      <c r="CA18" s="197">
        <f t="shared" si="38"/>
        <v>858.93500000000006</v>
      </c>
      <c r="CB18" s="197"/>
      <c r="CC18" s="897">
        <f>'Energy NPV'!U71</f>
        <v>278.04200000000003</v>
      </c>
      <c r="CD18" s="197"/>
      <c r="CE18" s="197">
        <f t="shared" si="39"/>
        <v>278.04200000000003</v>
      </c>
      <c r="CF18" s="197">
        <f t="shared" si="6"/>
        <v>360.89300000000003</v>
      </c>
      <c r="CG18" s="197">
        <f t="shared" si="7"/>
        <v>580.89300000000003</v>
      </c>
      <c r="CH18" s="196">
        <f t="shared" si="40"/>
        <v>402.63743055255645</v>
      </c>
      <c r="CI18" s="197">
        <f t="shared" si="41"/>
        <v>138.63731791428302</v>
      </c>
      <c r="CJ18" s="197">
        <f t="shared" si="42"/>
        <v>175.21362339783218</v>
      </c>
      <c r="CK18" s="197">
        <f t="shared" si="43"/>
        <v>227.42380715472427</v>
      </c>
      <c r="CL18" s="199">
        <f t="shared" si="44"/>
        <v>366.06112506900729</v>
      </c>
      <c r="CM18" s="196">
        <f t="shared" si="68"/>
        <v>2863.2854845768106</v>
      </c>
      <c r="CN18" s="197">
        <f t="shared" si="45"/>
        <v>1237.0335260714619</v>
      </c>
      <c r="CO18" s="197">
        <f t="shared" si="46"/>
        <v>6678.5523316697581</v>
      </c>
      <c r="CP18" s="197">
        <f t="shared" si="47"/>
        <v>-3815.266847092948</v>
      </c>
      <c r="CQ18" s="199">
        <f t="shared" si="48"/>
        <v>-2578.2333210214865</v>
      </c>
      <c r="CR18" s="197"/>
      <c r="CT18" s="204">
        <f t="shared" si="69"/>
        <v>7</v>
      </c>
      <c r="CU18" s="225">
        <f>'Energy NPV'!$D71</f>
        <v>11.617000000000001</v>
      </c>
      <c r="CV18" s="197">
        <f>'Energy margins'!$S$12</f>
        <v>55</v>
      </c>
      <c r="CW18" s="197">
        <f t="shared" si="49"/>
        <v>638.93500000000006</v>
      </c>
      <c r="CX18" s="197">
        <f>'Margins summary'!$U$14</f>
        <v>220</v>
      </c>
      <c r="CY18" s="197">
        <f t="shared" si="50"/>
        <v>858.93500000000006</v>
      </c>
      <c r="CZ18" s="197"/>
      <c r="DA18" s="897">
        <f>'Energy NPV'!U71</f>
        <v>278.04200000000003</v>
      </c>
      <c r="DB18" s="197"/>
      <c r="DC18" s="197">
        <f t="shared" si="51"/>
        <v>278.04200000000003</v>
      </c>
      <c r="DD18" s="197">
        <f t="shared" si="8"/>
        <v>360.89300000000003</v>
      </c>
      <c r="DE18" s="197">
        <f t="shared" si="9"/>
        <v>580.89300000000003</v>
      </c>
      <c r="DF18" s="196">
        <f t="shared" si="52"/>
        <v>638.93500000000006</v>
      </c>
      <c r="DG18" s="197">
        <f t="shared" si="53"/>
        <v>220</v>
      </c>
      <c r="DH18" s="197">
        <f t="shared" si="54"/>
        <v>278.04200000000003</v>
      </c>
      <c r="DI18" s="197">
        <f t="shared" si="55"/>
        <v>360.89300000000003</v>
      </c>
      <c r="DJ18" s="199">
        <f t="shared" si="56"/>
        <v>580.89300000000003</v>
      </c>
      <c r="DK18" s="196">
        <f t="shared" si="70"/>
        <v>3724.123333333333</v>
      </c>
      <c r="DL18" s="197">
        <f t="shared" si="57"/>
        <v>1540</v>
      </c>
      <c r="DM18" s="197">
        <f t="shared" si="58"/>
        <v>7096.3440000000019</v>
      </c>
      <c r="DN18" s="197">
        <f t="shared" si="59"/>
        <v>-3372.2206666666661</v>
      </c>
      <c r="DO18" s="199">
        <f t="shared" si="60"/>
        <v>-1832.2206666666661</v>
      </c>
    </row>
    <row r="19" spans="2:119" x14ac:dyDescent="0.3">
      <c r="B19" s="204">
        <f t="shared" si="61"/>
        <v>8</v>
      </c>
      <c r="C19" s="225">
        <f>'Energy NPV'!$D72</f>
        <v>11.617000000000001</v>
      </c>
      <c r="D19" s="197">
        <f>'Energy margins'!$S$12</f>
        <v>55</v>
      </c>
      <c r="E19" s="197">
        <f t="shared" si="10"/>
        <v>638.93500000000006</v>
      </c>
      <c r="F19" s="197">
        <f>'Margins summary'!$U$14</f>
        <v>220</v>
      </c>
      <c r="G19" s="197">
        <f t="shared" si="11"/>
        <v>858.93500000000006</v>
      </c>
      <c r="H19" s="197"/>
      <c r="I19" s="897">
        <f>'Energy NPV'!U72</f>
        <v>278.04200000000003</v>
      </c>
      <c r="J19" s="197"/>
      <c r="K19" s="197">
        <f t="shared" si="12"/>
        <v>278.04200000000003</v>
      </c>
      <c r="L19" s="197">
        <f t="shared" si="0"/>
        <v>360.89300000000003</v>
      </c>
      <c r="M19" s="197">
        <f t="shared" si="1"/>
        <v>580.89300000000003</v>
      </c>
      <c r="N19" s="196">
        <f t="shared" si="13"/>
        <v>485.53808797826031</v>
      </c>
      <c r="O19" s="197">
        <f t="shared" si="14"/>
        <v>167.18191890445391</v>
      </c>
      <c r="P19" s="197">
        <f t="shared" si="15"/>
        <v>211.28906861832809</v>
      </c>
      <c r="Q19" s="197">
        <f t="shared" si="16"/>
        <v>274.24901935993222</v>
      </c>
      <c r="R19" s="199">
        <f t="shared" si="17"/>
        <v>441.43093826438616</v>
      </c>
      <c r="S19" s="196">
        <f t="shared" si="62"/>
        <v>3735.3808010365865</v>
      </c>
      <c r="T19" s="197">
        <f t="shared" si="18"/>
        <v>1540.4520273886512</v>
      </c>
      <c r="U19" s="197">
        <f t="shared" si="18"/>
        <v>7078.5765271453456</v>
      </c>
      <c r="V19" s="197">
        <f t="shared" si="18"/>
        <v>-3343.19572610876</v>
      </c>
      <c r="W19" s="199">
        <f t="shared" si="18"/>
        <v>-1802.7436987201093</v>
      </c>
      <c r="X19" s="197"/>
      <c r="Z19" s="204">
        <f t="shared" si="63"/>
        <v>8</v>
      </c>
      <c r="AA19" s="225">
        <f>'Energy NPV'!$D72</f>
        <v>11.617000000000001</v>
      </c>
      <c r="AB19" s="197">
        <f>'Energy margins'!$S$12</f>
        <v>55</v>
      </c>
      <c r="AC19" s="197">
        <f t="shared" si="19"/>
        <v>638.93500000000006</v>
      </c>
      <c r="AD19" s="197">
        <f>'Margins summary'!$U$14</f>
        <v>220</v>
      </c>
      <c r="AE19" s="197">
        <f t="shared" si="20"/>
        <v>858.93500000000006</v>
      </c>
      <c r="AF19" s="197"/>
      <c r="AG19" s="897">
        <f>'Energy NPV'!U72</f>
        <v>278.04200000000003</v>
      </c>
      <c r="AH19" s="197"/>
      <c r="AI19" s="197">
        <f t="shared" si="21"/>
        <v>278.04200000000003</v>
      </c>
      <c r="AJ19" s="197">
        <f t="shared" si="2"/>
        <v>360.89300000000003</v>
      </c>
      <c r="AK19" s="197">
        <f t="shared" si="3"/>
        <v>580.89300000000003</v>
      </c>
      <c r="AL19" s="196">
        <f t="shared" si="22"/>
        <v>424.9282668922873</v>
      </c>
      <c r="AM19" s="197">
        <f t="shared" si="23"/>
        <v>146.31256499691392</v>
      </c>
      <c r="AN19" s="197">
        <f t="shared" si="24"/>
        <v>184.91380998578157</v>
      </c>
      <c r="AO19" s="197">
        <f t="shared" si="25"/>
        <v>240.01445690650573</v>
      </c>
      <c r="AP19" s="199">
        <f t="shared" si="26"/>
        <v>386.32702190341968</v>
      </c>
      <c r="AQ19" s="196">
        <f t="shared" si="64"/>
        <v>3471.8887759556446</v>
      </c>
      <c r="AR19" s="197">
        <f t="shared" si="27"/>
        <v>1448.1239167180993</v>
      </c>
      <c r="AS19" s="197">
        <f t="shared" si="27"/>
        <v>6953.4047195320945</v>
      </c>
      <c r="AT19" s="197">
        <f t="shared" si="27"/>
        <v>-3481.5159435764499</v>
      </c>
      <c r="AU19" s="199">
        <f t="shared" si="27"/>
        <v>-2033.3920268583506</v>
      </c>
      <c r="AV19" s="197"/>
      <c r="AX19" s="204">
        <f t="shared" si="65"/>
        <v>8</v>
      </c>
      <c r="AY19" s="225">
        <f>'Energy NPV'!$D72</f>
        <v>11.617000000000001</v>
      </c>
      <c r="AZ19" s="197">
        <f>'Energy margins'!$S$12</f>
        <v>55</v>
      </c>
      <c r="BA19" s="197">
        <f t="shared" si="28"/>
        <v>638.93500000000006</v>
      </c>
      <c r="BB19" s="197">
        <f>'Margins summary'!$U$14</f>
        <v>220</v>
      </c>
      <c r="BC19" s="197">
        <f t="shared" si="29"/>
        <v>858.93500000000006</v>
      </c>
      <c r="BD19" s="197"/>
      <c r="BE19" s="897">
        <f>'Energy NPV'!U72</f>
        <v>278.04200000000003</v>
      </c>
      <c r="BF19" s="197"/>
      <c r="BG19" s="197">
        <f t="shared" si="30"/>
        <v>278.04200000000003</v>
      </c>
      <c r="BH19" s="197">
        <f t="shared" si="4"/>
        <v>360.89300000000003</v>
      </c>
      <c r="BI19" s="197">
        <f t="shared" si="5"/>
        <v>580.89300000000003</v>
      </c>
      <c r="BJ19" s="196">
        <f t="shared" si="31"/>
        <v>556.23136772268117</v>
      </c>
      <c r="BK19" s="197">
        <f t="shared" si="32"/>
        <v>191.52323929506107</v>
      </c>
      <c r="BL19" s="197">
        <f t="shared" si="33"/>
        <v>242.05229318216988</v>
      </c>
      <c r="BM19" s="197">
        <f t="shared" si="34"/>
        <v>314.17907454051124</v>
      </c>
      <c r="BN19" s="199">
        <f t="shared" si="35"/>
        <v>505.70231383557234</v>
      </c>
      <c r="BO19" s="196">
        <f t="shared" si="66"/>
        <v>4030.7788136609011</v>
      </c>
      <c r="BP19" s="197">
        <f t="shared" si="36"/>
        <v>1643.8380352469485</v>
      </c>
      <c r="BQ19" s="197">
        <f t="shared" si="36"/>
        <v>7218.1686519257264</v>
      </c>
      <c r="BR19" s="197">
        <f t="shared" si="36"/>
        <v>-3187.3898382648267</v>
      </c>
      <c r="BS19" s="199">
        <f t="shared" si="36"/>
        <v>-1543.5518030178771</v>
      </c>
      <c r="BT19" s="197"/>
      <c r="BV19" s="204">
        <f t="shared" si="67"/>
        <v>8</v>
      </c>
      <c r="BW19" s="225">
        <f>'Energy NPV'!$D72</f>
        <v>11.617000000000001</v>
      </c>
      <c r="BX19" s="197">
        <f>'Energy margins'!$S$12</f>
        <v>55</v>
      </c>
      <c r="BY19" s="197">
        <f t="shared" si="37"/>
        <v>638.93500000000006</v>
      </c>
      <c r="BZ19" s="197">
        <f>'Margins summary'!$U$14</f>
        <v>220</v>
      </c>
      <c r="CA19" s="197">
        <f t="shared" si="38"/>
        <v>858.93500000000006</v>
      </c>
      <c r="CB19" s="197"/>
      <c r="CC19" s="897">
        <f>'Energy NPV'!U72</f>
        <v>278.04200000000003</v>
      </c>
      <c r="CD19" s="197"/>
      <c r="CE19" s="197">
        <f t="shared" si="39"/>
        <v>278.04200000000003</v>
      </c>
      <c r="CF19" s="197">
        <f t="shared" si="6"/>
        <v>360.89300000000003</v>
      </c>
      <c r="CG19" s="197">
        <f t="shared" si="7"/>
        <v>580.89300000000003</v>
      </c>
      <c r="CH19" s="196">
        <f t="shared" si="40"/>
        <v>372.81243569681152</v>
      </c>
      <c r="CI19" s="197">
        <f t="shared" si="41"/>
        <v>128.36788695766944</v>
      </c>
      <c r="CJ19" s="197">
        <f t="shared" si="42"/>
        <v>162.23483647947424</v>
      </c>
      <c r="CK19" s="197">
        <f t="shared" si="43"/>
        <v>210.57759921733728</v>
      </c>
      <c r="CL19" s="199">
        <f t="shared" si="44"/>
        <v>338.94548617500675</v>
      </c>
      <c r="CM19" s="196">
        <f t="shared" si="68"/>
        <v>3236.0979202736221</v>
      </c>
      <c r="CN19" s="197">
        <f t="shared" si="45"/>
        <v>1365.4014130291314</v>
      </c>
      <c r="CO19" s="197">
        <f t="shared" si="46"/>
        <v>6840.7871681492325</v>
      </c>
      <c r="CP19" s="197">
        <f t="shared" si="47"/>
        <v>-3604.6892478756108</v>
      </c>
      <c r="CQ19" s="199">
        <f t="shared" si="48"/>
        <v>-2239.2878348464797</v>
      </c>
      <c r="CR19" s="197"/>
      <c r="CT19" s="204">
        <f t="shared" si="69"/>
        <v>8</v>
      </c>
      <c r="CU19" s="225">
        <f>'Energy NPV'!$D72</f>
        <v>11.617000000000001</v>
      </c>
      <c r="CV19" s="197">
        <f>'Energy margins'!$S$12</f>
        <v>55</v>
      </c>
      <c r="CW19" s="197">
        <f t="shared" si="49"/>
        <v>638.93500000000006</v>
      </c>
      <c r="CX19" s="197">
        <f>'Margins summary'!$U$14</f>
        <v>220</v>
      </c>
      <c r="CY19" s="197">
        <f t="shared" si="50"/>
        <v>858.93500000000006</v>
      </c>
      <c r="CZ19" s="197"/>
      <c r="DA19" s="897">
        <f>'Energy NPV'!U72</f>
        <v>278.04200000000003</v>
      </c>
      <c r="DB19" s="197"/>
      <c r="DC19" s="197">
        <f t="shared" si="51"/>
        <v>278.04200000000003</v>
      </c>
      <c r="DD19" s="197">
        <f t="shared" si="8"/>
        <v>360.89300000000003</v>
      </c>
      <c r="DE19" s="197">
        <f t="shared" si="9"/>
        <v>580.89300000000003</v>
      </c>
      <c r="DF19" s="196">
        <f t="shared" si="52"/>
        <v>638.93500000000006</v>
      </c>
      <c r="DG19" s="197">
        <f t="shared" si="53"/>
        <v>220</v>
      </c>
      <c r="DH19" s="197">
        <f t="shared" si="54"/>
        <v>278.04200000000003</v>
      </c>
      <c r="DI19" s="197">
        <f t="shared" si="55"/>
        <v>360.89300000000003</v>
      </c>
      <c r="DJ19" s="199">
        <f t="shared" si="56"/>
        <v>580.89300000000003</v>
      </c>
      <c r="DK19" s="196">
        <f t="shared" si="70"/>
        <v>4363.0583333333334</v>
      </c>
      <c r="DL19" s="197">
        <f t="shared" si="57"/>
        <v>1760</v>
      </c>
      <c r="DM19" s="197">
        <f t="shared" si="58"/>
        <v>7374.3860000000022</v>
      </c>
      <c r="DN19" s="197">
        <f t="shared" si="59"/>
        <v>-3011.3276666666661</v>
      </c>
      <c r="DO19" s="199">
        <f t="shared" si="60"/>
        <v>-1251.3276666666661</v>
      </c>
    </row>
    <row r="20" spans="2:119" x14ac:dyDescent="0.3">
      <c r="B20" s="204">
        <f t="shared" si="61"/>
        <v>9</v>
      </c>
      <c r="C20" s="225">
        <f>'Energy NPV'!$D73</f>
        <v>11.617000000000001</v>
      </c>
      <c r="D20" s="197">
        <f>'Energy margins'!$S$12</f>
        <v>55</v>
      </c>
      <c r="E20" s="197">
        <f t="shared" si="10"/>
        <v>638.93500000000006</v>
      </c>
      <c r="F20" s="197">
        <f>'Margins summary'!$U$14</f>
        <v>220</v>
      </c>
      <c r="G20" s="197">
        <f t="shared" si="11"/>
        <v>858.93500000000006</v>
      </c>
      <c r="H20" s="197"/>
      <c r="I20" s="897">
        <f>'Energy NPV'!U73</f>
        <v>278.04200000000003</v>
      </c>
      <c r="J20" s="197"/>
      <c r="K20" s="197">
        <f t="shared" si="12"/>
        <v>278.04200000000003</v>
      </c>
      <c r="L20" s="197">
        <f t="shared" si="0"/>
        <v>360.89300000000003</v>
      </c>
      <c r="M20" s="197">
        <f t="shared" si="1"/>
        <v>580.89300000000003</v>
      </c>
      <c r="N20" s="196">
        <f t="shared" si="13"/>
        <v>466.86354613294253</v>
      </c>
      <c r="O20" s="197">
        <f t="shared" si="14"/>
        <v>160.75184510043644</v>
      </c>
      <c r="P20" s="197">
        <f t="shared" si="15"/>
        <v>203.1625659791616</v>
      </c>
      <c r="Q20" s="197">
        <f t="shared" si="16"/>
        <v>263.70098015378096</v>
      </c>
      <c r="R20" s="199">
        <f t="shared" si="17"/>
        <v>424.45282525421737</v>
      </c>
      <c r="S20" s="196">
        <f t="shared" si="62"/>
        <v>4202.2443471695287</v>
      </c>
      <c r="T20" s="197">
        <f t="shared" si="18"/>
        <v>1701.2038724890876</v>
      </c>
      <c r="U20" s="197">
        <f t="shared" si="18"/>
        <v>7281.7390931245072</v>
      </c>
      <c r="V20" s="197">
        <f t="shared" si="18"/>
        <v>-3079.494745954979</v>
      </c>
      <c r="W20" s="199">
        <f t="shared" si="18"/>
        <v>-1378.2908734658918</v>
      </c>
      <c r="X20" s="197"/>
      <c r="Z20" s="204">
        <f t="shared" si="63"/>
        <v>9</v>
      </c>
      <c r="AA20" s="225">
        <f>'Energy NPV'!$D73</f>
        <v>11.617000000000001</v>
      </c>
      <c r="AB20" s="197">
        <f>'Energy margins'!$S$12</f>
        <v>55</v>
      </c>
      <c r="AC20" s="197">
        <f t="shared" si="19"/>
        <v>638.93500000000006</v>
      </c>
      <c r="AD20" s="197">
        <f>'Margins summary'!$U$14</f>
        <v>220</v>
      </c>
      <c r="AE20" s="197">
        <f t="shared" si="20"/>
        <v>858.93500000000006</v>
      </c>
      <c r="AF20" s="197"/>
      <c r="AG20" s="897">
        <f>'Energy NPV'!U73</f>
        <v>278.04200000000003</v>
      </c>
      <c r="AH20" s="197"/>
      <c r="AI20" s="197">
        <f t="shared" si="21"/>
        <v>278.04200000000003</v>
      </c>
      <c r="AJ20" s="197">
        <f t="shared" si="2"/>
        <v>360.89300000000003</v>
      </c>
      <c r="AK20" s="197">
        <f t="shared" si="3"/>
        <v>580.89300000000003</v>
      </c>
      <c r="AL20" s="196">
        <f t="shared" si="22"/>
        <v>400.87572348328996</v>
      </c>
      <c r="AM20" s="197">
        <f t="shared" si="23"/>
        <v>138.03072169520183</v>
      </c>
      <c r="AN20" s="197">
        <f t="shared" si="24"/>
        <v>174.44699055262413</v>
      </c>
      <c r="AO20" s="197">
        <f t="shared" si="25"/>
        <v>226.4287329306658</v>
      </c>
      <c r="AP20" s="199">
        <f t="shared" si="26"/>
        <v>364.45945462586764</v>
      </c>
      <c r="AQ20" s="196">
        <f t="shared" si="64"/>
        <v>3872.7644994389348</v>
      </c>
      <c r="AR20" s="197">
        <f t="shared" si="27"/>
        <v>1586.1546384133012</v>
      </c>
      <c r="AS20" s="197">
        <f t="shared" si="27"/>
        <v>7127.8517100847184</v>
      </c>
      <c r="AT20" s="197">
        <f t="shared" si="27"/>
        <v>-3255.0872106457841</v>
      </c>
      <c r="AU20" s="199">
        <f t="shared" si="27"/>
        <v>-1668.9325722324829</v>
      </c>
      <c r="AV20" s="197"/>
      <c r="AX20" s="204">
        <f t="shared" si="65"/>
        <v>9</v>
      </c>
      <c r="AY20" s="225">
        <f>'Energy NPV'!$D73</f>
        <v>11.617000000000001</v>
      </c>
      <c r="AZ20" s="197">
        <f>'Energy margins'!$S$12</f>
        <v>55</v>
      </c>
      <c r="BA20" s="197">
        <f t="shared" si="28"/>
        <v>638.93500000000006</v>
      </c>
      <c r="BB20" s="197">
        <f>'Margins summary'!$U$14</f>
        <v>220</v>
      </c>
      <c r="BC20" s="197">
        <f t="shared" si="29"/>
        <v>858.93500000000006</v>
      </c>
      <c r="BD20" s="197"/>
      <c r="BE20" s="897">
        <f>'Energy NPV'!U73</f>
        <v>278.04200000000003</v>
      </c>
      <c r="BF20" s="197"/>
      <c r="BG20" s="197">
        <f t="shared" si="30"/>
        <v>278.04200000000003</v>
      </c>
      <c r="BH20" s="197">
        <f t="shared" si="4"/>
        <v>360.89300000000003</v>
      </c>
      <c r="BI20" s="197">
        <f t="shared" si="5"/>
        <v>580.89300000000003</v>
      </c>
      <c r="BJ20" s="196">
        <f t="shared" si="31"/>
        <v>545.32487031635401</v>
      </c>
      <c r="BK20" s="197">
        <f t="shared" si="32"/>
        <v>187.76788166182456</v>
      </c>
      <c r="BL20" s="197">
        <f t="shared" si="33"/>
        <v>237.30616978644105</v>
      </c>
      <c r="BM20" s="197">
        <f t="shared" si="34"/>
        <v>308.01870052991296</v>
      </c>
      <c r="BN20" s="199">
        <f t="shared" si="35"/>
        <v>495.78658219173752</v>
      </c>
      <c r="BO20" s="196">
        <f t="shared" si="66"/>
        <v>4576.1036839772551</v>
      </c>
      <c r="BP20" s="197">
        <f t="shared" si="36"/>
        <v>1831.605916908773</v>
      </c>
      <c r="BQ20" s="197">
        <f t="shared" si="36"/>
        <v>7455.4748217121678</v>
      </c>
      <c r="BR20" s="197">
        <f t="shared" si="36"/>
        <v>-2879.3711377349136</v>
      </c>
      <c r="BS20" s="199">
        <f t="shared" si="36"/>
        <v>-1047.7652208261395</v>
      </c>
      <c r="BT20" s="197"/>
      <c r="BV20" s="204">
        <f t="shared" si="67"/>
        <v>9</v>
      </c>
      <c r="BW20" s="225">
        <f>'Energy NPV'!$D73</f>
        <v>11.617000000000001</v>
      </c>
      <c r="BX20" s="197">
        <f>'Energy margins'!$S$12</f>
        <v>55</v>
      </c>
      <c r="BY20" s="197">
        <f t="shared" si="37"/>
        <v>638.93500000000006</v>
      </c>
      <c r="BZ20" s="197">
        <f>'Margins summary'!$U$14</f>
        <v>220</v>
      </c>
      <c r="CA20" s="197">
        <f t="shared" si="38"/>
        <v>858.93500000000006</v>
      </c>
      <c r="CB20" s="197"/>
      <c r="CC20" s="897">
        <f>'Energy NPV'!U73</f>
        <v>278.04200000000003</v>
      </c>
      <c r="CD20" s="197"/>
      <c r="CE20" s="197">
        <f t="shared" si="39"/>
        <v>278.04200000000003</v>
      </c>
      <c r="CF20" s="197">
        <f t="shared" si="6"/>
        <v>360.89300000000003</v>
      </c>
      <c r="CG20" s="197">
        <f t="shared" si="7"/>
        <v>580.89300000000003</v>
      </c>
      <c r="CH20" s="196">
        <f t="shared" si="40"/>
        <v>345.19669971926993</v>
      </c>
      <c r="CI20" s="197">
        <f t="shared" si="41"/>
        <v>118.85915459043467</v>
      </c>
      <c r="CJ20" s="197">
        <f t="shared" si="42"/>
        <v>150.21744118469837</v>
      </c>
      <c r="CK20" s="197">
        <f t="shared" si="43"/>
        <v>194.97925853457156</v>
      </c>
      <c r="CL20" s="199">
        <f t="shared" si="44"/>
        <v>313.83841312500624</v>
      </c>
      <c r="CM20" s="196">
        <f t="shared" si="68"/>
        <v>3581.294619992892</v>
      </c>
      <c r="CN20" s="197">
        <f t="shared" si="45"/>
        <v>1484.260567619566</v>
      </c>
      <c r="CO20" s="197">
        <f t="shared" si="46"/>
        <v>6991.0046093339306</v>
      </c>
      <c r="CP20" s="197">
        <f t="shared" si="47"/>
        <v>-3409.7099893410391</v>
      </c>
      <c r="CQ20" s="199">
        <f t="shared" si="48"/>
        <v>-1925.4494217214733</v>
      </c>
      <c r="CR20" s="197"/>
      <c r="CT20" s="204">
        <f t="shared" si="69"/>
        <v>9</v>
      </c>
      <c r="CU20" s="225">
        <f>'Energy NPV'!$D73</f>
        <v>11.617000000000001</v>
      </c>
      <c r="CV20" s="197">
        <f>'Energy margins'!$S$12</f>
        <v>55</v>
      </c>
      <c r="CW20" s="197">
        <f t="shared" si="49"/>
        <v>638.93500000000006</v>
      </c>
      <c r="CX20" s="197">
        <f>'Margins summary'!$U$14</f>
        <v>220</v>
      </c>
      <c r="CY20" s="197">
        <f t="shared" si="50"/>
        <v>858.93500000000006</v>
      </c>
      <c r="CZ20" s="197"/>
      <c r="DA20" s="897">
        <f>'Energy NPV'!U73</f>
        <v>278.04200000000003</v>
      </c>
      <c r="DB20" s="197"/>
      <c r="DC20" s="197">
        <f t="shared" si="51"/>
        <v>278.04200000000003</v>
      </c>
      <c r="DD20" s="197">
        <f t="shared" si="8"/>
        <v>360.89300000000003</v>
      </c>
      <c r="DE20" s="197">
        <f t="shared" si="9"/>
        <v>580.89300000000003</v>
      </c>
      <c r="DF20" s="196">
        <f t="shared" si="52"/>
        <v>638.93500000000006</v>
      </c>
      <c r="DG20" s="197">
        <f t="shared" si="53"/>
        <v>220</v>
      </c>
      <c r="DH20" s="197">
        <f t="shared" si="54"/>
        <v>278.04200000000003</v>
      </c>
      <c r="DI20" s="197">
        <f t="shared" si="55"/>
        <v>360.89300000000003</v>
      </c>
      <c r="DJ20" s="199">
        <f t="shared" si="56"/>
        <v>580.89300000000003</v>
      </c>
      <c r="DK20" s="196">
        <f t="shared" si="70"/>
        <v>5001.9933333333338</v>
      </c>
      <c r="DL20" s="197">
        <f t="shared" si="57"/>
        <v>1980</v>
      </c>
      <c r="DM20" s="197">
        <f t="shared" si="58"/>
        <v>7652.4280000000026</v>
      </c>
      <c r="DN20" s="197">
        <f t="shared" si="59"/>
        <v>-2650.4346666666661</v>
      </c>
      <c r="DO20" s="199">
        <f t="shared" si="60"/>
        <v>-670.43466666666609</v>
      </c>
    </row>
    <row r="21" spans="2:119" x14ac:dyDescent="0.3">
      <c r="B21" s="204">
        <f t="shared" si="61"/>
        <v>10</v>
      </c>
      <c r="C21" s="225">
        <f>'Energy NPV'!$D74</f>
        <v>11.617000000000001</v>
      </c>
      <c r="D21" s="197">
        <f>'Energy margins'!$S$12</f>
        <v>55</v>
      </c>
      <c r="E21" s="197">
        <f t="shared" si="10"/>
        <v>638.93500000000006</v>
      </c>
      <c r="F21" s="197">
        <f>'Margins summary'!$U$14</f>
        <v>220</v>
      </c>
      <c r="G21" s="197">
        <f t="shared" si="11"/>
        <v>858.93500000000006</v>
      </c>
      <c r="H21" s="197"/>
      <c r="I21" s="897">
        <f>'Energy NPV'!U74</f>
        <v>278.04200000000003</v>
      </c>
      <c r="J21" s="197"/>
      <c r="K21" s="197">
        <f t="shared" si="12"/>
        <v>278.04200000000003</v>
      </c>
      <c r="L21" s="197">
        <f t="shared" si="0"/>
        <v>360.89300000000003</v>
      </c>
      <c r="M21" s="197">
        <f t="shared" si="1"/>
        <v>580.89300000000003</v>
      </c>
      <c r="N21" s="196">
        <f t="shared" si="13"/>
        <v>448.90725589706011</v>
      </c>
      <c r="O21" s="197">
        <f t="shared" si="14"/>
        <v>154.5690818273427</v>
      </c>
      <c r="P21" s="197">
        <f t="shared" si="15"/>
        <v>195.34862113380922</v>
      </c>
      <c r="Q21" s="197">
        <f t="shared" si="16"/>
        <v>253.55863476325089</v>
      </c>
      <c r="R21" s="199">
        <f t="shared" si="17"/>
        <v>408.12771659059359</v>
      </c>
      <c r="S21" s="196">
        <f t="shared" si="62"/>
        <v>4651.1516030665889</v>
      </c>
      <c r="T21" s="197">
        <f t="shared" si="18"/>
        <v>1855.7729543164303</v>
      </c>
      <c r="U21" s="197">
        <f t="shared" si="18"/>
        <v>7477.0877142583167</v>
      </c>
      <c r="V21" s="197">
        <f t="shared" si="18"/>
        <v>-2825.9361111917278</v>
      </c>
      <c r="W21" s="199">
        <f t="shared" si="18"/>
        <v>-970.16315687529823</v>
      </c>
      <c r="X21" s="197"/>
      <c r="Z21" s="204">
        <f t="shared" si="63"/>
        <v>10</v>
      </c>
      <c r="AA21" s="225">
        <f>'Energy NPV'!$D74</f>
        <v>11.617000000000001</v>
      </c>
      <c r="AB21" s="197">
        <f>'Energy margins'!$S$12</f>
        <v>55</v>
      </c>
      <c r="AC21" s="197">
        <f t="shared" si="19"/>
        <v>638.93500000000006</v>
      </c>
      <c r="AD21" s="197">
        <f>'Margins summary'!$U$14</f>
        <v>220</v>
      </c>
      <c r="AE21" s="197">
        <f t="shared" si="20"/>
        <v>858.93500000000006</v>
      </c>
      <c r="AF21" s="197"/>
      <c r="AG21" s="897">
        <f>'Energy NPV'!U74</f>
        <v>278.04200000000003</v>
      </c>
      <c r="AH21" s="197"/>
      <c r="AI21" s="197">
        <f t="shared" si="21"/>
        <v>278.04200000000003</v>
      </c>
      <c r="AJ21" s="197">
        <f t="shared" si="2"/>
        <v>360.89300000000003</v>
      </c>
      <c r="AK21" s="197">
        <f t="shared" si="3"/>
        <v>580.89300000000003</v>
      </c>
      <c r="AL21" s="196">
        <f t="shared" si="22"/>
        <v>378.18464479555655</v>
      </c>
      <c r="AM21" s="197">
        <f t="shared" si="23"/>
        <v>130.21766197660551</v>
      </c>
      <c r="AN21" s="197">
        <f t="shared" si="24"/>
        <v>164.57263259681523</v>
      </c>
      <c r="AO21" s="197">
        <f t="shared" si="25"/>
        <v>213.61201219874133</v>
      </c>
      <c r="AP21" s="199">
        <f t="shared" si="26"/>
        <v>343.82967417534684</v>
      </c>
      <c r="AQ21" s="196">
        <f t="shared" si="64"/>
        <v>4250.9491442344915</v>
      </c>
      <c r="AR21" s="197">
        <f t="shared" si="27"/>
        <v>1716.3723003899067</v>
      </c>
      <c r="AS21" s="197">
        <f t="shared" si="27"/>
        <v>7292.4243426815337</v>
      </c>
      <c r="AT21" s="197">
        <f t="shared" si="27"/>
        <v>-3041.4751984470427</v>
      </c>
      <c r="AU21" s="199">
        <f t="shared" si="27"/>
        <v>-1325.1028980571361</v>
      </c>
      <c r="AV21" s="197"/>
      <c r="AX21" s="204">
        <f t="shared" si="65"/>
        <v>10</v>
      </c>
      <c r="AY21" s="225">
        <f>'Energy NPV'!$D74</f>
        <v>11.617000000000001</v>
      </c>
      <c r="AZ21" s="197">
        <f>'Energy margins'!$S$12</f>
        <v>55</v>
      </c>
      <c r="BA21" s="197">
        <f t="shared" si="28"/>
        <v>638.93500000000006</v>
      </c>
      <c r="BB21" s="197">
        <f>'Margins summary'!$U$14</f>
        <v>220</v>
      </c>
      <c r="BC21" s="197">
        <f t="shared" si="29"/>
        <v>858.93500000000006</v>
      </c>
      <c r="BD21" s="197"/>
      <c r="BE21" s="897">
        <f>'Energy NPV'!U74</f>
        <v>278.04200000000003</v>
      </c>
      <c r="BF21" s="197"/>
      <c r="BG21" s="197">
        <f t="shared" si="30"/>
        <v>278.04200000000003</v>
      </c>
      <c r="BH21" s="197">
        <f t="shared" si="4"/>
        <v>360.89300000000003</v>
      </c>
      <c r="BI21" s="197">
        <f t="shared" si="5"/>
        <v>580.89300000000003</v>
      </c>
      <c r="BJ21" s="196">
        <f t="shared" si="31"/>
        <v>534.6322258003471</v>
      </c>
      <c r="BK21" s="197">
        <f t="shared" si="32"/>
        <v>184.08615849198486</v>
      </c>
      <c r="BL21" s="197">
        <f t="shared" si="33"/>
        <v>232.65310763376573</v>
      </c>
      <c r="BM21" s="197">
        <f t="shared" si="34"/>
        <v>301.97911816658137</v>
      </c>
      <c r="BN21" s="199">
        <f t="shared" si="35"/>
        <v>486.06527665856618</v>
      </c>
      <c r="BO21" s="196">
        <f t="shared" si="66"/>
        <v>5110.7359097776025</v>
      </c>
      <c r="BP21" s="197">
        <f t="shared" si="36"/>
        <v>2015.6920754007579</v>
      </c>
      <c r="BQ21" s="197">
        <f t="shared" si="36"/>
        <v>7688.1279293459338</v>
      </c>
      <c r="BR21" s="197">
        <f t="shared" si="36"/>
        <v>-2577.3920195683322</v>
      </c>
      <c r="BS21" s="199">
        <f t="shared" si="36"/>
        <v>-561.69994416757334</v>
      </c>
      <c r="BT21" s="197"/>
      <c r="BV21" s="204">
        <f t="shared" si="67"/>
        <v>10</v>
      </c>
      <c r="BW21" s="225">
        <f>'Energy NPV'!$D74</f>
        <v>11.617000000000001</v>
      </c>
      <c r="BX21" s="197">
        <f>'Energy margins'!$S$12</f>
        <v>55</v>
      </c>
      <c r="BY21" s="197">
        <f t="shared" si="37"/>
        <v>638.93500000000006</v>
      </c>
      <c r="BZ21" s="197">
        <f>'Margins summary'!$U$14</f>
        <v>220</v>
      </c>
      <c r="CA21" s="197">
        <f t="shared" si="38"/>
        <v>858.93500000000006</v>
      </c>
      <c r="CB21" s="197"/>
      <c r="CC21" s="897">
        <f>'Energy NPV'!U74</f>
        <v>278.04200000000003</v>
      </c>
      <c r="CD21" s="197"/>
      <c r="CE21" s="197">
        <f t="shared" si="39"/>
        <v>278.04200000000003</v>
      </c>
      <c r="CF21" s="197">
        <f t="shared" si="6"/>
        <v>360.89300000000003</v>
      </c>
      <c r="CG21" s="197">
        <f t="shared" si="7"/>
        <v>580.89300000000003</v>
      </c>
      <c r="CH21" s="196">
        <f t="shared" si="40"/>
        <v>319.62657381413879</v>
      </c>
      <c r="CI21" s="197">
        <f t="shared" si="41"/>
        <v>110.05477276892098</v>
      </c>
      <c r="CJ21" s="197">
        <f t="shared" si="42"/>
        <v>139.09022331916515</v>
      </c>
      <c r="CK21" s="197">
        <f t="shared" si="43"/>
        <v>180.53635049497365</v>
      </c>
      <c r="CL21" s="199">
        <f t="shared" si="44"/>
        <v>290.59112326389464</v>
      </c>
      <c r="CM21" s="196">
        <f t="shared" si="68"/>
        <v>3900.9211938070307</v>
      </c>
      <c r="CN21" s="197">
        <f t="shared" si="45"/>
        <v>1594.3153403884869</v>
      </c>
      <c r="CO21" s="197">
        <f t="shared" si="46"/>
        <v>7130.0948326530961</v>
      </c>
      <c r="CP21" s="197">
        <f t="shared" si="47"/>
        <v>-3229.1736388460654</v>
      </c>
      <c r="CQ21" s="199">
        <f t="shared" si="48"/>
        <v>-1634.8582984575787</v>
      </c>
      <c r="CR21" s="197"/>
      <c r="CT21" s="204">
        <f t="shared" si="69"/>
        <v>10</v>
      </c>
      <c r="CU21" s="225">
        <f>'Energy NPV'!$D74</f>
        <v>11.617000000000001</v>
      </c>
      <c r="CV21" s="197">
        <f>'Energy margins'!$S$12</f>
        <v>55</v>
      </c>
      <c r="CW21" s="197">
        <f t="shared" si="49"/>
        <v>638.93500000000006</v>
      </c>
      <c r="CX21" s="197">
        <f>'Margins summary'!$U$14</f>
        <v>220</v>
      </c>
      <c r="CY21" s="197">
        <f t="shared" si="50"/>
        <v>858.93500000000006</v>
      </c>
      <c r="CZ21" s="197"/>
      <c r="DA21" s="897">
        <f>'Energy NPV'!U74</f>
        <v>278.04200000000003</v>
      </c>
      <c r="DB21" s="197"/>
      <c r="DC21" s="197">
        <f t="shared" si="51"/>
        <v>278.04200000000003</v>
      </c>
      <c r="DD21" s="197">
        <f t="shared" si="8"/>
        <v>360.89300000000003</v>
      </c>
      <c r="DE21" s="197">
        <f t="shared" si="9"/>
        <v>580.89300000000003</v>
      </c>
      <c r="DF21" s="196">
        <f t="shared" si="52"/>
        <v>638.93500000000006</v>
      </c>
      <c r="DG21" s="197">
        <f t="shared" si="53"/>
        <v>220</v>
      </c>
      <c r="DH21" s="197">
        <f t="shared" si="54"/>
        <v>278.04200000000003</v>
      </c>
      <c r="DI21" s="197">
        <f t="shared" si="55"/>
        <v>360.89300000000003</v>
      </c>
      <c r="DJ21" s="199">
        <f t="shared" si="56"/>
        <v>580.89300000000003</v>
      </c>
      <c r="DK21" s="196">
        <f t="shared" si="70"/>
        <v>5640.9283333333342</v>
      </c>
      <c r="DL21" s="197">
        <f t="shared" si="57"/>
        <v>2200</v>
      </c>
      <c r="DM21" s="197">
        <f t="shared" si="58"/>
        <v>7930.470000000003</v>
      </c>
      <c r="DN21" s="197">
        <f t="shared" si="59"/>
        <v>-2289.5416666666661</v>
      </c>
      <c r="DO21" s="199">
        <f t="shared" si="60"/>
        <v>-89.54166666666606</v>
      </c>
    </row>
    <row r="22" spans="2:119" x14ac:dyDescent="0.3">
      <c r="B22" s="204">
        <f t="shared" si="61"/>
        <v>11</v>
      </c>
      <c r="C22" s="225">
        <f>'Energy NPV'!$D75</f>
        <v>11.617000000000001</v>
      </c>
      <c r="D22" s="197">
        <f>'Energy margins'!$S$12</f>
        <v>55</v>
      </c>
      <c r="E22" s="197">
        <f t="shared" si="10"/>
        <v>638.93500000000006</v>
      </c>
      <c r="F22" s="197">
        <f>'Margins summary'!$U$14</f>
        <v>220</v>
      </c>
      <c r="G22" s="197">
        <f t="shared" si="11"/>
        <v>858.93500000000006</v>
      </c>
      <c r="H22" s="197"/>
      <c r="I22" s="897">
        <f>'Energy NPV'!U75</f>
        <v>278.04200000000003</v>
      </c>
      <c r="J22" s="197"/>
      <c r="K22" s="197">
        <f t="shared" si="12"/>
        <v>278.04200000000003</v>
      </c>
      <c r="L22" s="197">
        <f t="shared" si="0"/>
        <v>360.89300000000003</v>
      </c>
      <c r="M22" s="197">
        <f t="shared" si="1"/>
        <v>580.89300000000003</v>
      </c>
      <c r="N22" s="196">
        <f t="shared" si="13"/>
        <v>431.64159220871164</v>
      </c>
      <c r="O22" s="197">
        <f t="shared" si="14"/>
        <v>148.62411714167567</v>
      </c>
      <c r="P22" s="197">
        <f t="shared" si="15"/>
        <v>187.8352126286627</v>
      </c>
      <c r="Q22" s="197">
        <f t="shared" si="16"/>
        <v>243.80637958004894</v>
      </c>
      <c r="R22" s="199">
        <f t="shared" si="17"/>
        <v>392.43049672172464</v>
      </c>
      <c r="S22" s="196">
        <f t="shared" si="62"/>
        <v>5082.7931952753006</v>
      </c>
      <c r="T22" s="197">
        <f t="shared" si="18"/>
        <v>2004.397071458106</v>
      </c>
      <c r="U22" s="197">
        <f t="shared" si="18"/>
        <v>7664.9229268869794</v>
      </c>
      <c r="V22" s="197">
        <f t="shared" si="18"/>
        <v>-2582.1297316116788</v>
      </c>
      <c r="W22" s="199">
        <f t="shared" si="18"/>
        <v>-577.73266015357353</v>
      </c>
      <c r="X22" s="197"/>
      <c r="Z22" s="204">
        <f t="shared" si="63"/>
        <v>11</v>
      </c>
      <c r="AA22" s="225">
        <f>'Energy NPV'!$D75</f>
        <v>11.617000000000001</v>
      </c>
      <c r="AB22" s="197">
        <f>'Energy margins'!$S$12</f>
        <v>55</v>
      </c>
      <c r="AC22" s="197">
        <f t="shared" si="19"/>
        <v>638.93500000000006</v>
      </c>
      <c r="AD22" s="197">
        <f>'Margins summary'!$U$14</f>
        <v>220</v>
      </c>
      <c r="AE22" s="197">
        <f t="shared" si="20"/>
        <v>858.93500000000006</v>
      </c>
      <c r="AF22" s="197"/>
      <c r="AG22" s="897">
        <f>'Energy NPV'!U75</f>
        <v>278.04200000000003</v>
      </c>
      <c r="AH22" s="197"/>
      <c r="AI22" s="197">
        <f t="shared" si="21"/>
        <v>278.04200000000003</v>
      </c>
      <c r="AJ22" s="197">
        <f t="shared" si="2"/>
        <v>360.89300000000003</v>
      </c>
      <c r="AK22" s="197">
        <f t="shared" si="3"/>
        <v>580.89300000000003</v>
      </c>
      <c r="AL22" s="196">
        <f t="shared" si="22"/>
        <v>356.77796678826087</v>
      </c>
      <c r="AM22" s="197">
        <f t="shared" si="23"/>
        <v>122.84685092132594</v>
      </c>
      <c r="AN22" s="197">
        <f t="shared" si="24"/>
        <v>155.25720056303322</v>
      </c>
      <c r="AO22" s="197">
        <f t="shared" si="25"/>
        <v>201.52076622522765</v>
      </c>
      <c r="AP22" s="199">
        <f t="shared" si="26"/>
        <v>324.36761714655358</v>
      </c>
      <c r="AQ22" s="196">
        <f t="shared" si="64"/>
        <v>4607.7271110227521</v>
      </c>
      <c r="AR22" s="197">
        <f t="shared" si="27"/>
        <v>1839.2191513112327</v>
      </c>
      <c r="AS22" s="197">
        <f t="shared" si="27"/>
        <v>7447.6815432445674</v>
      </c>
      <c r="AT22" s="197">
        <f t="shared" si="27"/>
        <v>-2839.9544322218148</v>
      </c>
      <c r="AU22" s="199">
        <f t="shared" si="27"/>
        <v>-1000.7352809105826</v>
      </c>
      <c r="AV22" s="197"/>
      <c r="AX22" s="204">
        <f t="shared" si="65"/>
        <v>11</v>
      </c>
      <c r="AY22" s="225">
        <f>'Energy NPV'!$D75</f>
        <v>11.617000000000001</v>
      </c>
      <c r="AZ22" s="197">
        <f>'Energy margins'!$S$12</f>
        <v>55</v>
      </c>
      <c r="BA22" s="197">
        <f t="shared" si="28"/>
        <v>638.93500000000006</v>
      </c>
      <c r="BB22" s="197">
        <f>'Margins summary'!$U$14</f>
        <v>220</v>
      </c>
      <c r="BC22" s="197">
        <f t="shared" si="29"/>
        <v>858.93500000000006</v>
      </c>
      <c r="BD22" s="197"/>
      <c r="BE22" s="897">
        <f>'Energy NPV'!U75</f>
        <v>278.04200000000003</v>
      </c>
      <c r="BF22" s="197"/>
      <c r="BG22" s="197">
        <f t="shared" si="30"/>
        <v>278.04200000000003</v>
      </c>
      <c r="BH22" s="197">
        <f t="shared" si="4"/>
        <v>360.89300000000003</v>
      </c>
      <c r="BI22" s="197">
        <f t="shared" si="5"/>
        <v>580.89300000000003</v>
      </c>
      <c r="BJ22" s="196">
        <f t="shared" si="31"/>
        <v>524.14924098073243</v>
      </c>
      <c r="BK22" s="197">
        <f t="shared" si="32"/>
        <v>180.47662597253415</v>
      </c>
      <c r="BL22" s="197">
        <f t="shared" si="33"/>
        <v>228.09128199388795</v>
      </c>
      <c r="BM22" s="197">
        <f t="shared" si="34"/>
        <v>296.05795898684443</v>
      </c>
      <c r="BN22" s="199">
        <f t="shared" si="35"/>
        <v>476.53458495937861</v>
      </c>
      <c r="BO22" s="196">
        <f t="shared" si="66"/>
        <v>5634.8851507583349</v>
      </c>
      <c r="BP22" s="197">
        <f t="shared" si="36"/>
        <v>2196.1687013732922</v>
      </c>
      <c r="BQ22" s="197">
        <f t="shared" si="36"/>
        <v>7916.2192113398214</v>
      </c>
      <c r="BR22" s="197">
        <f t="shared" si="36"/>
        <v>-2281.3340605814878</v>
      </c>
      <c r="BS22" s="199">
        <f t="shared" si="36"/>
        <v>-85.165359208194729</v>
      </c>
      <c r="BT22" s="197"/>
      <c r="BV22" s="204">
        <f t="shared" si="67"/>
        <v>11</v>
      </c>
      <c r="BW22" s="225">
        <f>'Energy NPV'!$D75</f>
        <v>11.617000000000001</v>
      </c>
      <c r="BX22" s="197">
        <f>'Energy margins'!$S$12</f>
        <v>55</v>
      </c>
      <c r="BY22" s="197">
        <f t="shared" si="37"/>
        <v>638.93500000000006</v>
      </c>
      <c r="BZ22" s="197">
        <f>'Margins summary'!$U$14</f>
        <v>220</v>
      </c>
      <c r="CA22" s="197">
        <f t="shared" si="38"/>
        <v>858.93500000000006</v>
      </c>
      <c r="CB22" s="197"/>
      <c r="CC22" s="897">
        <f>'Energy NPV'!U75</f>
        <v>278.04200000000003</v>
      </c>
      <c r="CD22" s="197"/>
      <c r="CE22" s="197">
        <f t="shared" si="39"/>
        <v>278.04200000000003</v>
      </c>
      <c r="CF22" s="197">
        <f t="shared" si="6"/>
        <v>360.89300000000003</v>
      </c>
      <c r="CG22" s="197">
        <f t="shared" si="7"/>
        <v>580.89300000000003</v>
      </c>
      <c r="CH22" s="196">
        <f t="shared" si="40"/>
        <v>295.95053130938777</v>
      </c>
      <c r="CI22" s="197">
        <f t="shared" si="41"/>
        <v>101.90256737863054</v>
      </c>
      <c r="CJ22" s="197">
        <f t="shared" si="42"/>
        <v>128.7872438140418</v>
      </c>
      <c r="CK22" s="197">
        <f t="shared" si="43"/>
        <v>167.16328749534597</v>
      </c>
      <c r="CL22" s="199">
        <f t="shared" si="44"/>
        <v>269.06585487397649</v>
      </c>
      <c r="CM22" s="196">
        <f t="shared" si="68"/>
        <v>4196.871725116418</v>
      </c>
      <c r="CN22" s="197">
        <f t="shared" si="45"/>
        <v>1696.2179077671174</v>
      </c>
      <c r="CO22" s="197">
        <f t="shared" si="46"/>
        <v>7258.8820764671382</v>
      </c>
      <c r="CP22" s="197">
        <f t="shared" si="47"/>
        <v>-3062.0103513507192</v>
      </c>
      <c r="CQ22" s="199">
        <f t="shared" si="48"/>
        <v>-1365.7924435836021</v>
      </c>
      <c r="CR22" s="197"/>
      <c r="CT22" s="204">
        <f t="shared" si="69"/>
        <v>11</v>
      </c>
      <c r="CU22" s="225">
        <f>'Energy NPV'!$D75</f>
        <v>11.617000000000001</v>
      </c>
      <c r="CV22" s="197">
        <f>'Energy margins'!$S$12</f>
        <v>55</v>
      </c>
      <c r="CW22" s="197">
        <f t="shared" si="49"/>
        <v>638.93500000000006</v>
      </c>
      <c r="CX22" s="197">
        <f>'Margins summary'!$U$14</f>
        <v>220</v>
      </c>
      <c r="CY22" s="197">
        <f t="shared" si="50"/>
        <v>858.93500000000006</v>
      </c>
      <c r="CZ22" s="197"/>
      <c r="DA22" s="897">
        <f>'Energy NPV'!U75</f>
        <v>278.04200000000003</v>
      </c>
      <c r="DB22" s="197"/>
      <c r="DC22" s="197">
        <f t="shared" si="51"/>
        <v>278.04200000000003</v>
      </c>
      <c r="DD22" s="197">
        <f t="shared" si="8"/>
        <v>360.89300000000003</v>
      </c>
      <c r="DE22" s="197">
        <f t="shared" si="9"/>
        <v>580.89300000000003</v>
      </c>
      <c r="DF22" s="196">
        <f t="shared" si="52"/>
        <v>638.93500000000006</v>
      </c>
      <c r="DG22" s="197">
        <f t="shared" si="53"/>
        <v>220</v>
      </c>
      <c r="DH22" s="197">
        <f t="shared" si="54"/>
        <v>278.04200000000003</v>
      </c>
      <c r="DI22" s="197">
        <f t="shared" si="55"/>
        <v>360.89300000000003</v>
      </c>
      <c r="DJ22" s="199">
        <f t="shared" si="56"/>
        <v>580.89300000000003</v>
      </c>
      <c r="DK22" s="196">
        <f t="shared" si="70"/>
        <v>6279.8633333333346</v>
      </c>
      <c r="DL22" s="197">
        <f t="shared" si="57"/>
        <v>2420</v>
      </c>
      <c r="DM22" s="197">
        <f t="shared" si="58"/>
        <v>8208.5120000000024</v>
      </c>
      <c r="DN22" s="197">
        <f t="shared" si="59"/>
        <v>-1928.648666666666</v>
      </c>
      <c r="DO22" s="199">
        <f t="shared" si="60"/>
        <v>491.35133333333397</v>
      </c>
    </row>
    <row r="23" spans="2:119" x14ac:dyDescent="0.3">
      <c r="B23" s="204">
        <f t="shared" si="61"/>
        <v>12</v>
      </c>
      <c r="C23" s="225">
        <f>'Energy NPV'!$D76</f>
        <v>11.617000000000001</v>
      </c>
      <c r="D23" s="197">
        <f>'Energy margins'!$S$12</f>
        <v>55</v>
      </c>
      <c r="E23" s="197">
        <f t="shared" si="10"/>
        <v>638.93500000000006</v>
      </c>
      <c r="F23" s="197">
        <f>'Margins summary'!$U$14</f>
        <v>220</v>
      </c>
      <c r="G23" s="197">
        <f t="shared" si="11"/>
        <v>858.93500000000006</v>
      </c>
      <c r="H23" s="197"/>
      <c r="I23" s="897">
        <f>'Energy NPV'!U76</f>
        <v>278.04200000000003</v>
      </c>
      <c r="J23" s="197"/>
      <c r="K23" s="197">
        <f t="shared" si="12"/>
        <v>278.04200000000003</v>
      </c>
      <c r="L23" s="197">
        <f t="shared" si="0"/>
        <v>360.89300000000003</v>
      </c>
      <c r="M23" s="197">
        <f t="shared" si="1"/>
        <v>580.89300000000003</v>
      </c>
      <c r="N23" s="196">
        <f t="shared" si="13"/>
        <v>415.0399925083766</v>
      </c>
      <c r="O23" s="197">
        <f t="shared" si="14"/>
        <v>142.90780494391893</v>
      </c>
      <c r="P23" s="197">
        <f t="shared" si="15"/>
        <v>180.61078137371416</v>
      </c>
      <c r="Q23" s="197">
        <f t="shared" si="16"/>
        <v>234.42921113466247</v>
      </c>
      <c r="R23" s="199">
        <f t="shared" si="17"/>
        <v>377.33701607858137</v>
      </c>
      <c r="S23" s="196">
        <f t="shared" si="62"/>
        <v>5497.8331877836772</v>
      </c>
      <c r="T23" s="197">
        <f t="shared" si="18"/>
        <v>2147.304876402025</v>
      </c>
      <c r="U23" s="197">
        <f t="shared" si="18"/>
        <v>7845.5337082606939</v>
      </c>
      <c r="V23" s="197">
        <f t="shared" si="18"/>
        <v>-2347.7005204770162</v>
      </c>
      <c r="W23" s="199">
        <f t="shared" si="18"/>
        <v>-200.39564407499216</v>
      </c>
      <c r="X23" s="197"/>
      <c r="Z23" s="204">
        <f t="shared" si="63"/>
        <v>12</v>
      </c>
      <c r="AA23" s="225">
        <f>'Energy NPV'!$D76</f>
        <v>11.617000000000001</v>
      </c>
      <c r="AB23" s="197">
        <f>'Energy margins'!$S$12</f>
        <v>55</v>
      </c>
      <c r="AC23" s="197">
        <f t="shared" si="19"/>
        <v>638.93500000000006</v>
      </c>
      <c r="AD23" s="197">
        <f>'Margins summary'!$U$14</f>
        <v>220</v>
      </c>
      <c r="AE23" s="197">
        <f t="shared" si="20"/>
        <v>858.93500000000006</v>
      </c>
      <c r="AF23" s="197"/>
      <c r="AG23" s="897">
        <f>'Energy NPV'!U76</f>
        <v>278.04200000000003</v>
      </c>
      <c r="AH23" s="197"/>
      <c r="AI23" s="197">
        <f t="shared" si="21"/>
        <v>278.04200000000003</v>
      </c>
      <c r="AJ23" s="197">
        <f t="shared" si="2"/>
        <v>360.89300000000003</v>
      </c>
      <c r="AK23" s="197">
        <f t="shared" si="3"/>
        <v>580.89300000000003</v>
      </c>
      <c r="AL23" s="196">
        <f t="shared" si="22"/>
        <v>336.58298753609512</v>
      </c>
      <c r="AM23" s="197">
        <f t="shared" si="23"/>
        <v>115.89325558615653</v>
      </c>
      <c r="AN23" s="197">
        <f t="shared" si="24"/>
        <v>146.46905713493697</v>
      </c>
      <c r="AO23" s="197">
        <f t="shared" si="25"/>
        <v>190.11393040115814</v>
      </c>
      <c r="AP23" s="199">
        <f t="shared" si="26"/>
        <v>306.00718598731464</v>
      </c>
      <c r="AQ23" s="196">
        <f t="shared" si="64"/>
        <v>4944.3100985588471</v>
      </c>
      <c r="AR23" s="197">
        <f t="shared" si="27"/>
        <v>1955.1124068973893</v>
      </c>
      <c r="AS23" s="197">
        <f t="shared" si="27"/>
        <v>7594.1506003795039</v>
      </c>
      <c r="AT23" s="197">
        <f t="shared" si="27"/>
        <v>-2649.8405018206568</v>
      </c>
      <c r="AU23" s="199">
        <f t="shared" si="27"/>
        <v>-694.72809492326792</v>
      </c>
      <c r="AV23" s="197"/>
      <c r="AX23" s="204">
        <f t="shared" si="65"/>
        <v>12</v>
      </c>
      <c r="AY23" s="225">
        <f>'Energy NPV'!$D76</f>
        <v>11.617000000000001</v>
      </c>
      <c r="AZ23" s="197">
        <f>'Energy margins'!$S$12</f>
        <v>55</v>
      </c>
      <c r="BA23" s="197">
        <f t="shared" si="28"/>
        <v>638.93500000000006</v>
      </c>
      <c r="BB23" s="197">
        <f>'Margins summary'!$U$14</f>
        <v>220</v>
      </c>
      <c r="BC23" s="197">
        <f t="shared" si="29"/>
        <v>858.93500000000006</v>
      </c>
      <c r="BD23" s="197"/>
      <c r="BE23" s="897">
        <f>'Energy NPV'!U76</f>
        <v>278.04200000000003</v>
      </c>
      <c r="BF23" s="197"/>
      <c r="BG23" s="197">
        <f t="shared" si="30"/>
        <v>278.04200000000003</v>
      </c>
      <c r="BH23" s="197">
        <f t="shared" si="4"/>
        <v>360.89300000000003</v>
      </c>
      <c r="BI23" s="197">
        <f t="shared" si="5"/>
        <v>580.89300000000003</v>
      </c>
      <c r="BJ23" s="196">
        <f t="shared" si="31"/>
        <v>513.87180488307104</v>
      </c>
      <c r="BK23" s="197">
        <f t="shared" si="32"/>
        <v>176.93786860052373</v>
      </c>
      <c r="BL23" s="197">
        <f t="shared" si="33"/>
        <v>223.61890391557645</v>
      </c>
      <c r="BM23" s="197">
        <f t="shared" si="34"/>
        <v>290.25290096749461</v>
      </c>
      <c r="BN23" s="199">
        <f t="shared" si="35"/>
        <v>467.19076956801831</v>
      </c>
      <c r="BO23" s="196">
        <f t="shared" si="66"/>
        <v>6148.7569556414055</v>
      </c>
      <c r="BP23" s="197">
        <f t="shared" si="36"/>
        <v>2373.106569973816</v>
      </c>
      <c r="BQ23" s="197">
        <f t="shared" si="36"/>
        <v>8139.8381152553975</v>
      </c>
      <c r="BR23" s="197">
        <f t="shared" si="36"/>
        <v>-1991.0811596139933</v>
      </c>
      <c r="BS23" s="199">
        <f t="shared" si="36"/>
        <v>382.02541035982358</v>
      </c>
      <c r="BT23" s="197"/>
      <c r="BV23" s="204">
        <f t="shared" si="67"/>
        <v>12</v>
      </c>
      <c r="BW23" s="225">
        <f>'Energy NPV'!$D76</f>
        <v>11.617000000000001</v>
      </c>
      <c r="BX23" s="197">
        <f>'Energy margins'!$S$12</f>
        <v>55</v>
      </c>
      <c r="BY23" s="197">
        <f t="shared" si="37"/>
        <v>638.93500000000006</v>
      </c>
      <c r="BZ23" s="197">
        <f>'Margins summary'!$U$14</f>
        <v>220</v>
      </c>
      <c r="CA23" s="197">
        <f t="shared" si="38"/>
        <v>858.93500000000006</v>
      </c>
      <c r="CB23" s="197"/>
      <c r="CC23" s="897">
        <f>'Energy NPV'!U76</f>
        <v>278.04200000000003</v>
      </c>
      <c r="CD23" s="197"/>
      <c r="CE23" s="197">
        <f t="shared" si="39"/>
        <v>278.04200000000003</v>
      </c>
      <c r="CF23" s="197">
        <f t="shared" si="6"/>
        <v>360.89300000000003</v>
      </c>
      <c r="CG23" s="197">
        <f t="shared" si="7"/>
        <v>580.89300000000003</v>
      </c>
      <c r="CH23" s="196">
        <f t="shared" si="40"/>
        <v>274.02826973091459</v>
      </c>
      <c r="CI23" s="197">
        <f t="shared" si="41"/>
        <v>94.354229054287529</v>
      </c>
      <c r="CJ23" s="197">
        <f t="shared" si="42"/>
        <v>119.24744797596462</v>
      </c>
      <c r="CK23" s="197">
        <f t="shared" si="43"/>
        <v>154.78082175494998</v>
      </c>
      <c r="CL23" s="199">
        <f t="shared" si="44"/>
        <v>249.1350508092375</v>
      </c>
      <c r="CM23" s="196">
        <f t="shared" si="68"/>
        <v>4470.8999948473329</v>
      </c>
      <c r="CN23" s="197">
        <f t="shared" si="45"/>
        <v>1790.5721368214049</v>
      </c>
      <c r="CO23" s="197">
        <f t="shared" si="46"/>
        <v>7378.129524443103</v>
      </c>
      <c r="CP23" s="197">
        <f t="shared" si="47"/>
        <v>-2907.2295295957692</v>
      </c>
      <c r="CQ23" s="199">
        <f t="shared" si="48"/>
        <v>-1116.6573927743646</v>
      </c>
      <c r="CR23" s="197"/>
      <c r="CT23" s="204">
        <f t="shared" si="69"/>
        <v>12</v>
      </c>
      <c r="CU23" s="225">
        <f>'Energy NPV'!$D76</f>
        <v>11.617000000000001</v>
      </c>
      <c r="CV23" s="197">
        <f>'Energy margins'!$S$12</f>
        <v>55</v>
      </c>
      <c r="CW23" s="197">
        <f t="shared" si="49"/>
        <v>638.93500000000006</v>
      </c>
      <c r="CX23" s="197">
        <f>'Margins summary'!$U$14</f>
        <v>220</v>
      </c>
      <c r="CY23" s="197">
        <f t="shared" si="50"/>
        <v>858.93500000000006</v>
      </c>
      <c r="CZ23" s="197"/>
      <c r="DA23" s="897">
        <f>'Energy NPV'!U76</f>
        <v>278.04200000000003</v>
      </c>
      <c r="DB23" s="197"/>
      <c r="DC23" s="197">
        <f t="shared" si="51"/>
        <v>278.04200000000003</v>
      </c>
      <c r="DD23" s="197">
        <f t="shared" si="8"/>
        <v>360.89300000000003</v>
      </c>
      <c r="DE23" s="197">
        <f t="shared" si="9"/>
        <v>580.89300000000003</v>
      </c>
      <c r="DF23" s="196">
        <f t="shared" si="52"/>
        <v>638.93500000000006</v>
      </c>
      <c r="DG23" s="197">
        <f t="shared" si="53"/>
        <v>220</v>
      </c>
      <c r="DH23" s="197">
        <f t="shared" si="54"/>
        <v>278.04200000000003</v>
      </c>
      <c r="DI23" s="197">
        <f t="shared" si="55"/>
        <v>360.89300000000003</v>
      </c>
      <c r="DJ23" s="199">
        <f t="shared" si="56"/>
        <v>580.89300000000003</v>
      </c>
      <c r="DK23" s="196">
        <f t="shared" si="70"/>
        <v>6918.798333333335</v>
      </c>
      <c r="DL23" s="197">
        <f t="shared" si="57"/>
        <v>2640</v>
      </c>
      <c r="DM23" s="197">
        <f t="shared" si="58"/>
        <v>8486.5540000000019</v>
      </c>
      <c r="DN23" s="197">
        <f t="shared" si="59"/>
        <v>-1567.755666666666</v>
      </c>
      <c r="DO23" s="199">
        <f t="shared" si="60"/>
        <v>1072.244333333334</v>
      </c>
    </row>
    <row r="24" spans="2:119" x14ac:dyDescent="0.3">
      <c r="B24" s="204">
        <f t="shared" si="61"/>
        <v>13</v>
      </c>
      <c r="C24" s="225">
        <f>'Energy NPV'!$D77</f>
        <v>11.617000000000001</v>
      </c>
      <c r="D24" s="197">
        <f>'Energy margins'!$S$12</f>
        <v>55</v>
      </c>
      <c r="E24" s="197">
        <f t="shared" si="10"/>
        <v>638.93500000000006</v>
      </c>
      <c r="F24" s="197">
        <f>'Margins summary'!$U$14</f>
        <v>220</v>
      </c>
      <c r="G24" s="197">
        <f t="shared" si="11"/>
        <v>858.93500000000006</v>
      </c>
      <c r="H24" s="197"/>
      <c r="I24" s="897">
        <f>'Energy NPV'!U77</f>
        <v>278.04200000000003</v>
      </c>
      <c r="J24" s="197"/>
      <c r="K24" s="197">
        <f t="shared" si="12"/>
        <v>278.04200000000003</v>
      </c>
      <c r="L24" s="197">
        <f t="shared" si="0"/>
        <v>360.89300000000003</v>
      </c>
      <c r="M24" s="197">
        <f t="shared" si="1"/>
        <v>580.89300000000003</v>
      </c>
      <c r="N24" s="196">
        <f t="shared" si="13"/>
        <v>399.07691587343896</v>
      </c>
      <c r="O24" s="197">
        <f t="shared" si="14"/>
        <v>137.41135090761432</v>
      </c>
      <c r="P24" s="197">
        <f t="shared" si="15"/>
        <v>173.66421285934049</v>
      </c>
      <c r="Q24" s="197">
        <f t="shared" si="16"/>
        <v>225.41270301409847</v>
      </c>
      <c r="R24" s="199">
        <f t="shared" si="17"/>
        <v>362.82405392171279</v>
      </c>
      <c r="S24" s="196">
        <f t="shared" si="62"/>
        <v>5896.9101036571165</v>
      </c>
      <c r="T24" s="197">
        <f t="shared" si="18"/>
        <v>2284.7162273096392</v>
      </c>
      <c r="U24" s="197">
        <f t="shared" si="18"/>
        <v>8019.1979211200342</v>
      </c>
      <c r="V24" s="197">
        <f t="shared" si="18"/>
        <v>-2122.2878174629177</v>
      </c>
      <c r="W24" s="199">
        <f t="shared" si="18"/>
        <v>162.42840984672063</v>
      </c>
      <c r="X24" s="197"/>
      <c r="Z24" s="204">
        <f t="shared" si="63"/>
        <v>13</v>
      </c>
      <c r="AA24" s="225">
        <f>'Energy NPV'!$D77</f>
        <v>11.617000000000001</v>
      </c>
      <c r="AB24" s="197">
        <f>'Energy margins'!$S$12</f>
        <v>55</v>
      </c>
      <c r="AC24" s="197">
        <f t="shared" si="19"/>
        <v>638.93500000000006</v>
      </c>
      <c r="AD24" s="197">
        <f>'Margins summary'!$U$14</f>
        <v>220</v>
      </c>
      <c r="AE24" s="197">
        <f t="shared" si="20"/>
        <v>858.93500000000006</v>
      </c>
      <c r="AF24" s="197"/>
      <c r="AG24" s="897">
        <f>'Energy NPV'!U77</f>
        <v>278.04200000000003</v>
      </c>
      <c r="AH24" s="197"/>
      <c r="AI24" s="197">
        <f t="shared" si="21"/>
        <v>278.04200000000003</v>
      </c>
      <c r="AJ24" s="197">
        <f t="shared" si="2"/>
        <v>360.89300000000003</v>
      </c>
      <c r="AK24" s="197">
        <f t="shared" si="3"/>
        <v>580.89300000000003</v>
      </c>
      <c r="AL24" s="196">
        <f t="shared" si="22"/>
        <v>317.53112031707082</v>
      </c>
      <c r="AM24" s="197">
        <f t="shared" si="23"/>
        <v>109.33325998694011</v>
      </c>
      <c r="AN24" s="197">
        <f t="shared" si="24"/>
        <v>138.1783557876764</v>
      </c>
      <c r="AO24" s="197">
        <f t="shared" si="25"/>
        <v>179.35276452939445</v>
      </c>
      <c r="AP24" s="199">
        <f t="shared" si="26"/>
        <v>288.68602451633456</v>
      </c>
      <c r="AQ24" s="196">
        <f t="shared" si="64"/>
        <v>5261.8412188759175</v>
      </c>
      <c r="AR24" s="197">
        <f t="shared" si="27"/>
        <v>2064.4456668843295</v>
      </c>
      <c r="AS24" s="197">
        <f t="shared" si="27"/>
        <v>7732.32895616718</v>
      </c>
      <c r="AT24" s="197">
        <f t="shared" si="27"/>
        <v>-2470.4877372912624</v>
      </c>
      <c r="AU24" s="199">
        <f t="shared" si="27"/>
        <v>-406.04207040693336</v>
      </c>
      <c r="AV24" s="197"/>
      <c r="AX24" s="204">
        <f t="shared" si="65"/>
        <v>13</v>
      </c>
      <c r="AY24" s="225">
        <f>'Energy NPV'!$D77</f>
        <v>11.617000000000001</v>
      </c>
      <c r="AZ24" s="197">
        <f>'Energy margins'!$S$12</f>
        <v>55</v>
      </c>
      <c r="BA24" s="197">
        <f t="shared" si="28"/>
        <v>638.93500000000006</v>
      </c>
      <c r="BB24" s="197">
        <f>'Margins summary'!$U$14</f>
        <v>220</v>
      </c>
      <c r="BC24" s="197">
        <f t="shared" si="29"/>
        <v>858.93500000000006</v>
      </c>
      <c r="BD24" s="197"/>
      <c r="BE24" s="897">
        <f>'Energy NPV'!U77</f>
        <v>278.04200000000003</v>
      </c>
      <c r="BF24" s="197"/>
      <c r="BG24" s="197">
        <f t="shared" si="30"/>
        <v>278.04200000000003</v>
      </c>
      <c r="BH24" s="197">
        <f t="shared" si="4"/>
        <v>360.89300000000003</v>
      </c>
      <c r="BI24" s="197">
        <f t="shared" si="5"/>
        <v>580.89300000000003</v>
      </c>
      <c r="BJ24" s="196">
        <f t="shared" si="31"/>
        <v>503.79588714026568</v>
      </c>
      <c r="BK24" s="197">
        <f t="shared" si="32"/>
        <v>173.46849862796441</v>
      </c>
      <c r="BL24" s="197">
        <f t="shared" si="33"/>
        <v>219.23421952507493</v>
      </c>
      <c r="BM24" s="197">
        <f t="shared" si="34"/>
        <v>284.56166761519074</v>
      </c>
      <c r="BN24" s="199">
        <f t="shared" si="35"/>
        <v>458.03016624315512</v>
      </c>
      <c r="BO24" s="196">
        <f t="shared" si="66"/>
        <v>6652.5528427816716</v>
      </c>
      <c r="BP24" s="197">
        <f t="shared" si="36"/>
        <v>2546.5750686017805</v>
      </c>
      <c r="BQ24" s="197">
        <f t="shared" si="36"/>
        <v>8359.0723347804724</v>
      </c>
      <c r="BR24" s="197">
        <f t="shared" si="36"/>
        <v>-1706.5194919988026</v>
      </c>
      <c r="BS24" s="199">
        <f t="shared" si="36"/>
        <v>840.0555766029787</v>
      </c>
      <c r="BT24" s="197"/>
      <c r="BV24" s="204">
        <f t="shared" si="67"/>
        <v>13</v>
      </c>
      <c r="BW24" s="225">
        <f>'Energy NPV'!$D77</f>
        <v>11.617000000000001</v>
      </c>
      <c r="BX24" s="197">
        <f>'Energy margins'!$S$12</f>
        <v>55</v>
      </c>
      <c r="BY24" s="197">
        <f t="shared" si="37"/>
        <v>638.93500000000006</v>
      </c>
      <c r="BZ24" s="197">
        <f>'Margins summary'!$U$14</f>
        <v>220</v>
      </c>
      <c r="CA24" s="197">
        <f t="shared" si="38"/>
        <v>858.93500000000006</v>
      </c>
      <c r="CB24" s="197"/>
      <c r="CC24" s="897">
        <f>'Energy NPV'!U77</f>
        <v>278.04200000000003</v>
      </c>
      <c r="CD24" s="197"/>
      <c r="CE24" s="197">
        <f t="shared" si="39"/>
        <v>278.04200000000003</v>
      </c>
      <c r="CF24" s="197">
        <f t="shared" si="6"/>
        <v>360.89300000000003</v>
      </c>
      <c r="CG24" s="197">
        <f t="shared" si="7"/>
        <v>580.89300000000003</v>
      </c>
      <c r="CH24" s="196">
        <f t="shared" si="40"/>
        <v>253.72987938047646</v>
      </c>
      <c r="CI24" s="197">
        <f t="shared" si="41"/>
        <v>87.365026902118075</v>
      </c>
      <c r="CJ24" s="197">
        <f t="shared" si="42"/>
        <v>110.41430368144871</v>
      </c>
      <c r="CK24" s="197">
        <f t="shared" si="43"/>
        <v>143.31557569902773</v>
      </c>
      <c r="CL24" s="199">
        <f t="shared" si="44"/>
        <v>230.68060260114581</v>
      </c>
      <c r="CM24" s="196">
        <f t="shared" si="68"/>
        <v>4724.6298742278095</v>
      </c>
      <c r="CN24" s="197">
        <f t="shared" si="45"/>
        <v>1877.9371637235231</v>
      </c>
      <c r="CO24" s="197">
        <f t="shared" si="46"/>
        <v>7488.5438281245515</v>
      </c>
      <c r="CP24" s="197">
        <f t="shared" si="47"/>
        <v>-2763.9139538967415</v>
      </c>
      <c r="CQ24" s="199">
        <f t="shared" si="48"/>
        <v>-885.97679017321877</v>
      </c>
      <c r="CR24" s="197"/>
      <c r="CT24" s="204">
        <f t="shared" si="69"/>
        <v>13</v>
      </c>
      <c r="CU24" s="225">
        <f>'Energy NPV'!$D77</f>
        <v>11.617000000000001</v>
      </c>
      <c r="CV24" s="197">
        <f>'Energy margins'!$S$12</f>
        <v>55</v>
      </c>
      <c r="CW24" s="197">
        <f t="shared" si="49"/>
        <v>638.93500000000006</v>
      </c>
      <c r="CX24" s="197">
        <f>'Margins summary'!$U$14</f>
        <v>220</v>
      </c>
      <c r="CY24" s="197">
        <f t="shared" si="50"/>
        <v>858.93500000000006</v>
      </c>
      <c r="CZ24" s="197"/>
      <c r="DA24" s="897">
        <f>'Energy NPV'!U77</f>
        <v>278.04200000000003</v>
      </c>
      <c r="DB24" s="197"/>
      <c r="DC24" s="197">
        <f t="shared" si="51"/>
        <v>278.04200000000003</v>
      </c>
      <c r="DD24" s="197">
        <f t="shared" si="8"/>
        <v>360.89300000000003</v>
      </c>
      <c r="DE24" s="197">
        <f t="shared" si="9"/>
        <v>580.89300000000003</v>
      </c>
      <c r="DF24" s="196">
        <f t="shared" si="52"/>
        <v>638.93500000000006</v>
      </c>
      <c r="DG24" s="197">
        <f t="shared" si="53"/>
        <v>220</v>
      </c>
      <c r="DH24" s="197">
        <f t="shared" si="54"/>
        <v>278.04200000000003</v>
      </c>
      <c r="DI24" s="197">
        <f t="shared" si="55"/>
        <v>360.89300000000003</v>
      </c>
      <c r="DJ24" s="199">
        <f t="shared" si="56"/>
        <v>580.89300000000003</v>
      </c>
      <c r="DK24" s="196">
        <f t="shared" si="70"/>
        <v>7557.7333333333354</v>
      </c>
      <c r="DL24" s="197">
        <f t="shared" si="57"/>
        <v>2860</v>
      </c>
      <c r="DM24" s="197">
        <f t="shared" si="58"/>
        <v>8764.5960000000014</v>
      </c>
      <c r="DN24" s="197">
        <f t="shared" si="59"/>
        <v>-1206.862666666666</v>
      </c>
      <c r="DO24" s="199">
        <f t="shared" si="60"/>
        <v>1653.137333333334</v>
      </c>
    </row>
    <row r="25" spans="2:119" x14ac:dyDescent="0.3">
      <c r="B25" s="204">
        <f t="shared" si="61"/>
        <v>14</v>
      </c>
      <c r="C25" s="225">
        <f>'Energy NPV'!$D78</f>
        <v>11.617000000000001</v>
      </c>
      <c r="D25" s="197">
        <f>'Energy margins'!$S$12</f>
        <v>55</v>
      </c>
      <c r="E25" s="197">
        <f t="shared" si="10"/>
        <v>638.93500000000006</v>
      </c>
      <c r="F25" s="197">
        <f>'Margins summary'!$U$14</f>
        <v>220</v>
      </c>
      <c r="G25" s="197">
        <f t="shared" si="11"/>
        <v>858.93500000000006</v>
      </c>
      <c r="H25" s="197"/>
      <c r="I25" s="897">
        <f>'Energy NPV'!U78</f>
        <v>278.04200000000003</v>
      </c>
      <c r="J25" s="197"/>
      <c r="K25" s="197">
        <f t="shared" si="12"/>
        <v>278.04200000000003</v>
      </c>
      <c r="L25" s="197">
        <f t="shared" si="0"/>
        <v>360.89300000000003</v>
      </c>
      <c r="M25" s="197">
        <f t="shared" si="1"/>
        <v>580.89300000000003</v>
      </c>
      <c r="N25" s="196">
        <f t="shared" si="13"/>
        <v>383.7278037244605</v>
      </c>
      <c r="O25" s="197">
        <f t="shared" si="14"/>
        <v>132.12629894962916</v>
      </c>
      <c r="P25" s="197">
        <f t="shared" si="15"/>
        <v>166.98482005705816</v>
      </c>
      <c r="Q25" s="197">
        <f t="shared" si="16"/>
        <v>216.74298366740237</v>
      </c>
      <c r="R25" s="199">
        <f t="shared" si="17"/>
        <v>348.8692826170315</v>
      </c>
      <c r="S25" s="196">
        <f t="shared" si="62"/>
        <v>6280.637907381577</v>
      </c>
      <c r="T25" s="197">
        <f t="shared" si="18"/>
        <v>2416.8425262592682</v>
      </c>
      <c r="U25" s="197">
        <f t="shared" si="18"/>
        <v>8186.1827411770919</v>
      </c>
      <c r="V25" s="197">
        <f t="shared" si="18"/>
        <v>-1905.5448337955154</v>
      </c>
      <c r="W25" s="199">
        <f t="shared" si="18"/>
        <v>511.29769246375213</v>
      </c>
      <c r="X25" s="197"/>
      <c r="Z25" s="204">
        <f t="shared" si="63"/>
        <v>14</v>
      </c>
      <c r="AA25" s="225">
        <f>'Energy NPV'!$D78</f>
        <v>11.617000000000001</v>
      </c>
      <c r="AB25" s="197">
        <f>'Energy margins'!$S$12</f>
        <v>55</v>
      </c>
      <c r="AC25" s="197">
        <f t="shared" si="19"/>
        <v>638.93500000000006</v>
      </c>
      <c r="AD25" s="197">
        <f>'Margins summary'!$U$14</f>
        <v>220</v>
      </c>
      <c r="AE25" s="197">
        <f t="shared" si="20"/>
        <v>858.93500000000006</v>
      </c>
      <c r="AF25" s="197"/>
      <c r="AG25" s="897">
        <f>'Energy NPV'!U78</f>
        <v>278.04200000000003</v>
      </c>
      <c r="AH25" s="197"/>
      <c r="AI25" s="197">
        <f t="shared" si="21"/>
        <v>278.04200000000003</v>
      </c>
      <c r="AJ25" s="197">
        <f t="shared" si="2"/>
        <v>360.89300000000003</v>
      </c>
      <c r="AK25" s="197">
        <f t="shared" si="3"/>
        <v>580.89300000000003</v>
      </c>
      <c r="AL25" s="196">
        <f t="shared" si="22"/>
        <v>299.55766067648187</v>
      </c>
      <c r="AM25" s="197">
        <f t="shared" si="23"/>
        <v>103.14458489333971</v>
      </c>
      <c r="AN25" s="197">
        <f t="shared" si="24"/>
        <v>130.35693942233621</v>
      </c>
      <c r="AO25" s="197">
        <f t="shared" si="25"/>
        <v>169.20072125414569</v>
      </c>
      <c r="AP25" s="199">
        <f t="shared" si="26"/>
        <v>272.34530614748542</v>
      </c>
      <c r="AQ25" s="196">
        <f t="shared" si="64"/>
        <v>5561.3988795523992</v>
      </c>
      <c r="AR25" s="197">
        <f t="shared" si="27"/>
        <v>2167.5902517776694</v>
      </c>
      <c r="AS25" s="197">
        <f t="shared" si="27"/>
        <v>7862.6858955895159</v>
      </c>
      <c r="AT25" s="197">
        <f t="shared" si="27"/>
        <v>-2301.2870160371167</v>
      </c>
      <c r="AU25" s="199">
        <f t="shared" si="27"/>
        <v>-133.69676425944795</v>
      </c>
      <c r="AV25" s="197"/>
      <c r="AX25" s="204">
        <f t="shared" si="65"/>
        <v>14</v>
      </c>
      <c r="AY25" s="225">
        <f>'Energy NPV'!$D78</f>
        <v>11.617000000000001</v>
      </c>
      <c r="AZ25" s="197">
        <f>'Energy margins'!$S$12</f>
        <v>55</v>
      </c>
      <c r="BA25" s="197">
        <f t="shared" si="28"/>
        <v>638.93500000000006</v>
      </c>
      <c r="BB25" s="197">
        <f>'Margins summary'!$U$14</f>
        <v>220</v>
      </c>
      <c r="BC25" s="197">
        <f t="shared" si="29"/>
        <v>858.93500000000006</v>
      </c>
      <c r="BD25" s="197"/>
      <c r="BE25" s="897">
        <f>'Energy NPV'!U78</f>
        <v>278.04200000000003</v>
      </c>
      <c r="BF25" s="197"/>
      <c r="BG25" s="197">
        <f t="shared" si="30"/>
        <v>278.04200000000003</v>
      </c>
      <c r="BH25" s="197">
        <f t="shared" si="4"/>
        <v>360.89300000000003</v>
      </c>
      <c r="BI25" s="197">
        <f t="shared" si="5"/>
        <v>580.89300000000003</v>
      </c>
      <c r="BJ25" s="196">
        <f t="shared" si="31"/>
        <v>493.91753641202519</v>
      </c>
      <c r="BK25" s="197">
        <f t="shared" si="32"/>
        <v>170.06715551761218</v>
      </c>
      <c r="BL25" s="197">
        <f t="shared" si="33"/>
        <v>214.93550933830878</v>
      </c>
      <c r="BM25" s="197">
        <f t="shared" si="34"/>
        <v>278.98202707371644</v>
      </c>
      <c r="BN25" s="199">
        <f t="shared" si="35"/>
        <v>449.04918259132859</v>
      </c>
      <c r="BO25" s="196">
        <f t="shared" si="66"/>
        <v>7146.4703791936972</v>
      </c>
      <c r="BP25" s="197">
        <f t="shared" si="36"/>
        <v>2716.6422241193927</v>
      </c>
      <c r="BQ25" s="197">
        <f t="shared" si="36"/>
        <v>8574.0078441187816</v>
      </c>
      <c r="BR25" s="197">
        <f t="shared" si="36"/>
        <v>-1427.5374649250862</v>
      </c>
      <c r="BS25" s="199">
        <f t="shared" si="36"/>
        <v>1289.1047591943072</v>
      </c>
      <c r="BT25" s="197"/>
      <c r="BV25" s="204">
        <f t="shared" si="67"/>
        <v>14</v>
      </c>
      <c r="BW25" s="225">
        <f>'Energy NPV'!$D78</f>
        <v>11.617000000000001</v>
      </c>
      <c r="BX25" s="197">
        <f>'Energy margins'!$S$12</f>
        <v>55</v>
      </c>
      <c r="BY25" s="197">
        <f t="shared" si="37"/>
        <v>638.93500000000006</v>
      </c>
      <c r="BZ25" s="197">
        <f>'Margins summary'!$U$14</f>
        <v>220</v>
      </c>
      <c r="CA25" s="197">
        <f t="shared" si="38"/>
        <v>858.93500000000006</v>
      </c>
      <c r="CB25" s="197"/>
      <c r="CC25" s="897">
        <f>'Energy NPV'!U78</f>
        <v>278.04200000000003</v>
      </c>
      <c r="CD25" s="197"/>
      <c r="CE25" s="197">
        <f t="shared" si="39"/>
        <v>278.04200000000003</v>
      </c>
      <c r="CF25" s="197">
        <f t="shared" si="6"/>
        <v>360.89300000000003</v>
      </c>
      <c r="CG25" s="197">
        <f t="shared" si="7"/>
        <v>580.89300000000003</v>
      </c>
      <c r="CH25" s="196">
        <f t="shared" si="40"/>
        <v>234.93507350044118</v>
      </c>
      <c r="CI25" s="197">
        <f t="shared" si="41"/>
        <v>80.89354342788711</v>
      </c>
      <c r="CJ25" s="197">
        <f t="shared" si="42"/>
        <v>102.23546637171178</v>
      </c>
      <c r="CK25" s="197">
        <f t="shared" si="43"/>
        <v>132.69960712872938</v>
      </c>
      <c r="CL25" s="199">
        <f t="shared" si="44"/>
        <v>213.59315055661651</v>
      </c>
      <c r="CM25" s="196">
        <f t="shared" si="68"/>
        <v>4959.5649477282504</v>
      </c>
      <c r="CN25" s="197">
        <f t="shared" si="45"/>
        <v>1958.8307071514103</v>
      </c>
      <c r="CO25" s="197">
        <f t="shared" si="46"/>
        <v>7590.779294496263</v>
      </c>
      <c r="CP25" s="197">
        <f t="shared" si="47"/>
        <v>-2631.2143467680121</v>
      </c>
      <c r="CQ25" s="199">
        <f t="shared" si="48"/>
        <v>-672.3836396166023</v>
      </c>
      <c r="CR25" s="197"/>
      <c r="CT25" s="204">
        <f t="shared" si="69"/>
        <v>14</v>
      </c>
      <c r="CU25" s="225">
        <f>'Energy NPV'!$D78</f>
        <v>11.617000000000001</v>
      </c>
      <c r="CV25" s="197">
        <f>'Energy margins'!$S$12</f>
        <v>55</v>
      </c>
      <c r="CW25" s="197">
        <f t="shared" si="49"/>
        <v>638.93500000000006</v>
      </c>
      <c r="CX25" s="197">
        <f>'Margins summary'!$U$14</f>
        <v>220</v>
      </c>
      <c r="CY25" s="197">
        <f t="shared" si="50"/>
        <v>858.93500000000006</v>
      </c>
      <c r="CZ25" s="197"/>
      <c r="DA25" s="897">
        <f>'Energy NPV'!U78</f>
        <v>278.04200000000003</v>
      </c>
      <c r="DB25" s="197"/>
      <c r="DC25" s="197">
        <f t="shared" si="51"/>
        <v>278.04200000000003</v>
      </c>
      <c r="DD25" s="197">
        <f t="shared" si="8"/>
        <v>360.89300000000003</v>
      </c>
      <c r="DE25" s="197">
        <f t="shared" si="9"/>
        <v>580.89300000000003</v>
      </c>
      <c r="DF25" s="196">
        <f t="shared" si="52"/>
        <v>638.93500000000006</v>
      </c>
      <c r="DG25" s="197">
        <f t="shared" si="53"/>
        <v>220</v>
      </c>
      <c r="DH25" s="197">
        <f t="shared" si="54"/>
        <v>278.04200000000003</v>
      </c>
      <c r="DI25" s="197">
        <f t="shared" si="55"/>
        <v>360.89300000000003</v>
      </c>
      <c r="DJ25" s="199">
        <f t="shared" si="56"/>
        <v>580.89300000000003</v>
      </c>
      <c r="DK25" s="196">
        <f t="shared" si="70"/>
        <v>8196.6683333333349</v>
      </c>
      <c r="DL25" s="197">
        <f t="shared" si="57"/>
        <v>3080</v>
      </c>
      <c r="DM25" s="197">
        <f t="shared" si="58"/>
        <v>9042.6380000000008</v>
      </c>
      <c r="DN25" s="197">
        <f t="shared" si="59"/>
        <v>-845.96966666666594</v>
      </c>
      <c r="DO25" s="199">
        <f t="shared" si="60"/>
        <v>2234.0303333333341</v>
      </c>
    </row>
    <row r="26" spans="2:119" x14ac:dyDescent="0.3">
      <c r="B26" s="204">
        <f t="shared" si="61"/>
        <v>15</v>
      </c>
      <c r="C26" s="225">
        <f>'Energy NPV'!$D79</f>
        <v>11.617000000000001</v>
      </c>
      <c r="D26" s="197">
        <f>'Energy margins'!$S$12</f>
        <v>55</v>
      </c>
      <c r="E26" s="197">
        <f t="shared" si="10"/>
        <v>638.93500000000006</v>
      </c>
      <c r="F26" s="197">
        <f>'Margins summary'!$U$14</f>
        <v>220</v>
      </c>
      <c r="G26" s="197">
        <f t="shared" si="11"/>
        <v>858.93500000000006</v>
      </c>
      <c r="H26" s="197"/>
      <c r="I26" s="897">
        <f>'Energy NPV'!U79</f>
        <v>278.04200000000003</v>
      </c>
      <c r="J26" s="197"/>
      <c r="K26" s="197">
        <f t="shared" si="12"/>
        <v>278.04200000000003</v>
      </c>
      <c r="L26" s="197">
        <f t="shared" si="0"/>
        <v>360.89300000000003</v>
      </c>
      <c r="M26" s="197">
        <f t="shared" si="1"/>
        <v>580.89300000000003</v>
      </c>
      <c r="N26" s="196">
        <f t="shared" si="13"/>
        <v>368.96904204275052</v>
      </c>
      <c r="O26" s="197">
        <f t="shared" si="14"/>
        <v>127.04451822079727</v>
      </c>
      <c r="P26" s="197">
        <f t="shared" si="15"/>
        <v>160.56232697794053</v>
      </c>
      <c r="Q26" s="197">
        <f t="shared" si="16"/>
        <v>208.40671506480996</v>
      </c>
      <c r="R26" s="199">
        <f t="shared" si="17"/>
        <v>335.45123328560726</v>
      </c>
      <c r="S26" s="196">
        <f t="shared" si="62"/>
        <v>6649.6069494243275</v>
      </c>
      <c r="T26" s="197">
        <f t="shared" si="18"/>
        <v>2543.8870444800655</v>
      </c>
      <c r="U26" s="197">
        <f t="shared" si="18"/>
        <v>8346.7450681550326</v>
      </c>
      <c r="V26" s="197">
        <f t="shared" si="18"/>
        <v>-1697.1381187307054</v>
      </c>
      <c r="W26" s="199">
        <f t="shared" si="18"/>
        <v>846.74892574935939</v>
      </c>
      <c r="X26" s="197"/>
      <c r="Z26" s="204">
        <f t="shared" si="63"/>
        <v>15</v>
      </c>
      <c r="AA26" s="225">
        <f>'Energy NPV'!$D79</f>
        <v>11.617000000000001</v>
      </c>
      <c r="AB26" s="197">
        <f>'Energy margins'!$S$12</f>
        <v>55</v>
      </c>
      <c r="AC26" s="197">
        <f t="shared" si="19"/>
        <v>638.93500000000006</v>
      </c>
      <c r="AD26" s="197">
        <f>'Margins summary'!$U$14</f>
        <v>220</v>
      </c>
      <c r="AE26" s="197">
        <f t="shared" si="20"/>
        <v>858.93500000000006</v>
      </c>
      <c r="AF26" s="197"/>
      <c r="AG26" s="897">
        <f>'Energy NPV'!U79</f>
        <v>278.04200000000003</v>
      </c>
      <c r="AH26" s="197"/>
      <c r="AI26" s="197">
        <f t="shared" si="21"/>
        <v>278.04200000000003</v>
      </c>
      <c r="AJ26" s="197">
        <f t="shared" si="2"/>
        <v>360.89300000000003</v>
      </c>
      <c r="AK26" s="197">
        <f t="shared" si="3"/>
        <v>580.89300000000003</v>
      </c>
      <c r="AL26" s="196">
        <f t="shared" si="22"/>
        <v>282.60156667592634</v>
      </c>
      <c r="AM26" s="197">
        <f t="shared" si="23"/>
        <v>97.306212163528045</v>
      </c>
      <c r="AN26" s="197">
        <f t="shared" si="24"/>
        <v>122.97824473805302</v>
      </c>
      <c r="AO26" s="197">
        <f t="shared" si="25"/>
        <v>159.6233219378733</v>
      </c>
      <c r="AP26" s="199">
        <f t="shared" si="26"/>
        <v>256.92953410140132</v>
      </c>
      <c r="AQ26" s="196">
        <f t="shared" si="64"/>
        <v>5844.0004462283259</v>
      </c>
      <c r="AR26" s="197">
        <f t="shared" si="27"/>
        <v>2264.8964639411975</v>
      </c>
      <c r="AS26" s="197">
        <f t="shared" si="27"/>
        <v>7985.6641403275689</v>
      </c>
      <c r="AT26" s="197">
        <f t="shared" si="27"/>
        <v>-2141.6636940992435</v>
      </c>
      <c r="AU26" s="199">
        <f t="shared" si="27"/>
        <v>123.23276984195337</v>
      </c>
      <c r="AV26" s="197"/>
      <c r="AX26" s="204">
        <f t="shared" si="65"/>
        <v>15</v>
      </c>
      <c r="AY26" s="225">
        <f>'Energy NPV'!$D79</f>
        <v>11.617000000000001</v>
      </c>
      <c r="AZ26" s="197">
        <f>'Energy margins'!$S$12</f>
        <v>55</v>
      </c>
      <c r="BA26" s="197">
        <f t="shared" si="28"/>
        <v>638.93500000000006</v>
      </c>
      <c r="BB26" s="197">
        <f>'Margins summary'!$U$14</f>
        <v>220</v>
      </c>
      <c r="BC26" s="197">
        <f t="shared" si="29"/>
        <v>858.93500000000006</v>
      </c>
      <c r="BD26" s="197"/>
      <c r="BE26" s="897">
        <f>'Energy NPV'!U79</f>
        <v>278.04200000000003</v>
      </c>
      <c r="BF26" s="197"/>
      <c r="BG26" s="197">
        <f t="shared" si="30"/>
        <v>278.04200000000003</v>
      </c>
      <c r="BH26" s="197">
        <f t="shared" si="4"/>
        <v>360.89300000000003</v>
      </c>
      <c r="BI26" s="197">
        <f t="shared" si="5"/>
        <v>580.89300000000003</v>
      </c>
      <c r="BJ26" s="196">
        <f t="shared" si="31"/>
        <v>484.23287883531879</v>
      </c>
      <c r="BK26" s="197">
        <f t="shared" si="32"/>
        <v>166.73250540942368</v>
      </c>
      <c r="BL26" s="197">
        <f t="shared" si="33"/>
        <v>210.7210875865772</v>
      </c>
      <c r="BM26" s="197">
        <f t="shared" si="34"/>
        <v>273.51179124874159</v>
      </c>
      <c r="BN26" s="199">
        <f t="shared" si="35"/>
        <v>440.24429665816524</v>
      </c>
      <c r="BO26" s="196">
        <f t="shared" si="66"/>
        <v>7630.7032580290161</v>
      </c>
      <c r="BP26" s="197">
        <f t="shared" si="36"/>
        <v>2883.3747295288163</v>
      </c>
      <c r="BQ26" s="197">
        <f t="shared" si="36"/>
        <v>8784.7289317053583</v>
      </c>
      <c r="BR26" s="197">
        <f t="shared" si="36"/>
        <v>-1154.0256736763445</v>
      </c>
      <c r="BS26" s="199">
        <f t="shared" si="36"/>
        <v>1729.3490558524725</v>
      </c>
      <c r="BT26" s="197"/>
      <c r="BV26" s="204">
        <f t="shared" si="67"/>
        <v>15</v>
      </c>
      <c r="BW26" s="225">
        <f>'Energy NPV'!$D79</f>
        <v>11.617000000000001</v>
      </c>
      <c r="BX26" s="197">
        <f>'Energy margins'!$S$12</f>
        <v>55</v>
      </c>
      <c r="BY26" s="197">
        <f t="shared" si="37"/>
        <v>638.93500000000006</v>
      </c>
      <c r="BZ26" s="197">
        <f>'Margins summary'!$U$14</f>
        <v>220</v>
      </c>
      <c r="CA26" s="197">
        <f t="shared" si="38"/>
        <v>858.93500000000006</v>
      </c>
      <c r="CB26" s="197"/>
      <c r="CC26" s="897">
        <f>'Energy NPV'!U79</f>
        <v>278.04200000000003</v>
      </c>
      <c r="CD26" s="197"/>
      <c r="CE26" s="197">
        <f t="shared" si="39"/>
        <v>278.04200000000003</v>
      </c>
      <c r="CF26" s="197">
        <f t="shared" si="6"/>
        <v>360.89300000000003</v>
      </c>
      <c r="CG26" s="197">
        <f t="shared" si="7"/>
        <v>580.89300000000003</v>
      </c>
      <c r="CH26" s="196">
        <f t="shared" si="40"/>
        <v>217.53247546337141</v>
      </c>
      <c r="CI26" s="197">
        <f t="shared" si="41"/>
        <v>74.901429099895452</v>
      </c>
      <c r="CJ26" s="197">
        <f t="shared" si="42"/>
        <v>94.662468862696073</v>
      </c>
      <c r="CK26" s="197">
        <f t="shared" si="43"/>
        <v>122.87000660067534</v>
      </c>
      <c r="CL26" s="199">
        <f t="shared" si="44"/>
        <v>197.77143570057081</v>
      </c>
      <c r="CM26" s="196">
        <f t="shared" si="68"/>
        <v>5177.0974231916216</v>
      </c>
      <c r="CN26" s="197">
        <f t="shared" si="45"/>
        <v>2033.7321362513057</v>
      </c>
      <c r="CO26" s="197">
        <f t="shared" si="46"/>
        <v>7685.4417633589592</v>
      </c>
      <c r="CP26" s="197">
        <f t="shared" si="47"/>
        <v>-2508.3443401673367</v>
      </c>
      <c r="CQ26" s="199">
        <f t="shared" si="48"/>
        <v>-474.61220391603149</v>
      </c>
      <c r="CR26" s="197"/>
      <c r="CT26" s="204">
        <f t="shared" si="69"/>
        <v>15</v>
      </c>
      <c r="CU26" s="225">
        <f>'Energy NPV'!$D79</f>
        <v>11.617000000000001</v>
      </c>
      <c r="CV26" s="197">
        <f>'Energy margins'!$S$12</f>
        <v>55</v>
      </c>
      <c r="CW26" s="197">
        <f t="shared" si="49"/>
        <v>638.93500000000006</v>
      </c>
      <c r="CX26" s="197">
        <f>'Margins summary'!$U$14</f>
        <v>220</v>
      </c>
      <c r="CY26" s="197">
        <f t="shared" si="50"/>
        <v>858.93500000000006</v>
      </c>
      <c r="CZ26" s="197"/>
      <c r="DA26" s="897">
        <f>'Energy NPV'!U79</f>
        <v>278.04200000000003</v>
      </c>
      <c r="DB26" s="197"/>
      <c r="DC26" s="197">
        <f t="shared" si="51"/>
        <v>278.04200000000003</v>
      </c>
      <c r="DD26" s="197">
        <f t="shared" si="8"/>
        <v>360.89300000000003</v>
      </c>
      <c r="DE26" s="197">
        <f t="shared" si="9"/>
        <v>580.89300000000003</v>
      </c>
      <c r="DF26" s="196">
        <f t="shared" si="52"/>
        <v>638.93500000000006</v>
      </c>
      <c r="DG26" s="197">
        <f t="shared" si="53"/>
        <v>220</v>
      </c>
      <c r="DH26" s="197">
        <f t="shared" si="54"/>
        <v>278.04200000000003</v>
      </c>
      <c r="DI26" s="197">
        <f t="shared" si="55"/>
        <v>360.89300000000003</v>
      </c>
      <c r="DJ26" s="199">
        <f t="shared" si="56"/>
        <v>580.89300000000003</v>
      </c>
      <c r="DK26" s="196">
        <f t="shared" si="70"/>
        <v>8835.6033333333344</v>
      </c>
      <c r="DL26" s="197">
        <f t="shared" si="57"/>
        <v>3300</v>
      </c>
      <c r="DM26" s="197">
        <f t="shared" si="58"/>
        <v>9320.68</v>
      </c>
      <c r="DN26" s="197">
        <f t="shared" si="59"/>
        <v>-485.07666666666591</v>
      </c>
      <c r="DO26" s="199">
        <f t="shared" si="60"/>
        <v>2814.9233333333341</v>
      </c>
    </row>
    <row r="27" spans="2:119" x14ac:dyDescent="0.3">
      <c r="B27" s="206">
        <f t="shared" si="61"/>
        <v>16</v>
      </c>
      <c r="C27" s="226">
        <f>'Energy NPV'!$D80</f>
        <v>11.617000000000001</v>
      </c>
      <c r="D27" s="207">
        <f>'Energy margins'!$S$12</f>
        <v>55</v>
      </c>
      <c r="E27" s="207">
        <f t="shared" si="10"/>
        <v>638.93500000000006</v>
      </c>
      <c r="F27" s="207">
        <f>'Margins summary'!$U$14</f>
        <v>220</v>
      </c>
      <c r="G27" s="207">
        <f t="shared" si="11"/>
        <v>858.93500000000006</v>
      </c>
      <c r="H27" s="207"/>
      <c r="I27" s="898">
        <f>'Energy NPV'!U80</f>
        <v>278.04200000000003</v>
      </c>
      <c r="J27" s="207">
        <f>'Energy margins'!$X$67</f>
        <v>170</v>
      </c>
      <c r="K27" s="207">
        <f t="shared" si="12"/>
        <v>448.04200000000003</v>
      </c>
      <c r="L27" s="207">
        <f t="shared" si="0"/>
        <v>190.89300000000003</v>
      </c>
      <c r="M27" s="207">
        <f t="shared" si="1"/>
        <v>410.89300000000003</v>
      </c>
      <c r="N27" s="208">
        <f t="shared" si="13"/>
        <v>354.77792504110624</v>
      </c>
      <c r="O27" s="207">
        <f t="shared" si="14"/>
        <v>122.15819059692046</v>
      </c>
      <c r="P27" s="207">
        <f t="shared" si="15"/>
        <v>248.78181832466109</v>
      </c>
      <c r="Q27" s="207">
        <f t="shared" si="16"/>
        <v>105.99610671644518</v>
      </c>
      <c r="R27" s="209">
        <f>M27/((1+$B$4)^(B27-1))</f>
        <v>228.15429731336565</v>
      </c>
      <c r="S27" s="208">
        <f t="shared" si="62"/>
        <v>7004.3848744654333</v>
      </c>
      <c r="T27" s="207">
        <f t="shared" si="18"/>
        <v>2666.045235076986</v>
      </c>
      <c r="U27" s="207">
        <f t="shared" si="18"/>
        <v>8595.5268864796944</v>
      </c>
      <c r="V27" s="207">
        <f t="shared" si="18"/>
        <v>-1591.1420120142602</v>
      </c>
      <c r="W27" s="209">
        <f t="shared" si="18"/>
        <v>1074.9032230627249</v>
      </c>
      <c r="X27" s="197"/>
      <c r="Z27" s="206">
        <f t="shared" si="63"/>
        <v>16</v>
      </c>
      <c r="AA27" s="226">
        <f>'Energy NPV'!$D80</f>
        <v>11.617000000000001</v>
      </c>
      <c r="AB27" s="207">
        <f>'Energy margins'!$S$12</f>
        <v>55</v>
      </c>
      <c r="AC27" s="207">
        <f>AA27*AB27</f>
        <v>638.93500000000006</v>
      </c>
      <c r="AD27" s="207">
        <f>'Margins summary'!$U$14</f>
        <v>220</v>
      </c>
      <c r="AE27" s="207">
        <f t="shared" si="20"/>
        <v>858.93500000000006</v>
      </c>
      <c r="AF27" s="207"/>
      <c r="AG27" s="898">
        <f>'Energy NPV'!U80</f>
        <v>278.04200000000003</v>
      </c>
      <c r="AH27" s="207">
        <f>'Energy margins'!$X$67</f>
        <v>170</v>
      </c>
      <c r="AI27" s="207">
        <f t="shared" si="21"/>
        <v>448.04200000000003</v>
      </c>
      <c r="AJ27" s="207">
        <f t="shared" si="2"/>
        <v>190.89300000000003</v>
      </c>
      <c r="AK27" s="207">
        <f t="shared" si="3"/>
        <v>410.89300000000003</v>
      </c>
      <c r="AL27" s="208">
        <f t="shared" si="22"/>
        <v>266.60525158106248</v>
      </c>
      <c r="AM27" s="207">
        <f t="shared" si="23"/>
        <v>91.79831336181887</v>
      </c>
      <c r="AN27" s="207">
        <f t="shared" si="24"/>
        <v>186.95227234207297</v>
      </c>
      <c r="AO27" s="207">
        <f t="shared" si="25"/>
        <v>79.652979238989516</v>
      </c>
      <c r="AP27" s="209">
        <f t="shared" si="26"/>
        <v>171.45129260080839</v>
      </c>
      <c r="AQ27" s="208">
        <f t="shared" si="64"/>
        <v>6110.6056978093884</v>
      </c>
      <c r="AR27" s="207">
        <f t="shared" si="27"/>
        <v>2356.6947773030165</v>
      </c>
      <c r="AS27" s="207">
        <f t="shared" si="27"/>
        <v>8172.6164126696422</v>
      </c>
      <c r="AT27" s="207">
        <f t="shared" si="27"/>
        <v>-2062.0107148602538</v>
      </c>
      <c r="AU27" s="209">
        <f t="shared" si="27"/>
        <v>294.68406244276173</v>
      </c>
      <c r="AV27" s="197"/>
      <c r="AX27" s="206">
        <f t="shared" si="65"/>
        <v>16</v>
      </c>
      <c r="AY27" s="226">
        <f>'Energy NPV'!$D80</f>
        <v>11.617000000000001</v>
      </c>
      <c r="AZ27" s="207">
        <f>'Energy margins'!$S$12</f>
        <v>55</v>
      </c>
      <c r="BA27" s="207">
        <f t="shared" si="28"/>
        <v>638.93500000000006</v>
      </c>
      <c r="BB27" s="207">
        <f>'Margins summary'!$U$14</f>
        <v>220</v>
      </c>
      <c r="BC27" s="207">
        <f t="shared" si="29"/>
        <v>858.93500000000006</v>
      </c>
      <c r="BD27" s="207"/>
      <c r="BE27" s="898">
        <f>'Energy NPV'!U80</f>
        <v>278.04200000000003</v>
      </c>
      <c r="BF27" s="207">
        <f>'Energy margins'!$X$67</f>
        <v>170</v>
      </c>
      <c r="BG27" s="207">
        <f t="shared" si="30"/>
        <v>448.04200000000003</v>
      </c>
      <c r="BH27" s="207">
        <f t="shared" si="4"/>
        <v>190.89300000000003</v>
      </c>
      <c r="BI27" s="207">
        <f t="shared" si="5"/>
        <v>410.89300000000003</v>
      </c>
      <c r="BJ27" s="208">
        <f t="shared" si="31"/>
        <v>474.73811650521463</v>
      </c>
      <c r="BK27" s="207">
        <f t="shared" si="32"/>
        <v>163.46324059747425</v>
      </c>
      <c r="BL27" s="207">
        <f t="shared" si="33"/>
        <v>332.90180565351619</v>
      </c>
      <c r="BM27" s="207">
        <f t="shared" si="34"/>
        <v>141.83631085169844</v>
      </c>
      <c r="BN27" s="209">
        <f t="shared" si="35"/>
        <v>305.29955144917267</v>
      </c>
      <c r="BO27" s="208">
        <f t="shared" si="66"/>
        <v>8105.4413745342308</v>
      </c>
      <c r="BP27" s="207">
        <f t="shared" si="36"/>
        <v>3046.8379701262907</v>
      </c>
      <c r="BQ27" s="207">
        <f>BQ26+BL27</f>
        <v>9117.6307373588752</v>
      </c>
      <c r="BR27" s="207">
        <f t="shared" si="36"/>
        <v>-1012.189362824646</v>
      </c>
      <c r="BS27" s="209">
        <f t="shared" si="36"/>
        <v>2034.6486073016451</v>
      </c>
      <c r="BT27" s="197"/>
      <c r="BV27" s="206">
        <f t="shared" si="67"/>
        <v>16</v>
      </c>
      <c r="BW27" s="226">
        <f>'Energy NPV'!$D80</f>
        <v>11.617000000000001</v>
      </c>
      <c r="BX27" s="207">
        <f>'Energy margins'!$S$12</f>
        <v>55</v>
      </c>
      <c r="BY27" s="207">
        <f t="shared" si="37"/>
        <v>638.93500000000006</v>
      </c>
      <c r="BZ27" s="207">
        <f>'Margins summary'!$U$14</f>
        <v>220</v>
      </c>
      <c r="CA27" s="207">
        <f t="shared" si="38"/>
        <v>858.93500000000006</v>
      </c>
      <c r="CB27" s="207"/>
      <c r="CC27" s="897">
        <f>'Energy NPV'!U80</f>
        <v>278.04200000000003</v>
      </c>
      <c r="CD27" s="207">
        <f>'Energy margins'!$X$67</f>
        <v>170</v>
      </c>
      <c r="CE27" s="207">
        <f t="shared" si="39"/>
        <v>448.04200000000003</v>
      </c>
      <c r="CF27" s="207">
        <f t="shared" si="6"/>
        <v>190.89300000000003</v>
      </c>
      <c r="CG27" s="207">
        <f t="shared" si="7"/>
        <v>410.89300000000003</v>
      </c>
      <c r="CH27" s="208">
        <f t="shared" si="40"/>
        <v>201.41895876238092</v>
      </c>
      <c r="CI27" s="207">
        <f t="shared" si="41"/>
        <v>69.353175092495789</v>
      </c>
      <c r="CJ27" s="207">
        <f t="shared" si="42"/>
        <v>141.24152397632727</v>
      </c>
      <c r="CK27" s="207">
        <f t="shared" si="43"/>
        <v>60.177434786053638</v>
      </c>
      <c r="CL27" s="209">
        <f t="shared" si="44"/>
        <v>129.53060987854943</v>
      </c>
      <c r="CM27" s="208">
        <f t="shared" si="68"/>
        <v>5378.5163819540021</v>
      </c>
      <c r="CN27" s="207">
        <f t="shared" si="45"/>
        <v>2103.0853113438015</v>
      </c>
      <c r="CO27" s="207">
        <f t="shared" si="46"/>
        <v>7826.6832873352869</v>
      </c>
      <c r="CP27" s="207">
        <f t="shared" si="47"/>
        <v>-2448.166905381283</v>
      </c>
      <c r="CQ27" s="209">
        <f t="shared" si="48"/>
        <v>-345.08159403748209</v>
      </c>
      <c r="CR27" s="197"/>
      <c r="CT27" s="206">
        <f t="shared" si="69"/>
        <v>16</v>
      </c>
      <c r="CU27" s="226">
        <f>'Energy NPV'!$D80</f>
        <v>11.617000000000001</v>
      </c>
      <c r="CV27" s="207">
        <f>'Energy margins'!$S$12</f>
        <v>55</v>
      </c>
      <c r="CW27" s="207">
        <f t="shared" si="49"/>
        <v>638.93500000000006</v>
      </c>
      <c r="CX27" s="207">
        <f>'Margins summary'!$U$14</f>
        <v>220</v>
      </c>
      <c r="CY27" s="207">
        <f t="shared" si="50"/>
        <v>858.93500000000006</v>
      </c>
      <c r="CZ27" s="207"/>
      <c r="DA27" s="897">
        <f>'Energy NPV'!U80</f>
        <v>278.04200000000003</v>
      </c>
      <c r="DB27" s="207">
        <f>'Energy margins'!$X$67</f>
        <v>170</v>
      </c>
      <c r="DC27" s="207">
        <f t="shared" si="51"/>
        <v>448.04200000000003</v>
      </c>
      <c r="DD27" s="207">
        <f t="shared" si="8"/>
        <v>190.89300000000003</v>
      </c>
      <c r="DE27" s="207">
        <f t="shared" si="9"/>
        <v>410.89300000000003</v>
      </c>
      <c r="DF27" s="208">
        <f t="shared" si="52"/>
        <v>638.93500000000006</v>
      </c>
      <c r="DG27" s="207">
        <f t="shared" si="53"/>
        <v>220</v>
      </c>
      <c r="DH27" s="207">
        <f t="shared" si="54"/>
        <v>448.04200000000003</v>
      </c>
      <c r="DI27" s="207">
        <f t="shared" si="55"/>
        <v>190.89300000000003</v>
      </c>
      <c r="DJ27" s="209">
        <f t="shared" si="56"/>
        <v>410.89300000000003</v>
      </c>
      <c r="DK27" s="208">
        <f t="shared" si="70"/>
        <v>9474.5383333333339</v>
      </c>
      <c r="DL27" s="207">
        <f t="shared" si="57"/>
        <v>3520</v>
      </c>
      <c r="DM27" s="207">
        <f t="shared" si="58"/>
        <v>9768.7219999999998</v>
      </c>
      <c r="DN27" s="207">
        <f t="shared" si="59"/>
        <v>-294.18366666666589</v>
      </c>
      <c r="DO27" s="209">
        <f t="shared" si="60"/>
        <v>3225.8163333333341</v>
      </c>
    </row>
    <row r="34" spans="2:119" x14ac:dyDescent="0.3">
      <c r="B34" s="228" t="s">
        <v>498</v>
      </c>
      <c r="C34" s="750" t="s">
        <v>433</v>
      </c>
      <c r="D34" s="269" t="s">
        <v>418</v>
      </c>
      <c r="E34" s="194"/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Z34" s="228" t="s">
        <v>498</v>
      </c>
      <c r="AA34" s="1135" t="s">
        <v>419</v>
      </c>
      <c r="AB34" s="1136"/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X34" s="228" t="s">
        <v>498</v>
      </c>
      <c r="AY34" s="1135" t="s">
        <v>420</v>
      </c>
      <c r="AZ34" s="1136"/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V34" s="228" t="s">
        <v>498</v>
      </c>
      <c r="BW34" s="1135" t="s">
        <v>421</v>
      </c>
      <c r="BX34" s="1136"/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T34" s="228" t="s">
        <v>498</v>
      </c>
      <c r="CU34" s="1135" t="s">
        <v>422</v>
      </c>
      <c r="CV34" s="1136"/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124"/>
      <c r="F35" s="1124"/>
      <c r="G35" s="1124"/>
      <c r="H35" s="148"/>
      <c r="I35" s="910"/>
      <c r="J35" s="1124"/>
      <c r="K35" s="1124"/>
      <c r="L35" s="148"/>
      <c r="M35" s="148"/>
      <c r="N35" s="1125" t="s">
        <v>279</v>
      </c>
      <c r="O35" s="1126"/>
      <c r="P35" s="1126"/>
      <c r="Q35" s="1126"/>
      <c r="R35" s="1127"/>
      <c r="S35" s="1125" t="s">
        <v>280</v>
      </c>
      <c r="T35" s="1126"/>
      <c r="U35" s="1126"/>
      <c r="V35" s="1126"/>
      <c r="W35" s="1127"/>
      <c r="X35" s="984"/>
      <c r="Z35" s="203"/>
      <c r="AA35" s="148"/>
      <c r="AB35" s="148"/>
      <c r="AC35" s="1124"/>
      <c r="AD35" s="1124"/>
      <c r="AE35" s="1124"/>
      <c r="AF35" s="148"/>
      <c r="AG35" s="910"/>
      <c r="AH35" s="1124"/>
      <c r="AI35" s="1124"/>
      <c r="AJ35" s="148"/>
      <c r="AK35" s="148"/>
      <c r="AL35" s="1125" t="s">
        <v>279</v>
      </c>
      <c r="AM35" s="1126"/>
      <c r="AN35" s="1126"/>
      <c r="AO35" s="1126"/>
      <c r="AP35" s="1127"/>
      <c r="AQ35" s="1125" t="s">
        <v>280</v>
      </c>
      <c r="AR35" s="1126"/>
      <c r="AS35" s="1126"/>
      <c r="AT35" s="1126"/>
      <c r="AU35" s="1127"/>
      <c r="AV35" s="984"/>
      <c r="AX35" s="203"/>
      <c r="AY35" s="148"/>
      <c r="AZ35" s="148"/>
      <c r="BA35" s="1124"/>
      <c r="BB35" s="1124"/>
      <c r="BC35" s="1124"/>
      <c r="BD35" s="148"/>
      <c r="BE35" s="910"/>
      <c r="BF35" s="1124"/>
      <c r="BG35" s="1124"/>
      <c r="BH35" s="148"/>
      <c r="BI35" s="148"/>
      <c r="BJ35" s="1125" t="s">
        <v>279</v>
      </c>
      <c r="BK35" s="1126"/>
      <c r="BL35" s="1126"/>
      <c r="BM35" s="1126"/>
      <c r="BN35" s="1127"/>
      <c r="BO35" s="1125" t="s">
        <v>280</v>
      </c>
      <c r="BP35" s="1126"/>
      <c r="BQ35" s="1126"/>
      <c r="BR35" s="1126"/>
      <c r="BS35" s="1127"/>
      <c r="BT35" s="984"/>
      <c r="BV35" s="203"/>
      <c r="BW35" s="148"/>
      <c r="BX35" s="148"/>
      <c r="BY35" s="1124"/>
      <c r="BZ35" s="1124"/>
      <c r="CA35" s="1124"/>
      <c r="CB35" s="148"/>
      <c r="CC35" s="910"/>
      <c r="CD35" s="1124"/>
      <c r="CE35" s="1124"/>
      <c r="CF35" s="148"/>
      <c r="CG35" s="148"/>
      <c r="CH35" s="1125" t="s">
        <v>279</v>
      </c>
      <c r="CI35" s="1126"/>
      <c r="CJ35" s="1126"/>
      <c r="CK35" s="1126"/>
      <c r="CL35" s="1127"/>
      <c r="CM35" s="1125" t="s">
        <v>280</v>
      </c>
      <c r="CN35" s="1126"/>
      <c r="CO35" s="1126"/>
      <c r="CP35" s="1126"/>
      <c r="CQ35" s="1127"/>
      <c r="CR35" s="984"/>
      <c r="CT35" s="203"/>
      <c r="CU35" s="148"/>
      <c r="CV35" s="148"/>
      <c r="CW35" s="1124"/>
      <c r="CX35" s="1124"/>
      <c r="CY35" s="1124"/>
      <c r="CZ35" s="148"/>
      <c r="DA35" s="910"/>
      <c r="DB35" s="1124"/>
      <c r="DC35" s="1124"/>
      <c r="DD35" s="148"/>
      <c r="DE35" s="148"/>
      <c r="DF35" s="1125" t="s">
        <v>279</v>
      </c>
      <c r="DG35" s="1126"/>
      <c r="DH35" s="1126"/>
      <c r="DI35" s="1126"/>
      <c r="DJ35" s="1127"/>
      <c r="DK35" s="1125" t="s">
        <v>280</v>
      </c>
      <c r="DL35" s="1126"/>
      <c r="DM35" s="1126"/>
      <c r="DN35" s="1126"/>
      <c r="DO35" s="1127"/>
    </row>
    <row r="36" spans="2:119" ht="51" x14ac:dyDescent="0.3">
      <c r="B36" s="204" t="s">
        <v>281</v>
      </c>
      <c r="C36" s="205" t="s">
        <v>307</v>
      </c>
      <c r="D36" s="205" t="s">
        <v>308</v>
      </c>
      <c r="E36" s="171" t="s">
        <v>283</v>
      </c>
      <c r="F36" s="171" t="s">
        <v>10</v>
      </c>
      <c r="G36" s="171" t="s">
        <v>284</v>
      </c>
      <c r="H36" s="205" t="s">
        <v>305</v>
      </c>
      <c r="I36" s="914" t="s">
        <v>306</v>
      </c>
      <c r="J36" s="205" t="s">
        <v>309</v>
      </c>
      <c r="K36" s="171" t="s">
        <v>287</v>
      </c>
      <c r="L36" s="171" t="s">
        <v>288</v>
      </c>
      <c r="M36" s="171" t="s">
        <v>289</v>
      </c>
      <c r="N36" s="195" t="s">
        <v>290</v>
      </c>
      <c r="O36" s="171" t="s">
        <v>291</v>
      </c>
      <c r="P36" s="171" t="s">
        <v>292</v>
      </c>
      <c r="Q36" s="171" t="s">
        <v>293</v>
      </c>
      <c r="R36" s="198" t="s">
        <v>294</v>
      </c>
      <c r="S36" s="195" t="s">
        <v>295</v>
      </c>
      <c r="T36" s="171" t="s">
        <v>296</v>
      </c>
      <c r="U36" s="171" t="s">
        <v>297</v>
      </c>
      <c r="V36" s="171" t="s">
        <v>298</v>
      </c>
      <c r="W36" s="198" t="s">
        <v>299</v>
      </c>
      <c r="X36" s="171"/>
      <c r="Z36" s="204" t="s">
        <v>281</v>
      </c>
      <c r="AA36" s="205" t="s">
        <v>307</v>
      </c>
      <c r="AB36" s="205" t="s">
        <v>308</v>
      </c>
      <c r="AC36" s="171" t="s">
        <v>283</v>
      </c>
      <c r="AD36" s="171" t="s">
        <v>10</v>
      </c>
      <c r="AE36" s="171" t="s">
        <v>284</v>
      </c>
      <c r="AF36" s="205" t="s">
        <v>305</v>
      </c>
      <c r="AG36" s="914" t="s">
        <v>306</v>
      </c>
      <c r="AH36" s="205" t="s">
        <v>309</v>
      </c>
      <c r="AI36" s="171" t="s">
        <v>287</v>
      </c>
      <c r="AJ36" s="171" t="s">
        <v>288</v>
      </c>
      <c r="AK36" s="171" t="s">
        <v>289</v>
      </c>
      <c r="AL36" s="195" t="s">
        <v>290</v>
      </c>
      <c r="AM36" s="171" t="s">
        <v>291</v>
      </c>
      <c r="AN36" s="171" t="s">
        <v>292</v>
      </c>
      <c r="AO36" s="171" t="s">
        <v>293</v>
      </c>
      <c r="AP36" s="198" t="s">
        <v>294</v>
      </c>
      <c r="AQ36" s="195" t="s">
        <v>295</v>
      </c>
      <c r="AR36" s="171" t="s">
        <v>296</v>
      </c>
      <c r="AS36" s="171" t="s">
        <v>297</v>
      </c>
      <c r="AT36" s="171" t="s">
        <v>298</v>
      </c>
      <c r="AU36" s="198" t="s">
        <v>299</v>
      </c>
      <c r="AV36" s="171"/>
      <c r="AX36" s="204" t="s">
        <v>281</v>
      </c>
      <c r="AY36" s="205" t="s">
        <v>307</v>
      </c>
      <c r="AZ36" s="205" t="s">
        <v>308</v>
      </c>
      <c r="BA36" s="171" t="s">
        <v>283</v>
      </c>
      <c r="BB36" s="171" t="s">
        <v>10</v>
      </c>
      <c r="BC36" s="171" t="s">
        <v>284</v>
      </c>
      <c r="BD36" s="205" t="s">
        <v>305</v>
      </c>
      <c r="BE36" s="914" t="s">
        <v>306</v>
      </c>
      <c r="BF36" s="205" t="s">
        <v>309</v>
      </c>
      <c r="BG36" s="171" t="s">
        <v>287</v>
      </c>
      <c r="BH36" s="171" t="s">
        <v>288</v>
      </c>
      <c r="BI36" s="171" t="s">
        <v>289</v>
      </c>
      <c r="BJ36" s="195" t="s">
        <v>290</v>
      </c>
      <c r="BK36" s="171" t="s">
        <v>291</v>
      </c>
      <c r="BL36" s="171" t="s">
        <v>292</v>
      </c>
      <c r="BM36" s="171" t="s">
        <v>293</v>
      </c>
      <c r="BN36" s="198" t="s">
        <v>294</v>
      </c>
      <c r="BO36" s="195" t="s">
        <v>295</v>
      </c>
      <c r="BP36" s="171" t="s">
        <v>296</v>
      </c>
      <c r="BQ36" s="171" t="s">
        <v>297</v>
      </c>
      <c r="BR36" s="171" t="s">
        <v>298</v>
      </c>
      <c r="BS36" s="198" t="s">
        <v>299</v>
      </c>
      <c r="BT36" s="171"/>
      <c r="BV36" s="204" t="s">
        <v>281</v>
      </c>
      <c r="BW36" s="205" t="s">
        <v>307</v>
      </c>
      <c r="BX36" s="205" t="s">
        <v>308</v>
      </c>
      <c r="BY36" s="171" t="s">
        <v>283</v>
      </c>
      <c r="BZ36" s="171" t="s">
        <v>10</v>
      </c>
      <c r="CA36" s="171" t="s">
        <v>284</v>
      </c>
      <c r="CB36" s="205" t="s">
        <v>305</v>
      </c>
      <c r="CC36" s="914" t="s">
        <v>306</v>
      </c>
      <c r="CD36" s="205" t="s">
        <v>309</v>
      </c>
      <c r="CE36" s="171" t="s">
        <v>287</v>
      </c>
      <c r="CF36" s="171" t="s">
        <v>288</v>
      </c>
      <c r="CG36" s="171" t="s">
        <v>289</v>
      </c>
      <c r="CH36" s="195" t="s">
        <v>290</v>
      </c>
      <c r="CI36" s="171" t="s">
        <v>291</v>
      </c>
      <c r="CJ36" s="171" t="s">
        <v>292</v>
      </c>
      <c r="CK36" s="171" t="s">
        <v>293</v>
      </c>
      <c r="CL36" s="198" t="s">
        <v>294</v>
      </c>
      <c r="CM36" s="195" t="s">
        <v>295</v>
      </c>
      <c r="CN36" s="171" t="s">
        <v>296</v>
      </c>
      <c r="CO36" s="171" t="s">
        <v>297</v>
      </c>
      <c r="CP36" s="171" t="s">
        <v>298</v>
      </c>
      <c r="CQ36" s="198" t="s">
        <v>299</v>
      </c>
      <c r="CR36" s="171"/>
      <c r="CT36" s="204" t="s">
        <v>281</v>
      </c>
      <c r="CU36" s="205" t="s">
        <v>307</v>
      </c>
      <c r="CV36" s="205" t="s">
        <v>308</v>
      </c>
      <c r="CW36" s="171" t="s">
        <v>283</v>
      </c>
      <c r="CX36" s="171" t="s">
        <v>10</v>
      </c>
      <c r="CY36" s="171" t="s">
        <v>284</v>
      </c>
      <c r="CZ36" s="205" t="s">
        <v>305</v>
      </c>
      <c r="DA36" s="914" t="s">
        <v>306</v>
      </c>
      <c r="DB36" s="205" t="s">
        <v>309</v>
      </c>
      <c r="DC36" s="171" t="s">
        <v>287</v>
      </c>
      <c r="DD36" s="171" t="s">
        <v>288</v>
      </c>
      <c r="DE36" s="171" t="s">
        <v>289</v>
      </c>
      <c r="DF36" s="195" t="s">
        <v>290</v>
      </c>
      <c r="DG36" s="171" t="s">
        <v>291</v>
      </c>
      <c r="DH36" s="171" t="s">
        <v>292</v>
      </c>
      <c r="DI36" s="171" t="s">
        <v>293</v>
      </c>
      <c r="DJ36" s="198" t="s">
        <v>294</v>
      </c>
      <c r="DK36" s="195" t="s">
        <v>295</v>
      </c>
      <c r="DL36" s="171" t="s">
        <v>296</v>
      </c>
      <c r="DM36" s="171" t="s">
        <v>297</v>
      </c>
      <c r="DN36" s="171" t="s">
        <v>298</v>
      </c>
      <c r="DO36" s="198" t="s">
        <v>299</v>
      </c>
    </row>
    <row r="37" spans="2:119" x14ac:dyDescent="0.3">
      <c r="B37" s="173"/>
      <c r="C37" s="226" t="s">
        <v>356</v>
      </c>
      <c r="D37" s="226" t="s">
        <v>476</v>
      </c>
      <c r="E37" s="201" t="s">
        <v>474</v>
      </c>
      <c r="F37" s="201" t="s">
        <v>474</v>
      </c>
      <c r="G37" s="201" t="s">
        <v>474</v>
      </c>
      <c r="H37" s="201" t="s">
        <v>474</v>
      </c>
      <c r="I37" s="948" t="s">
        <v>474</v>
      </c>
      <c r="J37" s="201" t="s">
        <v>474</v>
      </c>
      <c r="K37" s="201" t="s">
        <v>474</v>
      </c>
      <c r="L37" s="201" t="s">
        <v>474</v>
      </c>
      <c r="M37" s="202" t="s">
        <v>474</v>
      </c>
      <c r="N37" s="201" t="s">
        <v>474</v>
      </c>
      <c r="O37" s="201" t="s">
        <v>474</v>
      </c>
      <c r="P37" s="201" t="s">
        <v>474</v>
      </c>
      <c r="Q37" s="201" t="s">
        <v>474</v>
      </c>
      <c r="R37" s="202" t="s">
        <v>474</v>
      </c>
      <c r="S37" s="201" t="s">
        <v>474</v>
      </c>
      <c r="T37" s="201" t="s">
        <v>474</v>
      </c>
      <c r="U37" s="201" t="s">
        <v>474</v>
      </c>
      <c r="V37" s="201" t="s">
        <v>474</v>
      </c>
      <c r="W37" s="202" t="s">
        <v>474</v>
      </c>
      <c r="X37" s="985"/>
      <c r="Z37" s="173"/>
      <c r="AA37" s="226" t="s">
        <v>356</v>
      </c>
      <c r="AB37" s="226" t="s">
        <v>476</v>
      </c>
      <c r="AC37" s="201" t="s">
        <v>474</v>
      </c>
      <c r="AD37" s="201" t="s">
        <v>474</v>
      </c>
      <c r="AE37" s="201" t="s">
        <v>474</v>
      </c>
      <c r="AF37" s="201" t="s">
        <v>474</v>
      </c>
      <c r="AG37" s="948" t="s">
        <v>474</v>
      </c>
      <c r="AH37" s="201" t="s">
        <v>474</v>
      </c>
      <c r="AI37" s="201" t="s">
        <v>474</v>
      </c>
      <c r="AJ37" s="201" t="s">
        <v>474</v>
      </c>
      <c r="AK37" s="202" t="s">
        <v>474</v>
      </c>
      <c r="AL37" s="201" t="s">
        <v>474</v>
      </c>
      <c r="AM37" s="201" t="s">
        <v>474</v>
      </c>
      <c r="AN37" s="201" t="s">
        <v>474</v>
      </c>
      <c r="AO37" s="201" t="s">
        <v>474</v>
      </c>
      <c r="AP37" s="202" t="s">
        <v>474</v>
      </c>
      <c r="AQ37" s="201" t="s">
        <v>474</v>
      </c>
      <c r="AR37" s="201" t="s">
        <v>474</v>
      </c>
      <c r="AS37" s="201" t="s">
        <v>474</v>
      </c>
      <c r="AT37" s="201" t="s">
        <v>474</v>
      </c>
      <c r="AU37" s="202" t="s">
        <v>474</v>
      </c>
      <c r="AV37" s="985"/>
      <c r="AX37" s="173"/>
      <c r="AY37" s="226" t="s">
        <v>356</v>
      </c>
      <c r="AZ37" s="226" t="s">
        <v>476</v>
      </c>
      <c r="BA37" s="201" t="s">
        <v>474</v>
      </c>
      <c r="BB37" s="201" t="s">
        <v>474</v>
      </c>
      <c r="BC37" s="201" t="s">
        <v>474</v>
      </c>
      <c r="BD37" s="201" t="s">
        <v>474</v>
      </c>
      <c r="BE37" s="948" t="s">
        <v>474</v>
      </c>
      <c r="BF37" s="201" t="s">
        <v>474</v>
      </c>
      <c r="BG37" s="201" t="s">
        <v>474</v>
      </c>
      <c r="BH37" s="201" t="s">
        <v>474</v>
      </c>
      <c r="BI37" s="202" t="s">
        <v>474</v>
      </c>
      <c r="BJ37" s="201" t="s">
        <v>474</v>
      </c>
      <c r="BK37" s="201" t="s">
        <v>474</v>
      </c>
      <c r="BL37" s="201" t="s">
        <v>474</v>
      </c>
      <c r="BM37" s="201" t="s">
        <v>474</v>
      </c>
      <c r="BN37" s="202" t="s">
        <v>474</v>
      </c>
      <c r="BO37" s="201" t="s">
        <v>474</v>
      </c>
      <c r="BP37" s="201" t="s">
        <v>474</v>
      </c>
      <c r="BQ37" s="201" t="s">
        <v>474</v>
      </c>
      <c r="BR37" s="201" t="s">
        <v>474</v>
      </c>
      <c r="BS37" s="202" t="s">
        <v>474</v>
      </c>
      <c r="BT37" s="985"/>
      <c r="BV37" s="173"/>
      <c r="BW37" s="226" t="s">
        <v>356</v>
      </c>
      <c r="BX37" s="226" t="s">
        <v>476</v>
      </c>
      <c r="BY37" s="201" t="s">
        <v>474</v>
      </c>
      <c r="BZ37" s="201" t="s">
        <v>474</v>
      </c>
      <c r="CA37" s="201" t="s">
        <v>474</v>
      </c>
      <c r="CB37" s="201" t="s">
        <v>474</v>
      </c>
      <c r="CC37" s="948" t="s">
        <v>474</v>
      </c>
      <c r="CD37" s="201" t="s">
        <v>474</v>
      </c>
      <c r="CE37" s="201" t="s">
        <v>474</v>
      </c>
      <c r="CF37" s="201" t="s">
        <v>474</v>
      </c>
      <c r="CG37" s="202" t="s">
        <v>474</v>
      </c>
      <c r="CH37" s="201" t="s">
        <v>474</v>
      </c>
      <c r="CI37" s="201" t="s">
        <v>474</v>
      </c>
      <c r="CJ37" s="201" t="s">
        <v>474</v>
      </c>
      <c r="CK37" s="201" t="s">
        <v>474</v>
      </c>
      <c r="CL37" s="202" t="s">
        <v>474</v>
      </c>
      <c r="CM37" s="201" t="s">
        <v>474</v>
      </c>
      <c r="CN37" s="201" t="s">
        <v>474</v>
      </c>
      <c r="CO37" s="201" t="s">
        <v>474</v>
      </c>
      <c r="CP37" s="201" t="s">
        <v>474</v>
      </c>
      <c r="CQ37" s="202" t="s">
        <v>474</v>
      </c>
      <c r="CR37" s="985"/>
      <c r="CT37" s="173"/>
      <c r="CU37" s="226" t="s">
        <v>356</v>
      </c>
      <c r="CV37" s="226" t="s">
        <v>476</v>
      </c>
      <c r="CW37" s="201" t="s">
        <v>474</v>
      </c>
      <c r="CX37" s="201" t="s">
        <v>474</v>
      </c>
      <c r="CY37" s="201" t="s">
        <v>474</v>
      </c>
      <c r="CZ37" s="201" t="s">
        <v>474</v>
      </c>
      <c r="DA37" s="948" t="s">
        <v>474</v>
      </c>
      <c r="DB37" s="201" t="s">
        <v>474</v>
      </c>
      <c r="DC37" s="201" t="s">
        <v>474</v>
      </c>
      <c r="DD37" s="201" t="s">
        <v>474</v>
      </c>
      <c r="DE37" s="202" t="s">
        <v>474</v>
      </c>
      <c r="DF37" s="201" t="s">
        <v>474</v>
      </c>
      <c r="DG37" s="201" t="s">
        <v>474</v>
      </c>
      <c r="DH37" s="201" t="s">
        <v>474</v>
      </c>
      <c r="DI37" s="201" t="s">
        <v>474</v>
      </c>
      <c r="DJ37" s="202" t="s">
        <v>474</v>
      </c>
      <c r="DK37" s="201" t="s">
        <v>474</v>
      </c>
      <c r="DL37" s="201" t="s">
        <v>474</v>
      </c>
      <c r="DM37" s="201" t="s">
        <v>474</v>
      </c>
      <c r="DN37" s="201" t="s">
        <v>474</v>
      </c>
      <c r="DO37" s="202" t="s">
        <v>474</v>
      </c>
    </row>
    <row r="38" spans="2:119" x14ac:dyDescent="0.3">
      <c r="B38" s="204">
        <v>1</v>
      </c>
      <c r="C38" s="197">
        <f>'Energy NPV'!$D91</f>
        <v>0</v>
      </c>
      <c r="D38" s="197">
        <f>'Energy margins'!$Z$12</f>
        <v>55</v>
      </c>
      <c r="E38" s="197">
        <f>C38*D38</f>
        <v>0</v>
      </c>
      <c r="F38" s="197">
        <f>'Margins summary'!$W$14</f>
        <v>220</v>
      </c>
      <c r="G38" s="197">
        <f>E38+F38</f>
        <v>220</v>
      </c>
      <c r="H38" s="197">
        <f>'Margins summary'!$V$20</f>
        <v>1992.2819999999999</v>
      </c>
      <c r="I38" s="897">
        <f>'Energy NPV'!U91</f>
        <v>0</v>
      </c>
      <c r="J38" s="197"/>
      <c r="K38" s="197">
        <f>H38+I38+J38</f>
        <v>1992.2819999999999</v>
      </c>
      <c r="L38" s="197">
        <f t="shared" ref="L38:L53" si="71">E38-K38</f>
        <v>-1992.2819999999999</v>
      </c>
      <c r="M38" s="197">
        <f t="shared" ref="M38:M53" si="72">G38-K38</f>
        <v>-1772.2819999999999</v>
      </c>
      <c r="N38" s="1016">
        <f>E38/((1+$B$4)^($B38-1))</f>
        <v>0</v>
      </c>
      <c r="O38" s="213">
        <f>F38/((1+$B$4)^($B38-1))</f>
        <v>220</v>
      </c>
      <c r="P38" s="213">
        <f>K38/((1+$B$4)^($B38-1))</f>
        <v>1992.2819999999999</v>
      </c>
      <c r="Q38" s="213">
        <f>L38/((1+$B$4)^($B38-1))</f>
        <v>-1992.2819999999999</v>
      </c>
      <c r="R38" s="908">
        <f>M38/((1+$B$4)^($B38-1))</f>
        <v>-1772.2819999999999</v>
      </c>
      <c r="S38" s="196">
        <f>N38</f>
        <v>0</v>
      </c>
      <c r="T38" s="197">
        <f>O38</f>
        <v>220</v>
      </c>
      <c r="U38" s="197">
        <f>P38</f>
        <v>1992.2819999999999</v>
      </c>
      <c r="V38" s="197">
        <f>Q38</f>
        <v>-1992.2819999999999</v>
      </c>
      <c r="W38" s="199">
        <f>R38</f>
        <v>-1772.2819999999999</v>
      </c>
      <c r="X38" s="197"/>
      <c r="Z38" s="204">
        <v>1</v>
      </c>
      <c r="AA38" s="197">
        <f>'Energy NPV'!$D91</f>
        <v>0</v>
      </c>
      <c r="AB38" s="197">
        <f>'Energy margins'!$Z$12</f>
        <v>55</v>
      </c>
      <c r="AC38" s="197">
        <f>AA38*AB38</f>
        <v>0</v>
      </c>
      <c r="AD38" s="197">
        <f>'Margins summary'!$W$14</f>
        <v>220</v>
      </c>
      <c r="AE38" s="197">
        <f>AC38+AD38</f>
        <v>220</v>
      </c>
      <c r="AF38" s="197">
        <f>'Margins summary'!$V$20</f>
        <v>1992.2819999999999</v>
      </c>
      <c r="AG38" s="897">
        <f>'Energy NPV'!U91</f>
        <v>0</v>
      </c>
      <c r="AH38" s="197"/>
      <c r="AI38" s="197">
        <f>AF38+AG38+AH38</f>
        <v>1992.2819999999999</v>
      </c>
      <c r="AJ38" s="197">
        <f t="shared" ref="AJ38:AJ53" si="73">AC38-AI38</f>
        <v>-1992.2819999999999</v>
      </c>
      <c r="AK38" s="197">
        <f t="shared" ref="AK38:AK53" si="74">AE38-AI38</f>
        <v>-1772.2819999999999</v>
      </c>
      <c r="AL38" s="1016">
        <f>AC38/((1+$C$4)^($B38-1))</f>
        <v>0</v>
      </c>
      <c r="AM38" s="213">
        <f>AD38/((1+$C$4)^($B38-1))</f>
        <v>220</v>
      </c>
      <c r="AN38" s="213">
        <f>AI38/((1+$C$4)^($B38-1))</f>
        <v>1992.2819999999999</v>
      </c>
      <c r="AO38" s="213">
        <f>AJ38/((1+$C$4)^($B38-1))</f>
        <v>-1992.2819999999999</v>
      </c>
      <c r="AP38" s="908">
        <f>AK38/((1+$C$4)^($B38-1))</f>
        <v>-1772.2819999999999</v>
      </c>
      <c r="AQ38" s="196">
        <f>AL38</f>
        <v>0</v>
      </c>
      <c r="AR38" s="197">
        <f>AM38</f>
        <v>220</v>
      </c>
      <c r="AS38" s="197">
        <f>AN38</f>
        <v>1992.2819999999999</v>
      </c>
      <c r="AT38" s="197">
        <f>AO38</f>
        <v>-1992.2819999999999</v>
      </c>
      <c r="AU38" s="199">
        <f>AP38</f>
        <v>-1772.2819999999999</v>
      </c>
      <c r="AV38" s="197"/>
      <c r="AX38" s="204">
        <v>1</v>
      </c>
      <c r="AY38" s="197">
        <f>'Energy NPV'!$D91</f>
        <v>0</v>
      </c>
      <c r="AZ38" s="197">
        <f>'Energy margins'!$Z$12</f>
        <v>55</v>
      </c>
      <c r="BA38" s="197">
        <f>AY38*AZ38</f>
        <v>0</v>
      </c>
      <c r="BB38" s="197">
        <f>'Margins summary'!$W$14</f>
        <v>220</v>
      </c>
      <c r="BC38" s="197">
        <f>BA38+BB38</f>
        <v>220</v>
      </c>
      <c r="BD38" s="197">
        <f>'Margins summary'!$V$20</f>
        <v>1992.2819999999999</v>
      </c>
      <c r="BE38" s="897">
        <f>'Energy NPV'!U91</f>
        <v>0</v>
      </c>
      <c r="BF38" s="197"/>
      <c r="BG38" s="197">
        <f>BD38+BE38+BF38</f>
        <v>1992.2819999999999</v>
      </c>
      <c r="BH38" s="197">
        <f t="shared" ref="BH38:BH53" si="75">BA38-BG38</f>
        <v>-1992.2819999999999</v>
      </c>
      <c r="BI38" s="197">
        <f t="shared" ref="BI38:BI53" si="76">BC38-BG38</f>
        <v>-1772.2819999999999</v>
      </c>
      <c r="BJ38" s="1016">
        <f>BA38/((1+$D$4)^($B38-1))</f>
        <v>0</v>
      </c>
      <c r="BK38" s="213">
        <f>BB38/((1+$D$4)^($B38-1))</f>
        <v>220</v>
      </c>
      <c r="BL38" s="213">
        <f>BG38/((1+$D$4)^($B38-1))</f>
        <v>1992.2819999999999</v>
      </c>
      <c r="BM38" s="213">
        <f>BH38/((1+$D$4)^($B38-1))</f>
        <v>-1992.2819999999999</v>
      </c>
      <c r="BN38" s="908">
        <f>BI38/((1+$D$4)^($B38-1))</f>
        <v>-1772.2819999999999</v>
      </c>
      <c r="BO38" s="196">
        <f>BJ38</f>
        <v>0</v>
      </c>
      <c r="BP38" s="197">
        <f>BK38</f>
        <v>220</v>
      </c>
      <c r="BQ38" s="197">
        <f>BL38</f>
        <v>1992.2819999999999</v>
      </c>
      <c r="BR38" s="197">
        <f>BM38</f>
        <v>-1992.2819999999999</v>
      </c>
      <c r="BS38" s="199">
        <f>BN38</f>
        <v>-1772.2819999999999</v>
      </c>
      <c r="BT38" s="197"/>
      <c r="BV38" s="204">
        <v>1</v>
      </c>
      <c r="BW38" s="197">
        <f>'Energy NPV'!$D91</f>
        <v>0</v>
      </c>
      <c r="BX38" s="197">
        <f>'Energy margins'!$Z$12</f>
        <v>55</v>
      </c>
      <c r="BY38" s="197">
        <f>BW38*BX38</f>
        <v>0</v>
      </c>
      <c r="BZ38" s="197">
        <f>'Margins summary'!$W$14</f>
        <v>220</v>
      </c>
      <c r="CA38" s="197">
        <f>BY38+BZ38</f>
        <v>220</v>
      </c>
      <c r="CB38" s="197">
        <f>'Margins summary'!$V$20</f>
        <v>1992.2819999999999</v>
      </c>
      <c r="CC38" s="897">
        <f>'Energy NPV'!U91</f>
        <v>0</v>
      </c>
      <c r="CD38" s="197"/>
      <c r="CE38" s="197">
        <f>CB38+CC38+CD38</f>
        <v>1992.2819999999999</v>
      </c>
      <c r="CF38" s="197">
        <f t="shared" ref="CF38:CF53" si="77">BY38-CE38</f>
        <v>-1992.2819999999999</v>
      </c>
      <c r="CG38" s="197">
        <f t="shared" ref="CG38:CG53" si="78">CA38-CE38</f>
        <v>-1772.2819999999999</v>
      </c>
      <c r="CH38" s="1016">
        <f>BY38/((1+$E$4)^($B38-1))</f>
        <v>0</v>
      </c>
      <c r="CI38" s="213">
        <f>BZ38/((1+$E$4)^($B38-1))</f>
        <v>220</v>
      </c>
      <c r="CJ38" s="213">
        <f>CE38/((1+$E$4)^($B38-1))</f>
        <v>1992.2819999999999</v>
      </c>
      <c r="CK38" s="213">
        <f>CF38/((1+$E$4)^($B38-1))</f>
        <v>-1992.2819999999999</v>
      </c>
      <c r="CL38" s="908">
        <f>CG38/((1+$E$4)^($B38-1))</f>
        <v>-1772.2819999999999</v>
      </c>
      <c r="CM38" s="196">
        <f>CH38</f>
        <v>0</v>
      </c>
      <c r="CN38" s="197">
        <f>CI38</f>
        <v>220</v>
      </c>
      <c r="CO38" s="197">
        <f>CJ38</f>
        <v>1992.2819999999999</v>
      </c>
      <c r="CP38" s="197">
        <f>CK38</f>
        <v>-1992.2819999999999</v>
      </c>
      <c r="CQ38" s="199">
        <f>CL38</f>
        <v>-1772.2819999999999</v>
      </c>
      <c r="CR38" s="197"/>
      <c r="CT38" s="204">
        <v>1</v>
      </c>
      <c r="CU38" s="197">
        <f>'Energy NPV'!$D91</f>
        <v>0</v>
      </c>
      <c r="CV38" s="197">
        <f>'Energy margins'!$Z$12</f>
        <v>55</v>
      </c>
      <c r="CW38" s="197">
        <f>CU38*CV38</f>
        <v>0</v>
      </c>
      <c r="CX38" s="197">
        <f>'Margins summary'!$W$14</f>
        <v>220</v>
      </c>
      <c r="CY38" s="197">
        <f>CW38+CX38</f>
        <v>220</v>
      </c>
      <c r="CZ38" s="197">
        <f>'Margins summary'!$V$20</f>
        <v>1992.2819999999999</v>
      </c>
      <c r="DA38" s="897">
        <f>'Energy NPV'!U91</f>
        <v>0</v>
      </c>
      <c r="DB38" s="197"/>
      <c r="DC38" s="197">
        <f>CZ38+DA38+DB38</f>
        <v>1992.2819999999999</v>
      </c>
      <c r="DD38" s="197">
        <f t="shared" ref="DD38:DD53" si="79">CW38-DC38</f>
        <v>-1992.2819999999999</v>
      </c>
      <c r="DE38" s="197">
        <f t="shared" ref="DE38:DE53" si="80">CY38-DC38</f>
        <v>-1772.2819999999999</v>
      </c>
      <c r="DF38" s="1016">
        <f>CW38/((1+$F$4)^($B38-1))</f>
        <v>0</v>
      </c>
      <c r="DG38" s="213">
        <f>CX38/((1+$F$4)^($B38-1))</f>
        <v>220</v>
      </c>
      <c r="DH38" s="213">
        <f>DC38/((1+$F$4)^($B38-1))</f>
        <v>1992.2819999999999</v>
      </c>
      <c r="DI38" s="213">
        <f>DD38/((1+$F$4)^($B38-1))</f>
        <v>-1992.2819999999999</v>
      </c>
      <c r="DJ38" s="908">
        <f>DE38/((1+$F$4)^($B38-1))</f>
        <v>-1772.2819999999999</v>
      </c>
      <c r="DK38" s="196">
        <f>DF38</f>
        <v>0</v>
      </c>
      <c r="DL38" s="197">
        <f>DG38</f>
        <v>220</v>
      </c>
      <c r="DM38" s="197">
        <f>DH38</f>
        <v>1992.2819999999999</v>
      </c>
      <c r="DN38" s="197">
        <f>DI38</f>
        <v>-1992.2819999999999</v>
      </c>
      <c r="DO38" s="199">
        <f>DJ38</f>
        <v>-1772.2819999999999</v>
      </c>
    </row>
    <row r="39" spans="2:119" x14ac:dyDescent="0.3">
      <c r="B39" s="204">
        <v>2</v>
      </c>
      <c r="C39" s="197">
        <f>'Energy NPV'!$D92</f>
        <v>9.9333333333333336</v>
      </c>
      <c r="D39" s="197">
        <f>'Energy margins'!$Z$12</f>
        <v>55</v>
      </c>
      <c r="E39" s="197">
        <f>C39*D39</f>
        <v>546.33333333333337</v>
      </c>
      <c r="F39" s="197">
        <f>'Margins summary'!$W$14</f>
        <v>220</v>
      </c>
      <c r="G39" s="197">
        <f t="shared" ref="G39:G53" si="81">E39+F39</f>
        <v>766.33333333333337</v>
      </c>
      <c r="H39" s="197"/>
      <c r="I39" s="897">
        <f>'Energy NPV'!U92</f>
        <v>529.78199999999993</v>
      </c>
      <c r="J39" s="197"/>
      <c r="K39" s="197">
        <f t="shared" ref="K39:K53" si="82">H39+I39+J39</f>
        <v>529.78199999999993</v>
      </c>
      <c r="L39" s="197">
        <f t="shared" si="71"/>
        <v>16.551333333333446</v>
      </c>
      <c r="M39" s="197">
        <f t="shared" si="72"/>
        <v>236.55133333333345</v>
      </c>
      <c r="N39" s="196">
        <f t="shared" ref="N39:O53" si="83">E39/((1+$B$4)^($B39-1))</f>
        <v>525.32051282051282</v>
      </c>
      <c r="O39" s="197">
        <f t="shared" si="83"/>
        <v>211.53846153846152</v>
      </c>
      <c r="P39" s="197">
        <f t="shared" ref="P39:R53" si="84">K39/((1+$B$4)^($B39-1))</f>
        <v>509.40576923076912</v>
      </c>
      <c r="Q39" s="197">
        <f t="shared" si="84"/>
        <v>15.914743589743697</v>
      </c>
      <c r="R39" s="199">
        <f t="shared" si="84"/>
        <v>227.45320512820524</v>
      </c>
      <c r="S39" s="196">
        <f>S38+N39</f>
        <v>525.32051282051282</v>
      </c>
      <c r="T39" s="197">
        <f t="shared" ref="T39:W53" si="85">T38+O39</f>
        <v>431.53846153846155</v>
      </c>
      <c r="U39" s="197">
        <f t="shared" si="85"/>
        <v>2501.6877692307689</v>
      </c>
      <c r="V39" s="197">
        <f t="shared" si="85"/>
        <v>-1976.3672564102562</v>
      </c>
      <c r="W39" s="199">
        <f t="shared" si="85"/>
        <v>-1544.8287948717948</v>
      </c>
      <c r="X39" s="197"/>
      <c r="Z39" s="204">
        <v>2</v>
      </c>
      <c r="AA39" s="197">
        <f>'Energy NPV'!$D92</f>
        <v>9.9333333333333336</v>
      </c>
      <c r="AB39" s="197">
        <f>'Energy margins'!$Z$12</f>
        <v>55</v>
      </c>
      <c r="AC39" s="197">
        <f>AA39*AB39</f>
        <v>546.33333333333337</v>
      </c>
      <c r="AD39" s="197">
        <f>'Margins summary'!$W$14</f>
        <v>220</v>
      </c>
      <c r="AE39" s="197">
        <f t="shared" ref="AE39:AE53" si="86">AC39+AD39</f>
        <v>766.33333333333337</v>
      </c>
      <c r="AF39" s="197"/>
      <c r="AG39" s="897">
        <f>'Energy NPV'!U92</f>
        <v>529.78199999999993</v>
      </c>
      <c r="AH39" s="197"/>
      <c r="AI39" s="197">
        <f t="shared" ref="AI39:AI53" si="87">AF39+AG39+AH39</f>
        <v>529.78199999999993</v>
      </c>
      <c r="AJ39" s="197">
        <f t="shared" si="73"/>
        <v>16.551333333333446</v>
      </c>
      <c r="AK39" s="197">
        <f t="shared" si="74"/>
        <v>236.55133333333345</v>
      </c>
      <c r="AL39" s="196">
        <f t="shared" ref="AL39:AL53" si="88">AC39/((1+$C$4)^($B39-1))</f>
        <v>515.4088050314466</v>
      </c>
      <c r="AM39" s="197">
        <f t="shared" ref="AM39:AM53" si="89">AD39/((1+$C$4)^($B39-1))</f>
        <v>207.54716981132074</v>
      </c>
      <c r="AN39" s="197">
        <f t="shared" ref="AN39:AN53" si="90">AI39/((1+$C$4)^($B39-1))</f>
        <v>499.79433962264142</v>
      </c>
      <c r="AO39" s="197">
        <f t="shared" ref="AO39:AO53" si="91">AJ39/((1+$C$4)^($B39-1))</f>
        <v>15.614465408805136</v>
      </c>
      <c r="AP39" s="199">
        <f t="shared" ref="AP39:AP53" si="92">AK39/((1+$C$4)^($B39-1))</f>
        <v>223.16163522012587</v>
      </c>
      <c r="AQ39" s="196">
        <f>AQ38+AL39</f>
        <v>515.4088050314466</v>
      </c>
      <c r="AR39" s="197">
        <f t="shared" ref="AR39:AU53" si="93">AR38+AM39</f>
        <v>427.54716981132071</v>
      </c>
      <c r="AS39" s="197">
        <f t="shared" si="93"/>
        <v>2492.0763396226412</v>
      </c>
      <c r="AT39" s="197">
        <f t="shared" si="93"/>
        <v>-1976.6675345911947</v>
      </c>
      <c r="AU39" s="199">
        <f t="shared" si="93"/>
        <v>-1549.1203647798741</v>
      </c>
      <c r="AV39" s="197"/>
      <c r="AX39" s="204">
        <v>2</v>
      </c>
      <c r="AY39" s="197">
        <f>'Energy NPV'!$D92</f>
        <v>9.9333333333333336</v>
      </c>
      <c r="AZ39" s="197">
        <f>'Energy margins'!$Z$12</f>
        <v>55</v>
      </c>
      <c r="BA39" s="197">
        <f>AY39*AZ39</f>
        <v>546.33333333333337</v>
      </c>
      <c r="BB39" s="197">
        <f>'Margins summary'!$W$14</f>
        <v>220</v>
      </c>
      <c r="BC39" s="197">
        <f t="shared" ref="BC39:BC53" si="94">BA39+BB39</f>
        <v>766.33333333333337</v>
      </c>
      <c r="BD39" s="197"/>
      <c r="BE39" s="897">
        <f>'Energy NPV'!U92</f>
        <v>529.78199999999993</v>
      </c>
      <c r="BF39" s="197"/>
      <c r="BG39" s="197">
        <f t="shared" ref="BG39:BG53" si="95">BD39+BE39+BF39</f>
        <v>529.78199999999993</v>
      </c>
      <c r="BH39" s="197">
        <f t="shared" si="75"/>
        <v>16.551333333333446</v>
      </c>
      <c r="BI39" s="197">
        <f t="shared" si="76"/>
        <v>236.55133333333345</v>
      </c>
      <c r="BJ39" s="196">
        <f t="shared" ref="BJ39:BJ53" si="96">BA39/((1+$D$4)^($B39-1))</f>
        <v>535.62091503267982</v>
      </c>
      <c r="BK39" s="197">
        <f t="shared" ref="BK39:BK53" si="97">BB39/((1+$D$4)^($B39-1))</f>
        <v>215.68627450980392</v>
      </c>
      <c r="BL39" s="197">
        <f t="shared" ref="BL39:BL53" si="98">BG39/((1+$D$4)^($B39-1))</f>
        <v>519.39411764705869</v>
      </c>
      <c r="BM39" s="197">
        <f t="shared" ref="BM39:BM53" si="99">BH39/((1+$D$4)^($B39-1))</f>
        <v>16.226797385621026</v>
      </c>
      <c r="BN39" s="199">
        <f t="shared" ref="BN39:BN53" si="100">BI39/((1+$D$4)^($B39-1))</f>
        <v>231.91307189542493</v>
      </c>
      <c r="BO39" s="196">
        <f>BO38+BJ39</f>
        <v>535.62091503267982</v>
      </c>
      <c r="BP39" s="197">
        <f t="shared" ref="BP39:BP53" si="101">BP38+BK39</f>
        <v>435.68627450980392</v>
      </c>
      <c r="BQ39" s="197">
        <f t="shared" ref="BQ39:BQ53" si="102">BQ38+BL39</f>
        <v>2511.6761176470586</v>
      </c>
      <c r="BR39" s="197">
        <f t="shared" ref="BR39:BR53" si="103">BR38+BM39</f>
        <v>-1976.0552026143789</v>
      </c>
      <c r="BS39" s="199">
        <f t="shared" ref="BS39:BS53" si="104">BS38+BN39</f>
        <v>-1540.3689281045749</v>
      </c>
      <c r="BT39" s="197"/>
      <c r="BV39" s="204">
        <v>2</v>
      </c>
      <c r="BW39" s="197">
        <f>'Energy NPV'!$D92</f>
        <v>9.9333333333333336</v>
      </c>
      <c r="BX39" s="197">
        <f>'Energy margins'!$Z$12</f>
        <v>55</v>
      </c>
      <c r="BY39" s="197">
        <f>BW39*BX39</f>
        <v>546.33333333333337</v>
      </c>
      <c r="BZ39" s="197">
        <f>'Margins summary'!$W$14</f>
        <v>220</v>
      </c>
      <c r="CA39" s="197">
        <f t="shared" ref="CA39:CA53" si="105">BY39+BZ39</f>
        <v>766.33333333333337</v>
      </c>
      <c r="CB39" s="197"/>
      <c r="CC39" s="897">
        <f>'Energy NPV'!U92</f>
        <v>529.78199999999993</v>
      </c>
      <c r="CD39" s="197"/>
      <c r="CE39" s="197">
        <f t="shared" ref="CE39:CE53" si="106">CB39+CC39+CD39</f>
        <v>529.78199999999993</v>
      </c>
      <c r="CF39" s="197">
        <f t="shared" si="77"/>
        <v>16.551333333333446</v>
      </c>
      <c r="CG39" s="197">
        <f t="shared" si="78"/>
        <v>236.55133333333345</v>
      </c>
      <c r="CH39" s="196">
        <f t="shared" ref="CH39:CH53" si="107">BY39/((1+$E$4)^($B39-1))</f>
        <v>505.8641975308642</v>
      </c>
      <c r="CI39" s="197">
        <f t="shared" ref="CI39:CI53" si="108">BZ39/((1+$E$4)^($B39-1))</f>
        <v>203.7037037037037</v>
      </c>
      <c r="CJ39" s="197">
        <f t="shared" ref="CJ39:CJ53" si="109">CE39/((1+$E$4)^($B39-1))</f>
        <v>490.53888888888878</v>
      </c>
      <c r="CK39" s="197">
        <f t="shared" ref="CK39:CK53" si="110">CF39/((1+$E$4)^($B39-1))</f>
        <v>15.325308641975411</v>
      </c>
      <c r="CL39" s="199">
        <f t="shared" ref="CL39:CL53" si="111">CG39/((1+$E$4)^($B39-1))</f>
        <v>219.02901234567909</v>
      </c>
      <c r="CM39" s="196">
        <f>CM38+CH39</f>
        <v>505.8641975308642</v>
      </c>
      <c r="CN39" s="197">
        <f t="shared" ref="CN39:CN53" si="112">CN38+CI39</f>
        <v>423.7037037037037</v>
      </c>
      <c r="CO39" s="197">
        <f t="shared" ref="CO39:CO53" si="113">CO38+CJ39</f>
        <v>2482.8208888888885</v>
      </c>
      <c r="CP39" s="197">
        <f t="shared" ref="CP39:CP53" si="114">CP38+CK39</f>
        <v>-1976.9566913580245</v>
      </c>
      <c r="CQ39" s="199">
        <f t="shared" ref="CQ39:CQ53" si="115">CQ38+CL39</f>
        <v>-1553.2529876543208</v>
      </c>
      <c r="CR39" s="197"/>
      <c r="CT39" s="204">
        <f>CT38+1</f>
        <v>2</v>
      </c>
      <c r="CU39" s="197">
        <f>'Energy NPV'!$D92</f>
        <v>9.9333333333333336</v>
      </c>
      <c r="CV39" s="197">
        <f>'Energy margins'!$Z$12</f>
        <v>55</v>
      </c>
      <c r="CW39" s="197">
        <f>CU39*CV39</f>
        <v>546.33333333333337</v>
      </c>
      <c r="CX39" s="197">
        <f>'Margins summary'!$W$14</f>
        <v>220</v>
      </c>
      <c r="CY39" s="197">
        <f t="shared" ref="CY39:CY53" si="116">CW39+CX39</f>
        <v>766.33333333333337</v>
      </c>
      <c r="CZ39" s="197"/>
      <c r="DA39" s="897">
        <f>'Energy NPV'!U92</f>
        <v>529.78199999999993</v>
      </c>
      <c r="DB39" s="197"/>
      <c r="DC39" s="197">
        <f t="shared" ref="DC39:DC53" si="117">CZ39+DA39+DB39</f>
        <v>529.78199999999993</v>
      </c>
      <c r="DD39" s="197">
        <f t="shared" si="79"/>
        <v>16.551333333333446</v>
      </c>
      <c r="DE39" s="197">
        <f t="shared" si="80"/>
        <v>236.55133333333345</v>
      </c>
      <c r="DF39" s="196">
        <f t="shared" ref="DF39:DF53" si="118">CW39/((1+$F$4)^($B39-1))</f>
        <v>546.33333333333337</v>
      </c>
      <c r="DG39" s="197">
        <f t="shared" ref="DG39:DG53" si="119">CX39/((1+$F$4)^($B39-1))</f>
        <v>220</v>
      </c>
      <c r="DH39" s="197">
        <f t="shared" ref="DH39:DH53" si="120">DC39/((1+$F$4)^($B39-1))</f>
        <v>529.78199999999993</v>
      </c>
      <c r="DI39" s="197">
        <f t="shared" ref="DI39:DI53" si="121">DD39/((1+$F$4)^($B39-1))</f>
        <v>16.551333333333446</v>
      </c>
      <c r="DJ39" s="199">
        <f t="shared" ref="DJ39:DJ53" si="122">DE39/((1+$F$4)^($B39-1))</f>
        <v>236.55133333333345</v>
      </c>
      <c r="DK39" s="196">
        <f>DK38+DF39</f>
        <v>546.33333333333337</v>
      </c>
      <c r="DL39" s="197">
        <f t="shared" ref="DL39:DL53" si="123">DL38+DG39</f>
        <v>440</v>
      </c>
      <c r="DM39" s="197">
        <f t="shared" ref="DM39:DM53" si="124">DM38+DH39</f>
        <v>2522.0639999999999</v>
      </c>
      <c r="DN39" s="197">
        <f t="shared" ref="DN39:DN53" si="125">DN38+DI39</f>
        <v>-1975.7306666666664</v>
      </c>
      <c r="DO39" s="199">
        <f t="shared" ref="DO39:DO53" si="126">DO38+DJ39</f>
        <v>-1535.7306666666664</v>
      </c>
    </row>
    <row r="40" spans="2:119" x14ac:dyDescent="0.3">
      <c r="B40" s="204">
        <f t="shared" ref="B40:B53" si="127">B39+1</f>
        <v>3</v>
      </c>
      <c r="C40" s="197">
        <f>'Energy NPV'!$D93</f>
        <v>14.700000000000001</v>
      </c>
      <c r="D40" s="197">
        <f>'Energy margins'!$Z$12</f>
        <v>55</v>
      </c>
      <c r="E40" s="197">
        <f t="shared" ref="E40:E53" si="128">C40*D40</f>
        <v>808.50000000000011</v>
      </c>
      <c r="F40" s="197">
        <f>'Margins summary'!$W$14</f>
        <v>220</v>
      </c>
      <c r="G40" s="197">
        <f t="shared" si="81"/>
        <v>1028.5</v>
      </c>
      <c r="H40" s="197"/>
      <c r="I40" s="897">
        <f>'Energy NPV'!U93</f>
        <v>529.78199999999993</v>
      </c>
      <c r="J40" s="197"/>
      <c r="K40" s="197">
        <f t="shared" si="82"/>
        <v>529.78199999999993</v>
      </c>
      <c r="L40" s="197">
        <f t="shared" si="71"/>
        <v>278.71800000000019</v>
      </c>
      <c r="M40" s="197">
        <f t="shared" si="72"/>
        <v>498.71800000000007</v>
      </c>
      <c r="N40" s="196">
        <f t="shared" si="83"/>
        <v>747.50369822485209</v>
      </c>
      <c r="O40" s="197">
        <f t="shared" si="83"/>
        <v>203.40236686390531</v>
      </c>
      <c r="P40" s="197">
        <f t="shared" si="84"/>
        <v>489.81323964497028</v>
      </c>
      <c r="Q40" s="197">
        <f t="shared" si="84"/>
        <v>257.69045857988181</v>
      </c>
      <c r="R40" s="199">
        <f t="shared" si="84"/>
        <v>461.09282544378698</v>
      </c>
      <c r="S40" s="196">
        <f t="shared" ref="S40:S53" si="129">S39+N40</f>
        <v>1272.8242110453648</v>
      </c>
      <c r="T40" s="197">
        <f t="shared" si="85"/>
        <v>634.94082840236683</v>
      </c>
      <c r="U40" s="197">
        <f t="shared" si="85"/>
        <v>2991.501008875739</v>
      </c>
      <c r="V40" s="197">
        <f t="shared" si="85"/>
        <v>-1718.6767978303744</v>
      </c>
      <c r="W40" s="199">
        <f t="shared" si="85"/>
        <v>-1083.7359694280078</v>
      </c>
      <c r="X40" s="197"/>
      <c r="Z40" s="204">
        <f t="shared" ref="Z40:Z53" si="130">Z39+1</f>
        <v>3</v>
      </c>
      <c r="AA40" s="197">
        <f>'Energy NPV'!$D93</f>
        <v>14.700000000000001</v>
      </c>
      <c r="AB40" s="197">
        <f>'Energy margins'!$Z$12</f>
        <v>55</v>
      </c>
      <c r="AC40" s="197">
        <f t="shared" ref="AC40:AC53" si="131">AA40*AB40</f>
        <v>808.50000000000011</v>
      </c>
      <c r="AD40" s="197">
        <f>'Margins summary'!$W$14</f>
        <v>220</v>
      </c>
      <c r="AE40" s="197">
        <f t="shared" si="86"/>
        <v>1028.5</v>
      </c>
      <c r="AF40" s="197"/>
      <c r="AG40" s="897">
        <f>'Energy NPV'!U93</f>
        <v>529.78199999999993</v>
      </c>
      <c r="AH40" s="197"/>
      <c r="AI40" s="197">
        <f t="shared" si="87"/>
        <v>529.78199999999993</v>
      </c>
      <c r="AJ40" s="197">
        <f t="shared" si="73"/>
        <v>278.71800000000019</v>
      </c>
      <c r="AK40" s="197">
        <f t="shared" si="74"/>
        <v>498.71800000000007</v>
      </c>
      <c r="AL40" s="196">
        <f t="shared" si="88"/>
        <v>719.56212175151302</v>
      </c>
      <c r="AM40" s="197">
        <f t="shared" si="89"/>
        <v>195.79921680313277</v>
      </c>
      <c r="AN40" s="197">
        <f t="shared" si="90"/>
        <v>471.50409398362393</v>
      </c>
      <c r="AO40" s="197">
        <f t="shared" si="91"/>
        <v>248.05802776788906</v>
      </c>
      <c r="AP40" s="199">
        <f t="shared" si="92"/>
        <v>443.85724457102174</v>
      </c>
      <c r="AQ40" s="196">
        <f t="shared" ref="AQ40:AQ53" si="132">AQ39+AL40</f>
        <v>1234.9709267829596</v>
      </c>
      <c r="AR40" s="197">
        <f t="shared" si="93"/>
        <v>623.34638661445342</v>
      </c>
      <c r="AS40" s="197">
        <f t="shared" si="93"/>
        <v>2963.5804336062652</v>
      </c>
      <c r="AT40" s="197">
        <f t="shared" si="93"/>
        <v>-1728.6095068233055</v>
      </c>
      <c r="AU40" s="199">
        <f t="shared" si="93"/>
        <v>-1105.2631202088523</v>
      </c>
      <c r="AV40" s="197"/>
      <c r="AX40" s="204">
        <f t="shared" ref="AX40:AX53" si="133">AX39+1</f>
        <v>3</v>
      </c>
      <c r="AY40" s="197">
        <f>'Energy NPV'!$D93</f>
        <v>14.700000000000001</v>
      </c>
      <c r="AZ40" s="197">
        <f>'Energy margins'!$Z$12</f>
        <v>55</v>
      </c>
      <c r="BA40" s="197">
        <f t="shared" ref="BA40:BA53" si="134">AY40*AZ40</f>
        <v>808.50000000000011</v>
      </c>
      <c r="BB40" s="197">
        <f>'Margins summary'!$W$14</f>
        <v>220</v>
      </c>
      <c r="BC40" s="197">
        <f t="shared" si="94"/>
        <v>1028.5</v>
      </c>
      <c r="BD40" s="197"/>
      <c r="BE40" s="897">
        <f>'Energy NPV'!U93</f>
        <v>529.78199999999993</v>
      </c>
      <c r="BF40" s="197"/>
      <c r="BG40" s="197">
        <f t="shared" si="95"/>
        <v>529.78199999999993</v>
      </c>
      <c r="BH40" s="197">
        <f t="shared" si="75"/>
        <v>278.71800000000019</v>
      </c>
      <c r="BI40" s="197">
        <f t="shared" si="76"/>
        <v>498.71800000000007</v>
      </c>
      <c r="BJ40" s="196">
        <f t="shared" si="96"/>
        <v>777.10495963091125</v>
      </c>
      <c r="BK40" s="197">
        <f t="shared" si="97"/>
        <v>211.4571318723568</v>
      </c>
      <c r="BL40" s="197">
        <f t="shared" si="98"/>
        <v>509.20991926182234</v>
      </c>
      <c r="BM40" s="197">
        <f t="shared" si="99"/>
        <v>267.89504036908897</v>
      </c>
      <c r="BN40" s="199">
        <f t="shared" si="100"/>
        <v>479.35217224144566</v>
      </c>
      <c r="BO40" s="196">
        <f t="shared" ref="BO40:BO53" si="135">BO39+BJ40</f>
        <v>1312.7258746635912</v>
      </c>
      <c r="BP40" s="197">
        <f t="shared" si="101"/>
        <v>647.14340638216072</v>
      </c>
      <c r="BQ40" s="197">
        <f t="shared" si="102"/>
        <v>3020.8860369088811</v>
      </c>
      <c r="BR40" s="197">
        <f t="shared" si="103"/>
        <v>-1708.1601622452899</v>
      </c>
      <c r="BS40" s="199">
        <f t="shared" si="104"/>
        <v>-1061.0167558631292</v>
      </c>
      <c r="BT40" s="197"/>
      <c r="BV40" s="204">
        <f t="shared" ref="BV40:BV53" si="136">BV39+1</f>
        <v>3</v>
      </c>
      <c r="BW40" s="197">
        <f>'Energy NPV'!$D93</f>
        <v>14.700000000000001</v>
      </c>
      <c r="BX40" s="197">
        <f>'Energy margins'!$Z$12</f>
        <v>55</v>
      </c>
      <c r="BY40" s="197">
        <f t="shared" ref="BY40:BY53" si="137">BW40*BX40</f>
        <v>808.50000000000011</v>
      </c>
      <c r="BZ40" s="197">
        <f>'Margins summary'!$W$14</f>
        <v>220</v>
      </c>
      <c r="CA40" s="197">
        <f t="shared" si="105"/>
        <v>1028.5</v>
      </c>
      <c r="CB40" s="197"/>
      <c r="CC40" s="897">
        <f>'Energy NPV'!U93</f>
        <v>529.78199999999993</v>
      </c>
      <c r="CD40" s="197"/>
      <c r="CE40" s="197">
        <f t="shared" si="106"/>
        <v>529.78199999999993</v>
      </c>
      <c r="CF40" s="197">
        <f t="shared" si="77"/>
        <v>278.71800000000019</v>
      </c>
      <c r="CG40" s="197">
        <f t="shared" si="78"/>
        <v>498.71800000000007</v>
      </c>
      <c r="CH40" s="196">
        <f t="shared" si="107"/>
        <v>693.15843621399176</v>
      </c>
      <c r="CI40" s="197">
        <f t="shared" si="108"/>
        <v>188.6145404663923</v>
      </c>
      <c r="CJ40" s="197">
        <f t="shared" si="109"/>
        <v>454.20267489711921</v>
      </c>
      <c r="CK40" s="197">
        <f t="shared" si="110"/>
        <v>238.95576131687258</v>
      </c>
      <c r="CL40" s="199">
        <f t="shared" si="111"/>
        <v>427.57030178326477</v>
      </c>
      <c r="CM40" s="196">
        <f t="shared" ref="CM40:CM53" si="138">CM39+CH40</f>
        <v>1199.022633744856</v>
      </c>
      <c r="CN40" s="197">
        <f t="shared" si="112"/>
        <v>612.31824417009602</v>
      </c>
      <c r="CO40" s="197">
        <f t="shared" si="113"/>
        <v>2937.0235637860078</v>
      </c>
      <c r="CP40" s="197">
        <f t="shared" si="114"/>
        <v>-1738.0009300411518</v>
      </c>
      <c r="CQ40" s="199">
        <f t="shared" si="115"/>
        <v>-1125.682685871056</v>
      </c>
      <c r="CR40" s="197"/>
      <c r="CT40" s="204">
        <f t="shared" ref="CT40:CT53" si="139">CT39+1</f>
        <v>3</v>
      </c>
      <c r="CU40" s="197">
        <f>'Energy NPV'!$D93</f>
        <v>14.700000000000001</v>
      </c>
      <c r="CV40" s="197">
        <f>'Energy margins'!$Z$12</f>
        <v>55</v>
      </c>
      <c r="CW40" s="197">
        <f t="shared" ref="CW40:CW53" si="140">CU40*CV40</f>
        <v>808.50000000000011</v>
      </c>
      <c r="CX40" s="197">
        <f>'Margins summary'!$W$14</f>
        <v>220</v>
      </c>
      <c r="CY40" s="197">
        <f t="shared" si="116"/>
        <v>1028.5</v>
      </c>
      <c r="CZ40" s="197"/>
      <c r="DA40" s="897">
        <f>'Energy NPV'!U93</f>
        <v>529.78199999999993</v>
      </c>
      <c r="DB40" s="197"/>
      <c r="DC40" s="197">
        <f t="shared" si="117"/>
        <v>529.78199999999993</v>
      </c>
      <c r="DD40" s="197">
        <f t="shared" si="79"/>
        <v>278.71800000000019</v>
      </c>
      <c r="DE40" s="197">
        <f t="shared" si="80"/>
        <v>498.71800000000007</v>
      </c>
      <c r="DF40" s="196">
        <f t="shared" si="118"/>
        <v>808.50000000000011</v>
      </c>
      <c r="DG40" s="197">
        <f t="shared" si="119"/>
        <v>220</v>
      </c>
      <c r="DH40" s="197">
        <f t="shared" si="120"/>
        <v>529.78199999999993</v>
      </c>
      <c r="DI40" s="197">
        <f t="shared" si="121"/>
        <v>278.71800000000019</v>
      </c>
      <c r="DJ40" s="199">
        <f t="shared" si="122"/>
        <v>498.71800000000007</v>
      </c>
      <c r="DK40" s="196">
        <f t="shared" ref="DK40:DK53" si="141">DK39+DF40</f>
        <v>1354.8333333333335</v>
      </c>
      <c r="DL40" s="197">
        <f t="shared" si="123"/>
        <v>660</v>
      </c>
      <c r="DM40" s="197">
        <f t="shared" si="124"/>
        <v>3051.8459999999995</v>
      </c>
      <c r="DN40" s="197">
        <f t="shared" si="125"/>
        <v>-1697.0126666666661</v>
      </c>
      <c r="DO40" s="199">
        <f t="shared" si="126"/>
        <v>-1037.0126666666663</v>
      </c>
    </row>
    <row r="41" spans="2:119" x14ac:dyDescent="0.3">
      <c r="B41" s="204">
        <f t="shared" si="127"/>
        <v>4</v>
      </c>
      <c r="C41" s="197">
        <f>'Energy NPV'!$D94</f>
        <v>15.733333333333334</v>
      </c>
      <c r="D41" s="197">
        <f>'Energy margins'!$Z$12</f>
        <v>55</v>
      </c>
      <c r="E41" s="197">
        <f t="shared" si="128"/>
        <v>865.33333333333337</v>
      </c>
      <c r="F41" s="197">
        <f>'Margins summary'!$W$14</f>
        <v>220</v>
      </c>
      <c r="G41" s="197">
        <f t="shared" si="81"/>
        <v>1085.3333333333335</v>
      </c>
      <c r="H41" s="197"/>
      <c r="I41" s="897">
        <f>'Energy NPV'!U94</f>
        <v>368.78200000000004</v>
      </c>
      <c r="J41" s="197"/>
      <c r="K41" s="197">
        <f t="shared" si="82"/>
        <v>368.78200000000004</v>
      </c>
      <c r="L41" s="197">
        <f t="shared" si="71"/>
        <v>496.55133333333333</v>
      </c>
      <c r="M41" s="197">
        <f t="shared" si="72"/>
        <v>716.55133333333345</v>
      </c>
      <c r="N41" s="196">
        <f t="shared" si="83"/>
        <v>769.27818236989833</v>
      </c>
      <c r="O41" s="197">
        <f t="shared" si="83"/>
        <v>195.57919890760127</v>
      </c>
      <c r="P41" s="197">
        <f t="shared" si="84"/>
        <v>327.84585514337732</v>
      </c>
      <c r="Q41" s="197">
        <f t="shared" si="84"/>
        <v>441.43232722652095</v>
      </c>
      <c r="R41" s="199">
        <f t="shared" si="84"/>
        <v>637.01152613412239</v>
      </c>
      <c r="S41" s="196">
        <f t="shared" si="129"/>
        <v>2042.1023934152631</v>
      </c>
      <c r="T41" s="197">
        <f t="shared" si="85"/>
        <v>830.5200273099681</v>
      </c>
      <c r="U41" s="197">
        <f t="shared" si="85"/>
        <v>3319.3468640191163</v>
      </c>
      <c r="V41" s="197">
        <f t="shared" si="85"/>
        <v>-1277.2444706038534</v>
      </c>
      <c r="W41" s="199">
        <f t="shared" si="85"/>
        <v>-446.72444329388543</v>
      </c>
      <c r="X41" s="197"/>
      <c r="Z41" s="204">
        <f t="shared" si="130"/>
        <v>4</v>
      </c>
      <c r="AA41" s="197">
        <f>'Energy NPV'!$D94</f>
        <v>15.733333333333334</v>
      </c>
      <c r="AB41" s="197">
        <f>'Energy margins'!$Z$12</f>
        <v>55</v>
      </c>
      <c r="AC41" s="197">
        <f t="shared" si="131"/>
        <v>865.33333333333337</v>
      </c>
      <c r="AD41" s="197">
        <f>'Margins summary'!$W$14</f>
        <v>220</v>
      </c>
      <c r="AE41" s="197">
        <f t="shared" si="86"/>
        <v>1085.3333333333335</v>
      </c>
      <c r="AF41" s="197"/>
      <c r="AG41" s="897">
        <f>'Energy NPV'!U94</f>
        <v>368.78200000000004</v>
      </c>
      <c r="AH41" s="197"/>
      <c r="AI41" s="197">
        <f t="shared" si="87"/>
        <v>368.78200000000004</v>
      </c>
      <c r="AJ41" s="197">
        <f t="shared" si="73"/>
        <v>496.55133333333333</v>
      </c>
      <c r="AK41" s="197">
        <f t="shared" si="74"/>
        <v>716.55133333333345</v>
      </c>
      <c r="AL41" s="196">
        <f t="shared" si="88"/>
        <v>726.55055291728502</v>
      </c>
      <c r="AM41" s="197">
        <f t="shared" si="89"/>
        <v>184.71624226710637</v>
      </c>
      <c r="AN41" s="197">
        <f t="shared" si="90"/>
        <v>309.63647843521829</v>
      </c>
      <c r="AO41" s="197">
        <f t="shared" si="91"/>
        <v>416.91407448206672</v>
      </c>
      <c r="AP41" s="199">
        <f t="shared" si="92"/>
        <v>601.63031674917318</v>
      </c>
      <c r="AQ41" s="196">
        <f t="shared" si="132"/>
        <v>1961.5214797002445</v>
      </c>
      <c r="AR41" s="197">
        <f t="shared" si="93"/>
        <v>808.06262888155982</v>
      </c>
      <c r="AS41" s="197">
        <f t="shared" si="93"/>
        <v>3273.2169120414833</v>
      </c>
      <c r="AT41" s="197">
        <f t="shared" si="93"/>
        <v>-1311.6954323412388</v>
      </c>
      <c r="AU41" s="199">
        <f t="shared" si="93"/>
        <v>-503.63280345967917</v>
      </c>
      <c r="AV41" s="197"/>
      <c r="AX41" s="204">
        <f t="shared" si="133"/>
        <v>4</v>
      </c>
      <c r="AY41" s="197">
        <f>'Energy NPV'!$D94</f>
        <v>15.733333333333334</v>
      </c>
      <c r="AZ41" s="197">
        <f>'Energy margins'!$Z$12</f>
        <v>55</v>
      </c>
      <c r="BA41" s="197">
        <f t="shared" si="134"/>
        <v>865.33333333333337</v>
      </c>
      <c r="BB41" s="197">
        <f>'Margins summary'!$W$14</f>
        <v>220</v>
      </c>
      <c r="BC41" s="197">
        <f t="shared" si="94"/>
        <v>1085.3333333333335</v>
      </c>
      <c r="BD41" s="197"/>
      <c r="BE41" s="897">
        <f>'Energy NPV'!U94</f>
        <v>368.78200000000004</v>
      </c>
      <c r="BF41" s="197"/>
      <c r="BG41" s="197">
        <f t="shared" si="95"/>
        <v>368.78200000000004</v>
      </c>
      <c r="BH41" s="197">
        <f t="shared" si="75"/>
        <v>496.55133333333333</v>
      </c>
      <c r="BI41" s="197">
        <f t="shared" si="76"/>
        <v>716.55133333333345</v>
      </c>
      <c r="BJ41" s="196">
        <f t="shared" si="96"/>
        <v>815.42292682804259</v>
      </c>
      <c r="BK41" s="197">
        <f t="shared" si="97"/>
        <v>207.31091360034981</v>
      </c>
      <c r="BL41" s="197">
        <f t="shared" si="98"/>
        <v>347.51151517892822</v>
      </c>
      <c r="BM41" s="197">
        <f t="shared" si="99"/>
        <v>467.91141164911437</v>
      </c>
      <c r="BN41" s="199">
        <f t="shared" si="100"/>
        <v>675.22232524946423</v>
      </c>
      <c r="BO41" s="196">
        <f t="shared" si="135"/>
        <v>2128.148801491634</v>
      </c>
      <c r="BP41" s="197">
        <f t="shared" si="101"/>
        <v>854.45431998251047</v>
      </c>
      <c r="BQ41" s="197">
        <f t="shared" si="102"/>
        <v>3368.3975520878093</v>
      </c>
      <c r="BR41" s="197">
        <f t="shared" si="103"/>
        <v>-1240.2487505961756</v>
      </c>
      <c r="BS41" s="199">
        <f t="shared" si="104"/>
        <v>-385.79443061366499</v>
      </c>
      <c r="BT41" s="197"/>
      <c r="BV41" s="204">
        <f t="shared" si="136"/>
        <v>4</v>
      </c>
      <c r="BW41" s="197">
        <f>'Energy NPV'!$D94</f>
        <v>15.733333333333334</v>
      </c>
      <c r="BX41" s="197">
        <f>'Energy margins'!$Z$12</f>
        <v>55</v>
      </c>
      <c r="BY41" s="197">
        <f t="shared" si="137"/>
        <v>865.33333333333337</v>
      </c>
      <c r="BZ41" s="197">
        <f>'Margins summary'!$W$14</f>
        <v>220</v>
      </c>
      <c r="CA41" s="197">
        <f t="shared" si="105"/>
        <v>1085.3333333333335</v>
      </c>
      <c r="CB41" s="197"/>
      <c r="CC41" s="897">
        <f>'Energy NPV'!U94</f>
        <v>368.78200000000004</v>
      </c>
      <c r="CD41" s="197"/>
      <c r="CE41" s="197">
        <f t="shared" si="106"/>
        <v>368.78200000000004</v>
      </c>
      <c r="CF41" s="197">
        <f t="shared" si="77"/>
        <v>496.55133333333333</v>
      </c>
      <c r="CG41" s="197">
        <f t="shared" si="78"/>
        <v>716.55133333333345</v>
      </c>
      <c r="CH41" s="196">
        <f t="shared" si="107"/>
        <v>686.92949922945343</v>
      </c>
      <c r="CI41" s="197">
        <f t="shared" si="108"/>
        <v>174.64309302443732</v>
      </c>
      <c r="CJ41" s="197">
        <f t="shared" si="109"/>
        <v>292.7510415079002</v>
      </c>
      <c r="CK41" s="197">
        <f t="shared" si="110"/>
        <v>394.17845772155323</v>
      </c>
      <c r="CL41" s="199">
        <f t="shared" si="111"/>
        <v>568.82155074599063</v>
      </c>
      <c r="CM41" s="196">
        <f t="shared" si="138"/>
        <v>1885.9521329743093</v>
      </c>
      <c r="CN41" s="197">
        <f t="shared" si="112"/>
        <v>786.96133719453337</v>
      </c>
      <c r="CO41" s="197">
        <f t="shared" si="113"/>
        <v>3229.7746052939078</v>
      </c>
      <c r="CP41" s="197">
        <f t="shared" si="114"/>
        <v>-1343.8224723195985</v>
      </c>
      <c r="CQ41" s="199">
        <f t="shared" si="115"/>
        <v>-556.8611351250654</v>
      </c>
      <c r="CR41" s="197"/>
      <c r="CT41" s="204">
        <f t="shared" si="139"/>
        <v>4</v>
      </c>
      <c r="CU41" s="197">
        <f>'Energy NPV'!$D94</f>
        <v>15.733333333333334</v>
      </c>
      <c r="CV41" s="197">
        <f>'Energy margins'!$Z$12</f>
        <v>55</v>
      </c>
      <c r="CW41" s="197">
        <f t="shared" si="140"/>
        <v>865.33333333333337</v>
      </c>
      <c r="CX41" s="197">
        <f>'Margins summary'!$W$14</f>
        <v>220</v>
      </c>
      <c r="CY41" s="197">
        <f t="shared" si="116"/>
        <v>1085.3333333333335</v>
      </c>
      <c r="CZ41" s="197"/>
      <c r="DA41" s="897">
        <f>'Energy NPV'!U94</f>
        <v>368.78200000000004</v>
      </c>
      <c r="DB41" s="197"/>
      <c r="DC41" s="197">
        <f t="shared" si="117"/>
        <v>368.78200000000004</v>
      </c>
      <c r="DD41" s="197">
        <f t="shared" si="79"/>
        <v>496.55133333333333</v>
      </c>
      <c r="DE41" s="197">
        <f t="shared" si="80"/>
        <v>716.55133333333345</v>
      </c>
      <c r="DF41" s="196">
        <f t="shared" si="118"/>
        <v>865.33333333333337</v>
      </c>
      <c r="DG41" s="197">
        <f t="shared" si="119"/>
        <v>220</v>
      </c>
      <c r="DH41" s="197">
        <f t="shared" si="120"/>
        <v>368.78200000000004</v>
      </c>
      <c r="DI41" s="197">
        <f t="shared" si="121"/>
        <v>496.55133333333333</v>
      </c>
      <c r="DJ41" s="199">
        <f t="shared" si="122"/>
        <v>716.55133333333345</v>
      </c>
      <c r="DK41" s="196">
        <f t="shared" si="141"/>
        <v>2220.166666666667</v>
      </c>
      <c r="DL41" s="197">
        <f t="shared" si="123"/>
        <v>880</v>
      </c>
      <c r="DM41" s="197">
        <f t="shared" si="124"/>
        <v>3420.6279999999997</v>
      </c>
      <c r="DN41" s="197">
        <f t="shared" si="125"/>
        <v>-1200.4613333333327</v>
      </c>
      <c r="DO41" s="199">
        <f t="shared" si="126"/>
        <v>-320.46133333333285</v>
      </c>
    </row>
    <row r="42" spans="2:119" x14ac:dyDescent="0.3">
      <c r="B42" s="204">
        <f t="shared" si="127"/>
        <v>5</v>
      </c>
      <c r="C42" s="197">
        <f>'Energy NPV'!$D95</f>
        <v>16.3</v>
      </c>
      <c r="D42" s="197">
        <f>'Energy margins'!$Z$12</f>
        <v>55</v>
      </c>
      <c r="E42" s="197">
        <f t="shared" si="128"/>
        <v>896.5</v>
      </c>
      <c r="F42" s="197">
        <f>'Margins summary'!$W$14</f>
        <v>220</v>
      </c>
      <c r="G42" s="197">
        <f t="shared" si="81"/>
        <v>1116.5</v>
      </c>
      <c r="H42" s="197"/>
      <c r="I42" s="897">
        <f>'Energy NPV'!U95</f>
        <v>368.78200000000004</v>
      </c>
      <c r="J42" s="197"/>
      <c r="K42" s="197">
        <f t="shared" si="82"/>
        <v>368.78200000000004</v>
      </c>
      <c r="L42" s="197">
        <f t="shared" si="71"/>
        <v>527.71799999999996</v>
      </c>
      <c r="M42" s="197">
        <f t="shared" si="72"/>
        <v>747.71799999999996</v>
      </c>
      <c r="N42" s="196">
        <f t="shared" si="83"/>
        <v>766.33195725814903</v>
      </c>
      <c r="O42" s="197">
        <f t="shared" si="83"/>
        <v>188.05692202653967</v>
      </c>
      <c r="P42" s="197">
        <f t="shared" si="84"/>
        <v>315.23639917632431</v>
      </c>
      <c r="Q42" s="197">
        <f t="shared" si="84"/>
        <v>451.09555808182478</v>
      </c>
      <c r="R42" s="199">
        <f t="shared" si="84"/>
        <v>639.15248010836444</v>
      </c>
      <c r="S42" s="196">
        <f t="shared" si="129"/>
        <v>2808.4343506734122</v>
      </c>
      <c r="T42" s="197">
        <f t="shared" si="85"/>
        <v>1018.5769493365078</v>
      </c>
      <c r="U42" s="197">
        <f t="shared" si="85"/>
        <v>3634.5832631954408</v>
      </c>
      <c r="V42" s="197">
        <f t="shared" si="85"/>
        <v>-826.1489125220287</v>
      </c>
      <c r="W42" s="199">
        <f t="shared" si="85"/>
        <v>192.42803681447901</v>
      </c>
      <c r="X42" s="197"/>
      <c r="Z42" s="204">
        <f t="shared" si="130"/>
        <v>5</v>
      </c>
      <c r="AA42" s="197">
        <f>'Energy NPV'!$D95</f>
        <v>16.3</v>
      </c>
      <c r="AB42" s="197">
        <f>'Energy margins'!$Z$12</f>
        <v>55</v>
      </c>
      <c r="AC42" s="197">
        <f t="shared" si="131"/>
        <v>896.5</v>
      </c>
      <c r="AD42" s="197">
        <f>'Margins summary'!$W$14</f>
        <v>220</v>
      </c>
      <c r="AE42" s="197">
        <f t="shared" si="86"/>
        <v>1116.5</v>
      </c>
      <c r="AF42" s="197"/>
      <c r="AG42" s="897">
        <f>'Energy NPV'!U95</f>
        <v>368.78200000000004</v>
      </c>
      <c r="AH42" s="197"/>
      <c r="AI42" s="197">
        <f t="shared" si="87"/>
        <v>368.78200000000004</v>
      </c>
      <c r="AJ42" s="197">
        <f t="shared" si="73"/>
        <v>527.71799999999996</v>
      </c>
      <c r="AK42" s="197">
        <f t="shared" si="74"/>
        <v>747.71799999999996</v>
      </c>
      <c r="AL42" s="196">
        <f t="shared" si="88"/>
        <v>710.11196909288526</v>
      </c>
      <c r="AM42" s="197">
        <f t="shared" si="89"/>
        <v>174.2606059123645</v>
      </c>
      <c r="AN42" s="197">
        <f t="shared" si="90"/>
        <v>292.10988531624366</v>
      </c>
      <c r="AO42" s="197">
        <f t="shared" si="91"/>
        <v>418.0020837766416</v>
      </c>
      <c r="AP42" s="199">
        <f t="shared" si="92"/>
        <v>592.26268968900615</v>
      </c>
      <c r="AQ42" s="196">
        <f t="shared" si="132"/>
        <v>2671.6334487931299</v>
      </c>
      <c r="AR42" s="197">
        <f t="shared" si="93"/>
        <v>982.32323479392426</v>
      </c>
      <c r="AS42" s="197">
        <f t="shared" si="93"/>
        <v>3565.3267973577267</v>
      </c>
      <c r="AT42" s="197">
        <f t="shared" si="93"/>
        <v>-893.69334856459716</v>
      </c>
      <c r="AU42" s="199">
        <f t="shared" si="93"/>
        <v>88.629886229326985</v>
      </c>
      <c r="AV42" s="197"/>
      <c r="AX42" s="204">
        <f t="shared" si="133"/>
        <v>5</v>
      </c>
      <c r="AY42" s="197">
        <f>'Energy NPV'!$D95</f>
        <v>16.3</v>
      </c>
      <c r="AZ42" s="197">
        <f>'Energy margins'!$Z$12</f>
        <v>55</v>
      </c>
      <c r="BA42" s="197">
        <f t="shared" si="134"/>
        <v>896.5</v>
      </c>
      <c r="BB42" s="197">
        <f>'Margins summary'!$W$14</f>
        <v>220</v>
      </c>
      <c r="BC42" s="197">
        <f t="shared" si="94"/>
        <v>1116.5</v>
      </c>
      <c r="BD42" s="197"/>
      <c r="BE42" s="897">
        <f>'Energy NPV'!U95</f>
        <v>368.78200000000004</v>
      </c>
      <c r="BF42" s="197"/>
      <c r="BG42" s="197">
        <f t="shared" si="95"/>
        <v>368.78200000000004</v>
      </c>
      <c r="BH42" s="197">
        <f t="shared" si="75"/>
        <v>527.71799999999996</v>
      </c>
      <c r="BI42" s="197">
        <f t="shared" si="76"/>
        <v>747.71799999999996</v>
      </c>
      <c r="BJ42" s="196">
        <f t="shared" si="96"/>
        <v>828.22742443277002</v>
      </c>
      <c r="BK42" s="197">
        <f t="shared" si="97"/>
        <v>203.24599372583313</v>
      </c>
      <c r="BL42" s="197">
        <f t="shared" si="98"/>
        <v>340.69756390090998</v>
      </c>
      <c r="BM42" s="197">
        <f t="shared" si="99"/>
        <v>487.52986053185998</v>
      </c>
      <c r="BN42" s="199">
        <f t="shared" si="100"/>
        <v>690.77585425769314</v>
      </c>
      <c r="BO42" s="196">
        <f t="shared" si="135"/>
        <v>2956.376225924404</v>
      </c>
      <c r="BP42" s="197">
        <f t="shared" si="101"/>
        <v>1057.7003137083436</v>
      </c>
      <c r="BQ42" s="197">
        <f t="shared" si="102"/>
        <v>3709.0951159887195</v>
      </c>
      <c r="BR42" s="197">
        <f t="shared" si="103"/>
        <v>-752.71889006431559</v>
      </c>
      <c r="BS42" s="199">
        <f t="shared" si="104"/>
        <v>304.98142364402815</v>
      </c>
      <c r="BT42" s="197"/>
      <c r="BV42" s="204">
        <f t="shared" si="136"/>
        <v>5</v>
      </c>
      <c r="BW42" s="197">
        <f>'Energy NPV'!$D95</f>
        <v>16.3</v>
      </c>
      <c r="BX42" s="197">
        <f>'Energy margins'!$Z$12</f>
        <v>55</v>
      </c>
      <c r="BY42" s="197">
        <f t="shared" si="137"/>
        <v>896.5</v>
      </c>
      <c r="BZ42" s="197">
        <f>'Margins summary'!$W$14</f>
        <v>220</v>
      </c>
      <c r="CA42" s="197">
        <f t="shared" si="105"/>
        <v>1116.5</v>
      </c>
      <c r="CB42" s="197"/>
      <c r="CC42" s="897">
        <f>'Energy NPV'!U95</f>
        <v>368.78200000000004</v>
      </c>
      <c r="CD42" s="197"/>
      <c r="CE42" s="197">
        <f t="shared" si="106"/>
        <v>368.78200000000004</v>
      </c>
      <c r="CF42" s="197">
        <f t="shared" si="77"/>
        <v>527.71799999999996</v>
      </c>
      <c r="CG42" s="197">
        <f t="shared" si="78"/>
        <v>747.71799999999996</v>
      </c>
      <c r="CH42" s="196">
        <f t="shared" si="107"/>
        <v>658.95426303202032</v>
      </c>
      <c r="CI42" s="197">
        <f t="shared" si="108"/>
        <v>161.70656761521971</v>
      </c>
      <c r="CJ42" s="197">
        <f t="shared" si="109"/>
        <v>271.06577917398164</v>
      </c>
      <c r="CK42" s="197">
        <f t="shared" si="110"/>
        <v>387.88848385803868</v>
      </c>
      <c r="CL42" s="199">
        <f t="shared" si="111"/>
        <v>549.59505147325842</v>
      </c>
      <c r="CM42" s="196">
        <f t="shared" si="138"/>
        <v>2544.9063960063295</v>
      </c>
      <c r="CN42" s="197">
        <f t="shared" si="112"/>
        <v>948.66790480975305</v>
      </c>
      <c r="CO42" s="197">
        <f t="shared" si="113"/>
        <v>3500.8403844678896</v>
      </c>
      <c r="CP42" s="197">
        <f t="shared" si="114"/>
        <v>-955.93398846155992</v>
      </c>
      <c r="CQ42" s="199">
        <f t="shared" si="115"/>
        <v>-7.26608365180698</v>
      </c>
      <c r="CR42" s="197"/>
      <c r="CT42" s="204">
        <f t="shared" si="139"/>
        <v>5</v>
      </c>
      <c r="CU42" s="197">
        <f>'Energy NPV'!$D95</f>
        <v>16.3</v>
      </c>
      <c r="CV42" s="197">
        <f>'Energy margins'!$Z$12</f>
        <v>55</v>
      </c>
      <c r="CW42" s="197">
        <f t="shared" si="140"/>
        <v>896.5</v>
      </c>
      <c r="CX42" s="197">
        <f>'Margins summary'!$W$14</f>
        <v>220</v>
      </c>
      <c r="CY42" s="197">
        <f t="shared" si="116"/>
        <v>1116.5</v>
      </c>
      <c r="CZ42" s="197"/>
      <c r="DA42" s="897">
        <f>'Energy NPV'!U95</f>
        <v>368.78200000000004</v>
      </c>
      <c r="DB42" s="197"/>
      <c r="DC42" s="197">
        <f t="shared" si="117"/>
        <v>368.78200000000004</v>
      </c>
      <c r="DD42" s="197">
        <f t="shared" si="79"/>
        <v>527.71799999999996</v>
      </c>
      <c r="DE42" s="197">
        <f t="shared" si="80"/>
        <v>747.71799999999996</v>
      </c>
      <c r="DF42" s="196">
        <f t="shared" si="118"/>
        <v>896.5</v>
      </c>
      <c r="DG42" s="197">
        <f t="shared" si="119"/>
        <v>220</v>
      </c>
      <c r="DH42" s="197">
        <f t="shared" si="120"/>
        <v>368.78200000000004</v>
      </c>
      <c r="DI42" s="197">
        <f t="shared" si="121"/>
        <v>527.71799999999996</v>
      </c>
      <c r="DJ42" s="199">
        <f t="shared" si="122"/>
        <v>747.71799999999996</v>
      </c>
      <c r="DK42" s="196">
        <f t="shared" si="141"/>
        <v>3116.666666666667</v>
      </c>
      <c r="DL42" s="197">
        <f t="shared" si="123"/>
        <v>1100</v>
      </c>
      <c r="DM42" s="197">
        <f t="shared" si="124"/>
        <v>3789.41</v>
      </c>
      <c r="DN42" s="197">
        <f t="shared" si="125"/>
        <v>-672.74333333333277</v>
      </c>
      <c r="DO42" s="199">
        <f t="shared" si="126"/>
        <v>427.25666666666712</v>
      </c>
    </row>
    <row r="43" spans="2:119" x14ac:dyDescent="0.3">
      <c r="B43" s="204">
        <f t="shared" si="127"/>
        <v>6</v>
      </c>
      <c r="C43" s="197">
        <f>'Energy NPV'!$D96</f>
        <v>16.3</v>
      </c>
      <c r="D43" s="197">
        <f>'Energy margins'!$Z$12</f>
        <v>55</v>
      </c>
      <c r="E43" s="197">
        <f t="shared" si="128"/>
        <v>896.5</v>
      </c>
      <c r="F43" s="197">
        <f>'Margins summary'!$W$14</f>
        <v>220</v>
      </c>
      <c r="G43" s="197">
        <f t="shared" si="81"/>
        <v>1116.5</v>
      </c>
      <c r="H43" s="197"/>
      <c r="I43" s="897">
        <f>'Energy NPV'!U96</f>
        <v>368.78200000000004</v>
      </c>
      <c r="J43" s="197"/>
      <c r="K43" s="197">
        <f t="shared" si="82"/>
        <v>368.78200000000004</v>
      </c>
      <c r="L43" s="197">
        <f t="shared" si="71"/>
        <v>527.71799999999996</v>
      </c>
      <c r="M43" s="197">
        <f t="shared" si="72"/>
        <v>747.71799999999996</v>
      </c>
      <c r="N43" s="196">
        <f t="shared" si="83"/>
        <v>736.85765120975861</v>
      </c>
      <c r="O43" s="197">
        <f t="shared" si="83"/>
        <v>180.82396348705734</v>
      </c>
      <c r="P43" s="197">
        <f t="shared" si="84"/>
        <v>303.11192228492723</v>
      </c>
      <c r="Q43" s="197">
        <f t="shared" si="84"/>
        <v>433.74572892483144</v>
      </c>
      <c r="R43" s="199">
        <f t="shared" si="84"/>
        <v>614.56969241188881</v>
      </c>
      <c r="S43" s="196">
        <f t="shared" si="129"/>
        <v>3545.292001883171</v>
      </c>
      <c r="T43" s="197">
        <f t="shared" si="85"/>
        <v>1199.4009128235652</v>
      </c>
      <c r="U43" s="197">
        <f t="shared" si="85"/>
        <v>3937.6951854803683</v>
      </c>
      <c r="V43" s="197">
        <f t="shared" si="85"/>
        <v>-392.40318359719726</v>
      </c>
      <c r="W43" s="199">
        <f t="shared" si="85"/>
        <v>806.99772922636782</v>
      </c>
      <c r="X43" s="197"/>
      <c r="Z43" s="204">
        <f t="shared" si="130"/>
        <v>6</v>
      </c>
      <c r="AA43" s="197">
        <f>'Energy NPV'!$D96</f>
        <v>16.3</v>
      </c>
      <c r="AB43" s="197">
        <f>'Energy margins'!$Z$12</f>
        <v>55</v>
      </c>
      <c r="AC43" s="197">
        <f t="shared" si="131"/>
        <v>896.5</v>
      </c>
      <c r="AD43" s="197">
        <f>'Margins summary'!$W$14</f>
        <v>220</v>
      </c>
      <c r="AE43" s="197">
        <f t="shared" si="86"/>
        <v>1116.5</v>
      </c>
      <c r="AF43" s="197"/>
      <c r="AG43" s="897">
        <f>'Energy NPV'!U96</f>
        <v>368.78200000000004</v>
      </c>
      <c r="AH43" s="197"/>
      <c r="AI43" s="197">
        <f t="shared" si="87"/>
        <v>368.78200000000004</v>
      </c>
      <c r="AJ43" s="197">
        <f t="shared" si="73"/>
        <v>527.71799999999996</v>
      </c>
      <c r="AK43" s="197">
        <f t="shared" si="74"/>
        <v>747.71799999999996</v>
      </c>
      <c r="AL43" s="196">
        <f t="shared" si="88"/>
        <v>669.91695197442004</v>
      </c>
      <c r="AM43" s="197">
        <f t="shared" si="89"/>
        <v>164.39679803053252</v>
      </c>
      <c r="AN43" s="197">
        <f t="shared" si="90"/>
        <v>275.57536350589021</v>
      </c>
      <c r="AO43" s="197">
        <f t="shared" si="91"/>
        <v>394.34158846852978</v>
      </c>
      <c r="AP43" s="199">
        <f t="shared" si="92"/>
        <v>558.73838649906224</v>
      </c>
      <c r="AQ43" s="196">
        <f t="shared" si="132"/>
        <v>3341.5504007675499</v>
      </c>
      <c r="AR43" s="197">
        <f t="shared" si="93"/>
        <v>1146.7200328244567</v>
      </c>
      <c r="AS43" s="197">
        <f t="shared" si="93"/>
        <v>3840.9021608636167</v>
      </c>
      <c r="AT43" s="197">
        <f t="shared" si="93"/>
        <v>-499.35176009606738</v>
      </c>
      <c r="AU43" s="199">
        <f t="shared" si="93"/>
        <v>647.36827272838923</v>
      </c>
      <c r="AV43" s="197"/>
      <c r="AX43" s="204">
        <f t="shared" si="133"/>
        <v>6</v>
      </c>
      <c r="AY43" s="197">
        <f>'Energy NPV'!$D96</f>
        <v>16.3</v>
      </c>
      <c r="AZ43" s="197">
        <f>'Energy margins'!$Z$12</f>
        <v>55</v>
      </c>
      <c r="BA43" s="197">
        <f t="shared" si="134"/>
        <v>896.5</v>
      </c>
      <c r="BB43" s="197">
        <f>'Margins summary'!$W$14</f>
        <v>220</v>
      </c>
      <c r="BC43" s="197">
        <f t="shared" si="94"/>
        <v>1116.5</v>
      </c>
      <c r="BD43" s="197"/>
      <c r="BE43" s="897">
        <f>'Energy NPV'!U96</f>
        <v>368.78200000000004</v>
      </c>
      <c r="BF43" s="197"/>
      <c r="BG43" s="197">
        <f t="shared" si="95"/>
        <v>368.78200000000004</v>
      </c>
      <c r="BH43" s="197">
        <f t="shared" si="75"/>
        <v>527.71799999999996</v>
      </c>
      <c r="BI43" s="197">
        <f t="shared" si="76"/>
        <v>747.71799999999996</v>
      </c>
      <c r="BJ43" s="196">
        <f t="shared" si="96"/>
        <v>811.98767101251963</v>
      </c>
      <c r="BK43" s="197">
        <f t="shared" si="97"/>
        <v>199.26077816258149</v>
      </c>
      <c r="BL43" s="197">
        <f t="shared" si="98"/>
        <v>334.01721951069607</v>
      </c>
      <c r="BM43" s="197">
        <f t="shared" si="99"/>
        <v>477.9704515018235</v>
      </c>
      <c r="BN43" s="199">
        <f t="shared" si="100"/>
        <v>677.23122966440496</v>
      </c>
      <c r="BO43" s="196">
        <f t="shared" si="135"/>
        <v>3768.3638969369235</v>
      </c>
      <c r="BP43" s="197">
        <f t="shared" si="101"/>
        <v>1256.9610918709252</v>
      </c>
      <c r="BQ43" s="197">
        <f t="shared" si="102"/>
        <v>4043.1123354994156</v>
      </c>
      <c r="BR43" s="197">
        <f t="shared" si="103"/>
        <v>-274.74843856249208</v>
      </c>
      <c r="BS43" s="199">
        <f t="shared" si="104"/>
        <v>982.21265330843312</v>
      </c>
      <c r="BT43" s="197"/>
      <c r="BV43" s="204">
        <f t="shared" si="136"/>
        <v>6</v>
      </c>
      <c r="BW43" s="197">
        <f>'Energy NPV'!$D96</f>
        <v>16.3</v>
      </c>
      <c r="BX43" s="197">
        <f>'Energy margins'!$Z$12</f>
        <v>55</v>
      </c>
      <c r="BY43" s="197">
        <f t="shared" si="137"/>
        <v>896.5</v>
      </c>
      <c r="BZ43" s="197">
        <f>'Margins summary'!$W$14</f>
        <v>220</v>
      </c>
      <c r="CA43" s="197">
        <f t="shared" si="105"/>
        <v>1116.5</v>
      </c>
      <c r="CB43" s="197"/>
      <c r="CC43" s="897">
        <f>'Energy NPV'!U96</f>
        <v>368.78200000000004</v>
      </c>
      <c r="CD43" s="197"/>
      <c r="CE43" s="197">
        <f t="shared" si="106"/>
        <v>368.78200000000004</v>
      </c>
      <c r="CF43" s="197">
        <f t="shared" si="77"/>
        <v>527.71799999999996</v>
      </c>
      <c r="CG43" s="197">
        <f t="shared" si="78"/>
        <v>747.71799999999996</v>
      </c>
      <c r="CH43" s="196">
        <f t="shared" si="107"/>
        <v>610.14283614075953</v>
      </c>
      <c r="CI43" s="197">
        <f t="shared" si="108"/>
        <v>149.72830334742565</v>
      </c>
      <c r="CJ43" s="197">
        <f t="shared" si="109"/>
        <v>250.98683256850154</v>
      </c>
      <c r="CK43" s="197">
        <f t="shared" si="110"/>
        <v>359.15600357225804</v>
      </c>
      <c r="CL43" s="199">
        <f t="shared" si="111"/>
        <v>508.8843069196837</v>
      </c>
      <c r="CM43" s="196">
        <f t="shared" si="138"/>
        <v>3155.0492321470892</v>
      </c>
      <c r="CN43" s="197">
        <f t="shared" si="112"/>
        <v>1098.3962081571788</v>
      </c>
      <c r="CO43" s="197">
        <f t="shared" si="113"/>
        <v>3751.8272170363912</v>
      </c>
      <c r="CP43" s="197">
        <f t="shared" si="114"/>
        <v>-596.77798488930193</v>
      </c>
      <c r="CQ43" s="199">
        <f t="shared" si="115"/>
        <v>501.61822326787671</v>
      </c>
      <c r="CR43" s="197"/>
      <c r="CT43" s="204">
        <f t="shared" si="139"/>
        <v>6</v>
      </c>
      <c r="CU43" s="197">
        <f>'Energy NPV'!$D96</f>
        <v>16.3</v>
      </c>
      <c r="CV43" s="197">
        <f>'Energy margins'!$Z$12</f>
        <v>55</v>
      </c>
      <c r="CW43" s="197">
        <f t="shared" si="140"/>
        <v>896.5</v>
      </c>
      <c r="CX43" s="197">
        <f>'Margins summary'!$W$14</f>
        <v>220</v>
      </c>
      <c r="CY43" s="197">
        <f t="shared" si="116"/>
        <v>1116.5</v>
      </c>
      <c r="CZ43" s="197"/>
      <c r="DA43" s="897">
        <f>'Energy NPV'!U96</f>
        <v>368.78200000000004</v>
      </c>
      <c r="DB43" s="197"/>
      <c r="DC43" s="197">
        <f t="shared" si="117"/>
        <v>368.78200000000004</v>
      </c>
      <c r="DD43" s="197">
        <f t="shared" si="79"/>
        <v>527.71799999999996</v>
      </c>
      <c r="DE43" s="197">
        <f t="shared" si="80"/>
        <v>747.71799999999996</v>
      </c>
      <c r="DF43" s="196">
        <f t="shared" si="118"/>
        <v>896.5</v>
      </c>
      <c r="DG43" s="197">
        <f t="shared" si="119"/>
        <v>220</v>
      </c>
      <c r="DH43" s="197">
        <f t="shared" si="120"/>
        <v>368.78200000000004</v>
      </c>
      <c r="DI43" s="197">
        <f t="shared" si="121"/>
        <v>527.71799999999996</v>
      </c>
      <c r="DJ43" s="199">
        <f t="shared" si="122"/>
        <v>747.71799999999996</v>
      </c>
      <c r="DK43" s="196">
        <f t="shared" si="141"/>
        <v>4013.166666666667</v>
      </c>
      <c r="DL43" s="197">
        <f t="shared" si="123"/>
        <v>1320</v>
      </c>
      <c r="DM43" s="197">
        <f t="shared" si="124"/>
        <v>4158.192</v>
      </c>
      <c r="DN43" s="197">
        <f t="shared" si="125"/>
        <v>-145.02533333333281</v>
      </c>
      <c r="DO43" s="199">
        <f t="shared" si="126"/>
        <v>1174.974666666667</v>
      </c>
    </row>
    <row r="44" spans="2:119" x14ac:dyDescent="0.3">
      <c r="B44" s="204">
        <f t="shared" si="127"/>
        <v>7</v>
      </c>
      <c r="C44" s="197">
        <f>'Energy NPV'!$D97</f>
        <v>16.3</v>
      </c>
      <c r="D44" s="197">
        <f>'Energy margins'!$Z$12</f>
        <v>55</v>
      </c>
      <c r="E44" s="197">
        <f t="shared" si="128"/>
        <v>896.5</v>
      </c>
      <c r="F44" s="197">
        <f>'Margins summary'!$W$14</f>
        <v>220</v>
      </c>
      <c r="G44" s="197">
        <f t="shared" si="81"/>
        <v>1116.5</v>
      </c>
      <c r="H44" s="197"/>
      <c r="I44" s="897">
        <f>'Energy NPV'!U97</f>
        <v>368.78200000000004</v>
      </c>
      <c r="J44" s="197"/>
      <c r="K44" s="197">
        <f t="shared" si="82"/>
        <v>368.78200000000004</v>
      </c>
      <c r="L44" s="197">
        <f t="shared" si="71"/>
        <v>527.71799999999996</v>
      </c>
      <c r="M44" s="197">
        <f t="shared" si="72"/>
        <v>747.71799999999996</v>
      </c>
      <c r="N44" s="196">
        <f t="shared" si="83"/>
        <v>708.51697231707567</v>
      </c>
      <c r="O44" s="197">
        <f t="shared" si="83"/>
        <v>173.86919566063204</v>
      </c>
      <c r="P44" s="197">
        <f t="shared" si="84"/>
        <v>291.45377142781462</v>
      </c>
      <c r="Q44" s="197">
        <f t="shared" si="84"/>
        <v>417.063200889261</v>
      </c>
      <c r="R44" s="199">
        <f t="shared" si="84"/>
        <v>590.93239654989304</v>
      </c>
      <c r="S44" s="196">
        <f t="shared" si="129"/>
        <v>4253.8089742002467</v>
      </c>
      <c r="T44" s="197">
        <f t="shared" si="85"/>
        <v>1373.2701084841974</v>
      </c>
      <c r="U44" s="197">
        <f t="shared" si="85"/>
        <v>4229.1489569081832</v>
      </c>
      <c r="V44" s="197">
        <f t="shared" si="85"/>
        <v>24.660017292063742</v>
      </c>
      <c r="W44" s="199">
        <f t="shared" si="85"/>
        <v>1397.9301257762609</v>
      </c>
      <c r="X44" s="197"/>
      <c r="Z44" s="204">
        <f t="shared" si="130"/>
        <v>7</v>
      </c>
      <c r="AA44" s="197">
        <f>'Energy NPV'!$D97</f>
        <v>16.3</v>
      </c>
      <c r="AB44" s="197">
        <f>'Energy margins'!$Z$12</f>
        <v>55</v>
      </c>
      <c r="AC44" s="197">
        <f t="shared" si="131"/>
        <v>896.5</v>
      </c>
      <c r="AD44" s="197">
        <f>'Margins summary'!$W$14</f>
        <v>220</v>
      </c>
      <c r="AE44" s="197">
        <f t="shared" si="86"/>
        <v>1116.5</v>
      </c>
      <c r="AF44" s="197"/>
      <c r="AG44" s="897">
        <f>'Energy NPV'!U97</f>
        <v>368.78200000000004</v>
      </c>
      <c r="AH44" s="197"/>
      <c r="AI44" s="197">
        <f t="shared" si="87"/>
        <v>368.78200000000004</v>
      </c>
      <c r="AJ44" s="197">
        <f t="shared" si="73"/>
        <v>527.71799999999996</v>
      </c>
      <c r="AK44" s="197">
        <f t="shared" si="74"/>
        <v>747.71799999999996</v>
      </c>
      <c r="AL44" s="196">
        <f t="shared" si="88"/>
        <v>631.99712450416973</v>
      </c>
      <c r="AM44" s="197">
        <f t="shared" si="89"/>
        <v>155.09131889672878</v>
      </c>
      <c r="AN44" s="197">
        <f t="shared" si="90"/>
        <v>259.97675802442473</v>
      </c>
      <c r="AO44" s="197">
        <f t="shared" si="91"/>
        <v>372.02036647974506</v>
      </c>
      <c r="AP44" s="199">
        <f t="shared" si="92"/>
        <v>527.11168537647382</v>
      </c>
      <c r="AQ44" s="196">
        <f t="shared" si="132"/>
        <v>3973.5475252717197</v>
      </c>
      <c r="AR44" s="197">
        <f t="shared" si="93"/>
        <v>1301.8113517211855</v>
      </c>
      <c r="AS44" s="197">
        <f t="shared" si="93"/>
        <v>4100.8789188880419</v>
      </c>
      <c r="AT44" s="197">
        <f t="shared" si="93"/>
        <v>-127.33139361632232</v>
      </c>
      <c r="AU44" s="199">
        <f t="shared" si="93"/>
        <v>1174.479958104863</v>
      </c>
      <c r="AV44" s="197"/>
      <c r="AX44" s="204">
        <f t="shared" si="133"/>
        <v>7</v>
      </c>
      <c r="AY44" s="197">
        <f>'Energy NPV'!$D97</f>
        <v>16.3</v>
      </c>
      <c r="AZ44" s="197">
        <f>'Energy margins'!$Z$12</f>
        <v>55</v>
      </c>
      <c r="BA44" s="197">
        <f t="shared" si="134"/>
        <v>896.5</v>
      </c>
      <c r="BB44" s="197">
        <f>'Margins summary'!$W$14</f>
        <v>220</v>
      </c>
      <c r="BC44" s="197">
        <f t="shared" si="94"/>
        <v>1116.5</v>
      </c>
      <c r="BD44" s="197"/>
      <c r="BE44" s="897">
        <f>'Energy NPV'!U97</f>
        <v>368.78200000000004</v>
      </c>
      <c r="BF44" s="197"/>
      <c r="BG44" s="197">
        <f t="shared" si="95"/>
        <v>368.78200000000004</v>
      </c>
      <c r="BH44" s="197">
        <f t="shared" si="75"/>
        <v>527.71799999999996</v>
      </c>
      <c r="BI44" s="197">
        <f t="shared" si="76"/>
        <v>747.71799999999996</v>
      </c>
      <c r="BJ44" s="196">
        <f t="shared" si="96"/>
        <v>796.06634412992116</v>
      </c>
      <c r="BK44" s="197">
        <f t="shared" si="97"/>
        <v>195.35370408096225</v>
      </c>
      <c r="BL44" s="197">
        <f t="shared" si="98"/>
        <v>327.46786226538831</v>
      </c>
      <c r="BM44" s="197">
        <f t="shared" si="99"/>
        <v>468.59848186453286</v>
      </c>
      <c r="BN44" s="199">
        <f t="shared" si="100"/>
        <v>663.9521859454951</v>
      </c>
      <c r="BO44" s="196">
        <f t="shared" si="135"/>
        <v>4564.4302410668442</v>
      </c>
      <c r="BP44" s="197">
        <f t="shared" si="101"/>
        <v>1452.3147959518874</v>
      </c>
      <c r="BQ44" s="197">
        <f t="shared" si="102"/>
        <v>4370.5801977648043</v>
      </c>
      <c r="BR44" s="197">
        <f t="shared" si="103"/>
        <v>193.85004330204077</v>
      </c>
      <c r="BS44" s="199">
        <f t="shared" si="104"/>
        <v>1646.1648392539282</v>
      </c>
      <c r="BT44" s="197"/>
      <c r="BV44" s="204">
        <f t="shared" si="136"/>
        <v>7</v>
      </c>
      <c r="BW44" s="197">
        <f>'Energy NPV'!$D97</f>
        <v>16.3</v>
      </c>
      <c r="BX44" s="197">
        <f>'Energy margins'!$Z$12</f>
        <v>55</v>
      </c>
      <c r="BY44" s="197">
        <f t="shared" si="137"/>
        <v>896.5</v>
      </c>
      <c r="BZ44" s="197">
        <f>'Margins summary'!$W$14</f>
        <v>220</v>
      </c>
      <c r="CA44" s="197">
        <f t="shared" si="105"/>
        <v>1116.5</v>
      </c>
      <c r="CB44" s="197"/>
      <c r="CC44" s="897">
        <f>'Energy NPV'!U97</f>
        <v>368.78200000000004</v>
      </c>
      <c r="CD44" s="197"/>
      <c r="CE44" s="197">
        <f t="shared" si="106"/>
        <v>368.78200000000004</v>
      </c>
      <c r="CF44" s="197">
        <f t="shared" si="77"/>
        <v>527.71799999999996</v>
      </c>
      <c r="CG44" s="197">
        <f t="shared" si="78"/>
        <v>747.71799999999996</v>
      </c>
      <c r="CH44" s="196">
        <f t="shared" si="107"/>
        <v>564.94707050070326</v>
      </c>
      <c r="CI44" s="197">
        <f t="shared" si="108"/>
        <v>138.63731791428302</v>
      </c>
      <c r="CJ44" s="197">
        <f t="shared" si="109"/>
        <v>232.3952153412051</v>
      </c>
      <c r="CK44" s="197">
        <f t="shared" si="110"/>
        <v>332.55185515949813</v>
      </c>
      <c r="CL44" s="199">
        <f t="shared" si="111"/>
        <v>471.18917307378115</v>
      </c>
      <c r="CM44" s="196">
        <f t="shared" si="138"/>
        <v>3719.9963026477926</v>
      </c>
      <c r="CN44" s="197">
        <f t="shared" si="112"/>
        <v>1237.0335260714619</v>
      </c>
      <c r="CO44" s="197">
        <f t="shared" si="113"/>
        <v>3984.2224323775963</v>
      </c>
      <c r="CP44" s="197">
        <f t="shared" si="114"/>
        <v>-264.2261297298038</v>
      </c>
      <c r="CQ44" s="199">
        <f t="shared" si="115"/>
        <v>972.80739634165786</v>
      </c>
      <c r="CR44" s="197"/>
      <c r="CT44" s="204">
        <f t="shared" si="139"/>
        <v>7</v>
      </c>
      <c r="CU44" s="197">
        <f>'Energy NPV'!$D97</f>
        <v>16.3</v>
      </c>
      <c r="CV44" s="197">
        <f>'Energy margins'!$Z$12</f>
        <v>55</v>
      </c>
      <c r="CW44" s="197">
        <f t="shared" si="140"/>
        <v>896.5</v>
      </c>
      <c r="CX44" s="197">
        <f>'Margins summary'!$W$14</f>
        <v>220</v>
      </c>
      <c r="CY44" s="197">
        <f t="shared" si="116"/>
        <v>1116.5</v>
      </c>
      <c r="CZ44" s="197"/>
      <c r="DA44" s="897">
        <f>'Energy NPV'!U97</f>
        <v>368.78200000000004</v>
      </c>
      <c r="DB44" s="197"/>
      <c r="DC44" s="197">
        <f t="shared" si="117"/>
        <v>368.78200000000004</v>
      </c>
      <c r="DD44" s="197">
        <f t="shared" si="79"/>
        <v>527.71799999999996</v>
      </c>
      <c r="DE44" s="197">
        <f t="shared" si="80"/>
        <v>747.71799999999996</v>
      </c>
      <c r="DF44" s="196">
        <f t="shared" si="118"/>
        <v>896.5</v>
      </c>
      <c r="DG44" s="197">
        <f t="shared" si="119"/>
        <v>220</v>
      </c>
      <c r="DH44" s="197">
        <f t="shared" si="120"/>
        <v>368.78200000000004</v>
      </c>
      <c r="DI44" s="197">
        <f t="shared" si="121"/>
        <v>527.71799999999996</v>
      </c>
      <c r="DJ44" s="199">
        <f t="shared" si="122"/>
        <v>747.71799999999996</v>
      </c>
      <c r="DK44" s="196">
        <f t="shared" si="141"/>
        <v>4909.666666666667</v>
      </c>
      <c r="DL44" s="197">
        <f t="shared" si="123"/>
        <v>1540</v>
      </c>
      <c r="DM44" s="197">
        <f t="shared" si="124"/>
        <v>4526.9740000000002</v>
      </c>
      <c r="DN44" s="197">
        <f t="shared" si="125"/>
        <v>382.69266666666715</v>
      </c>
      <c r="DO44" s="199">
        <f t="shared" si="126"/>
        <v>1922.6926666666668</v>
      </c>
    </row>
    <row r="45" spans="2:119" x14ac:dyDescent="0.3">
      <c r="B45" s="204">
        <f t="shared" si="127"/>
        <v>8</v>
      </c>
      <c r="C45" s="197">
        <f>'Energy NPV'!$D98</f>
        <v>16.3</v>
      </c>
      <c r="D45" s="197">
        <f>'Energy margins'!$Z$12</f>
        <v>55</v>
      </c>
      <c r="E45" s="197">
        <f t="shared" si="128"/>
        <v>896.5</v>
      </c>
      <c r="F45" s="197">
        <f>'Margins summary'!$W$14</f>
        <v>220</v>
      </c>
      <c r="G45" s="197">
        <f t="shared" si="81"/>
        <v>1116.5</v>
      </c>
      <c r="H45" s="197"/>
      <c r="I45" s="897">
        <f>'Energy NPV'!U98</f>
        <v>368.78200000000004</v>
      </c>
      <c r="J45" s="197"/>
      <c r="K45" s="197">
        <f t="shared" si="82"/>
        <v>368.78200000000004</v>
      </c>
      <c r="L45" s="197">
        <f t="shared" si="71"/>
        <v>527.71799999999996</v>
      </c>
      <c r="M45" s="197">
        <f t="shared" si="72"/>
        <v>747.71799999999996</v>
      </c>
      <c r="N45" s="196">
        <f t="shared" si="83"/>
        <v>681.2663195356497</v>
      </c>
      <c r="O45" s="197">
        <f t="shared" si="83"/>
        <v>167.18191890445391</v>
      </c>
      <c r="P45" s="197">
        <f t="shared" si="84"/>
        <v>280.24401098828332</v>
      </c>
      <c r="Q45" s="197">
        <f t="shared" si="84"/>
        <v>401.02230854736638</v>
      </c>
      <c r="R45" s="199">
        <f t="shared" si="84"/>
        <v>568.20422745182032</v>
      </c>
      <c r="S45" s="196">
        <f t="shared" si="129"/>
        <v>4935.0752937358966</v>
      </c>
      <c r="T45" s="197">
        <f t="shared" si="85"/>
        <v>1540.4520273886512</v>
      </c>
      <c r="U45" s="197">
        <f t="shared" si="85"/>
        <v>4509.3929678964669</v>
      </c>
      <c r="V45" s="197">
        <f t="shared" si="85"/>
        <v>425.68232583943012</v>
      </c>
      <c r="W45" s="199">
        <f t="shared" si="85"/>
        <v>1966.1343532280812</v>
      </c>
      <c r="X45" s="197"/>
      <c r="Z45" s="204">
        <f t="shared" si="130"/>
        <v>8</v>
      </c>
      <c r="AA45" s="197">
        <f>'Energy NPV'!$D98</f>
        <v>16.3</v>
      </c>
      <c r="AB45" s="197">
        <f>'Energy margins'!$Z$12</f>
        <v>55</v>
      </c>
      <c r="AC45" s="197">
        <f t="shared" si="131"/>
        <v>896.5</v>
      </c>
      <c r="AD45" s="197">
        <f>'Margins summary'!$W$14</f>
        <v>220</v>
      </c>
      <c r="AE45" s="197">
        <f t="shared" si="86"/>
        <v>1116.5</v>
      </c>
      <c r="AF45" s="197"/>
      <c r="AG45" s="897">
        <f>'Energy NPV'!U98</f>
        <v>368.78200000000004</v>
      </c>
      <c r="AH45" s="197"/>
      <c r="AI45" s="197">
        <f t="shared" si="87"/>
        <v>368.78200000000004</v>
      </c>
      <c r="AJ45" s="197">
        <f t="shared" si="73"/>
        <v>527.71799999999996</v>
      </c>
      <c r="AK45" s="197">
        <f t="shared" si="74"/>
        <v>747.71799999999996</v>
      </c>
      <c r="AL45" s="196">
        <f t="shared" si="88"/>
        <v>596.22370236242421</v>
      </c>
      <c r="AM45" s="197">
        <f t="shared" si="89"/>
        <v>146.31256499691392</v>
      </c>
      <c r="AN45" s="197">
        <f t="shared" si="90"/>
        <v>245.26109247587235</v>
      </c>
      <c r="AO45" s="197">
        <f t="shared" si="91"/>
        <v>350.96260988655189</v>
      </c>
      <c r="AP45" s="199">
        <f t="shared" si="92"/>
        <v>497.27517488346581</v>
      </c>
      <c r="AQ45" s="196">
        <f t="shared" si="132"/>
        <v>4569.7712276341435</v>
      </c>
      <c r="AR45" s="197">
        <f t="shared" si="93"/>
        <v>1448.1239167180993</v>
      </c>
      <c r="AS45" s="197">
        <f t="shared" si="93"/>
        <v>4346.1400113639138</v>
      </c>
      <c r="AT45" s="197">
        <f t="shared" si="93"/>
        <v>223.63121627022957</v>
      </c>
      <c r="AU45" s="199">
        <f t="shared" si="93"/>
        <v>1671.7551329883288</v>
      </c>
      <c r="AV45" s="197"/>
      <c r="AX45" s="204">
        <f t="shared" si="133"/>
        <v>8</v>
      </c>
      <c r="AY45" s="197">
        <f>'Energy NPV'!$D98</f>
        <v>16.3</v>
      </c>
      <c r="AZ45" s="197">
        <f>'Energy margins'!$Z$12</f>
        <v>55</v>
      </c>
      <c r="BA45" s="197">
        <f t="shared" si="134"/>
        <v>896.5</v>
      </c>
      <c r="BB45" s="197">
        <f>'Margins summary'!$W$14</f>
        <v>220</v>
      </c>
      <c r="BC45" s="197">
        <f t="shared" si="94"/>
        <v>1116.5</v>
      </c>
      <c r="BD45" s="197"/>
      <c r="BE45" s="897">
        <f>'Energy NPV'!U98</f>
        <v>368.78200000000004</v>
      </c>
      <c r="BF45" s="197"/>
      <c r="BG45" s="197">
        <f t="shared" si="95"/>
        <v>368.78200000000004</v>
      </c>
      <c r="BH45" s="197">
        <f t="shared" si="75"/>
        <v>527.71799999999996</v>
      </c>
      <c r="BI45" s="197">
        <f t="shared" si="76"/>
        <v>747.71799999999996</v>
      </c>
      <c r="BJ45" s="196">
        <f t="shared" si="96"/>
        <v>780.45720012737388</v>
      </c>
      <c r="BK45" s="197">
        <f t="shared" si="97"/>
        <v>191.52323929506107</v>
      </c>
      <c r="BL45" s="197">
        <f t="shared" si="98"/>
        <v>321.04692378959646</v>
      </c>
      <c r="BM45" s="197">
        <f t="shared" si="99"/>
        <v>459.41027633777742</v>
      </c>
      <c r="BN45" s="199">
        <f t="shared" si="100"/>
        <v>650.93351563283841</v>
      </c>
      <c r="BO45" s="196">
        <f t="shared" si="135"/>
        <v>5344.8874411942179</v>
      </c>
      <c r="BP45" s="197">
        <f t="shared" si="101"/>
        <v>1643.8380352469485</v>
      </c>
      <c r="BQ45" s="197">
        <f t="shared" si="102"/>
        <v>4691.6271215544011</v>
      </c>
      <c r="BR45" s="197">
        <f t="shared" si="103"/>
        <v>653.26031963981814</v>
      </c>
      <c r="BS45" s="199">
        <f t="shared" si="104"/>
        <v>2297.0983548867666</v>
      </c>
      <c r="BT45" s="197"/>
      <c r="BV45" s="204">
        <f t="shared" si="136"/>
        <v>8</v>
      </c>
      <c r="BW45" s="197">
        <f>'Energy NPV'!$D98</f>
        <v>16.3</v>
      </c>
      <c r="BX45" s="197">
        <f>'Energy margins'!$Z$12</f>
        <v>55</v>
      </c>
      <c r="BY45" s="197">
        <f t="shared" si="137"/>
        <v>896.5</v>
      </c>
      <c r="BZ45" s="197">
        <f>'Margins summary'!$W$14</f>
        <v>220</v>
      </c>
      <c r="CA45" s="197">
        <f t="shared" si="105"/>
        <v>1116.5</v>
      </c>
      <c r="CB45" s="197"/>
      <c r="CC45" s="897">
        <f>'Energy NPV'!U98</f>
        <v>368.78200000000004</v>
      </c>
      <c r="CD45" s="197"/>
      <c r="CE45" s="197">
        <f t="shared" si="106"/>
        <v>368.78200000000004</v>
      </c>
      <c r="CF45" s="197">
        <f t="shared" si="77"/>
        <v>527.71799999999996</v>
      </c>
      <c r="CG45" s="197">
        <f t="shared" si="78"/>
        <v>747.71799999999996</v>
      </c>
      <c r="CH45" s="196">
        <f t="shared" si="107"/>
        <v>523.09913935250302</v>
      </c>
      <c r="CI45" s="197">
        <f t="shared" si="108"/>
        <v>128.36788695766944</v>
      </c>
      <c r="CJ45" s="197">
        <f t="shared" si="109"/>
        <v>215.18075494556027</v>
      </c>
      <c r="CK45" s="197">
        <f t="shared" si="110"/>
        <v>307.91838440694272</v>
      </c>
      <c r="CL45" s="199">
        <f t="shared" si="111"/>
        <v>436.28627136461216</v>
      </c>
      <c r="CM45" s="196">
        <f t="shared" si="138"/>
        <v>4243.0954420002954</v>
      </c>
      <c r="CN45" s="197">
        <f t="shared" si="112"/>
        <v>1365.4014130291314</v>
      </c>
      <c r="CO45" s="197">
        <f t="shared" si="113"/>
        <v>4199.403187323157</v>
      </c>
      <c r="CP45" s="197">
        <f t="shared" si="114"/>
        <v>43.692254677138919</v>
      </c>
      <c r="CQ45" s="199">
        <f t="shared" si="115"/>
        <v>1409.09366770627</v>
      </c>
      <c r="CR45" s="197"/>
      <c r="CT45" s="204">
        <f t="shared" si="139"/>
        <v>8</v>
      </c>
      <c r="CU45" s="197">
        <f>'Energy NPV'!$D98</f>
        <v>16.3</v>
      </c>
      <c r="CV45" s="197">
        <f>'Energy margins'!$Z$12</f>
        <v>55</v>
      </c>
      <c r="CW45" s="197">
        <f t="shared" si="140"/>
        <v>896.5</v>
      </c>
      <c r="CX45" s="197">
        <f>'Margins summary'!$W$14</f>
        <v>220</v>
      </c>
      <c r="CY45" s="197">
        <f t="shared" si="116"/>
        <v>1116.5</v>
      </c>
      <c r="CZ45" s="197"/>
      <c r="DA45" s="897">
        <f>'Energy NPV'!U98</f>
        <v>368.78200000000004</v>
      </c>
      <c r="DB45" s="197"/>
      <c r="DC45" s="197">
        <f t="shared" si="117"/>
        <v>368.78200000000004</v>
      </c>
      <c r="DD45" s="197">
        <f t="shared" si="79"/>
        <v>527.71799999999996</v>
      </c>
      <c r="DE45" s="197">
        <f t="shared" si="80"/>
        <v>747.71799999999996</v>
      </c>
      <c r="DF45" s="196">
        <f t="shared" si="118"/>
        <v>896.5</v>
      </c>
      <c r="DG45" s="197">
        <f t="shared" si="119"/>
        <v>220</v>
      </c>
      <c r="DH45" s="197">
        <f t="shared" si="120"/>
        <v>368.78200000000004</v>
      </c>
      <c r="DI45" s="197">
        <f t="shared" si="121"/>
        <v>527.71799999999996</v>
      </c>
      <c r="DJ45" s="199">
        <f t="shared" si="122"/>
        <v>747.71799999999996</v>
      </c>
      <c r="DK45" s="196">
        <f t="shared" si="141"/>
        <v>5806.166666666667</v>
      </c>
      <c r="DL45" s="197">
        <f t="shared" si="123"/>
        <v>1760</v>
      </c>
      <c r="DM45" s="197">
        <f t="shared" si="124"/>
        <v>4895.7560000000003</v>
      </c>
      <c r="DN45" s="197">
        <f t="shared" si="125"/>
        <v>910.41066666666711</v>
      </c>
      <c r="DO45" s="199">
        <f t="shared" si="126"/>
        <v>2670.4106666666667</v>
      </c>
    </row>
    <row r="46" spans="2:119" x14ac:dyDescent="0.3">
      <c r="B46" s="204">
        <f t="shared" si="127"/>
        <v>9</v>
      </c>
      <c r="C46" s="197">
        <f>'Energy NPV'!$D99</f>
        <v>16.3</v>
      </c>
      <c r="D46" s="197">
        <f>'Energy margins'!$Z$12</f>
        <v>55</v>
      </c>
      <c r="E46" s="197">
        <f t="shared" si="128"/>
        <v>896.5</v>
      </c>
      <c r="F46" s="197">
        <f>'Margins summary'!$W$14</f>
        <v>220</v>
      </c>
      <c r="G46" s="197">
        <f t="shared" si="81"/>
        <v>1116.5</v>
      </c>
      <c r="H46" s="197"/>
      <c r="I46" s="897">
        <f>'Energy NPV'!U99</f>
        <v>368.78200000000004</v>
      </c>
      <c r="J46" s="197"/>
      <c r="K46" s="197">
        <f t="shared" si="82"/>
        <v>368.78200000000004</v>
      </c>
      <c r="L46" s="197">
        <f t="shared" si="71"/>
        <v>527.71799999999996</v>
      </c>
      <c r="M46" s="197">
        <f t="shared" si="72"/>
        <v>747.71799999999996</v>
      </c>
      <c r="N46" s="196">
        <f t="shared" si="83"/>
        <v>655.06376878427841</v>
      </c>
      <c r="O46" s="197">
        <f t="shared" si="83"/>
        <v>160.75184510043644</v>
      </c>
      <c r="P46" s="197">
        <f t="shared" si="84"/>
        <v>269.46539518104163</v>
      </c>
      <c r="Q46" s="197">
        <f t="shared" si="84"/>
        <v>385.59837360323684</v>
      </c>
      <c r="R46" s="199">
        <f t="shared" si="84"/>
        <v>546.35021870367325</v>
      </c>
      <c r="S46" s="196">
        <f t="shared" si="129"/>
        <v>5590.1390625201748</v>
      </c>
      <c r="T46" s="197">
        <f t="shared" si="85"/>
        <v>1701.2038724890876</v>
      </c>
      <c r="U46" s="197">
        <f t="shared" si="85"/>
        <v>4778.8583630775083</v>
      </c>
      <c r="V46" s="197">
        <f t="shared" si="85"/>
        <v>811.2806994426669</v>
      </c>
      <c r="W46" s="199">
        <f t="shared" si="85"/>
        <v>2512.4845719317545</v>
      </c>
      <c r="X46" s="197"/>
      <c r="Z46" s="204">
        <f t="shared" si="130"/>
        <v>9</v>
      </c>
      <c r="AA46" s="197">
        <f>'Energy NPV'!$D99</f>
        <v>16.3</v>
      </c>
      <c r="AB46" s="197">
        <f>'Energy margins'!$Z$12</f>
        <v>55</v>
      </c>
      <c r="AC46" s="197">
        <f t="shared" si="131"/>
        <v>896.5</v>
      </c>
      <c r="AD46" s="197">
        <f>'Margins summary'!$W$14</f>
        <v>220</v>
      </c>
      <c r="AE46" s="197">
        <f t="shared" si="86"/>
        <v>1116.5</v>
      </c>
      <c r="AF46" s="197"/>
      <c r="AG46" s="897">
        <f>'Energy NPV'!U99</f>
        <v>368.78200000000004</v>
      </c>
      <c r="AH46" s="197"/>
      <c r="AI46" s="197">
        <f t="shared" si="87"/>
        <v>368.78200000000004</v>
      </c>
      <c r="AJ46" s="197">
        <f t="shared" si="73"/>
        <v>527.71799999999996</v>
      </c>
      <c r="AK46" s="197">
        <f t="shared" si="74"/>
        <v>747.71799999999996</v>
      </c>
      <c r="AL46" s="196">
        <f t="shared" si="88"/>
        <v>562.47519090794742</v>
      </c>
      <c r="AM46" s="197">
        <f t="shared" si="89"/>
        <v>138.03072169520183</v>
      </c>
      <c r="AN46" s="197">
        <f t="shared" si="90"/>
        <v>231.37838912818148</v>
      </c>
      <c r="AO46" s="197">
        <f t="shared" si="91"/>
        <v>331.096801779766</v>
      </c>
      <c r="AP46" s="199">
        <f t="shared" si="92"/>
        <v>469.1275234749678</v>
      </c>
      <c r="AQ46" s="196">
        <f t="shared" si="132"/>
        <v>5132.2464185420913</v>
      </c>
      <c r="AR46" s="197">
        <f t="shared" si="93"/>
        <v>1586.1546384133012</v>
      </c>
      <c r="AS46" s="197">
        <f t="shared" si="93"/>
        <v>4577.5184004920957</v>
      </c>
      <c r="AT46" s="197">
        <f t="shared" si="93"/>
        <v>554.72801804999563</v>
      </c>
      <c r="AU46" s="199">
        <f t="shared" si="93"/>
        <v>2140.8826564632964</v>
      </c>
      <c r="AV46" s="197"/>
      <c r="AX46" s="204">
        <f t="shared" si="133"/>
        <v>9</v>
      </c>
      <c r="AY46" s="197">
        <f>'Energy NPV'!$D99</f>
        <v>16.3</v>
      </c>
      <c r="AZ46" s="197">
        <f>'Energy margins'!$Z$12</f>
        <v>55</v>
      </c>
      <c r="BA46" s="197">
        <f t="shared" si="134"/>
        <v>896.5</v>
      </c>
      <c r="BB46" s="197">
        <f>'Margins summary'!$W$14</f>
        <v>220</v>
      </c>
      <c r="BC46" s="197">
        <f t="shared" si="94"/>
        <v>1116.5</v>
      </c>
      <c r="BD46" s="197"/>
      <c r="BE46" s="897">
        <f>'Energy NPV'!U99</f>
        <v>368.78200000000004</v>
      </c>
      <c r="BF46" s="197"/>
      <c r="BG46" s="197">
        <f t="shared" si="95"/>
        <v>368.78200000000004</v>
      </c>
      <c r="BH46" s="197">
        <f t="shared" si="75"/>
        <v>527.71799999999996</v>
      </c>
      <c r="BI46" s="197">
        <f t="shared" si="76"/>
        <v>747.71799999999996</v>
      </c>
      <c r="BJ46" s="196">
        <f t="shared" si="96"/>
        <v>765.15411777193503</v>
      </c>
      <c r="BK46" s="197">
        <f t="shared" si="97"/>
        <v>187.76788166182456</v>
      </c>
      <c r="BL46" s="197">
        <f t="shared" si="98"/>
        <v>314.75188606823178</v>
      </c>
      <c r="BM46" s="197">
        <f t="shared" si="99"/>
        <v>450.40223170370331</v>
      </c>
      <c r="BN46" s="199">
        <f t="shared" si="100"/>
        <v>638.17011336552787</v>
      </c>
      <c r="BO46" s="196">
        <f t="shared" si="135"/>
        <v>6110.0415589661534</v>
      </c>
      <c r="BP46" s="197">
        <f t="shared" si="101"/>
        <v>1831.605916908773</v>
      </c>
      <c r="BQ46" s="197">
        <f t="shared" si="102"/>
        <v>5006.3790076226333</v>
      </c>
      <c r="BR46" s="197">
        <f t="shared" si="103"/>
        <v>1103.6625513435215</v>
      </c>
      <c r="BS46" s="199">
        <f t="shared" si="104"/>
        <v>2935.2684682522945</v>
      </c>
      <c r="BT46" s="197"/>
      <c r="BV46" s="204">
        <f t="shared" si="136"/>
        <v>9</v>
      </c>
      <c r="BW46" s="197">
        <f>'Energy NPV'!$D99</f>
        <v>16.3</v>
      </c>
      <c r="BX46" s="197">
        <f>'Energy margins'!$Z$12</f>
        <v>55</v>
      </c>
      <c r="BY46" s="197">
        <f t="shared" si="137"/>
        <v>896.5</v>
      </c>
      <c r="BZ46" s="197">
        <f>'Margins summary'!$W$14</f>
        <v>220</v>
      </c>
      <c r="CA46" s="197">
        <f t="shared" si="105"/>
        <v>1116.5</v>
      </c>
      <c r="CB46" s="197"/>
      <c r="CC46" s="897">
        <f>'Energy NPV'!U99</f>
        <v>368.78200000000004</v>
      </c>
      <c r="CD46" s="197"/>
      <c r="CE46" s="197">
        <f t="shared" si="106"/>
        <v>368.78200000000004</v>
      </c>
      <c r="CF46" s="197">
        <f t="shared" si="77"/>
        <v>527.71799999999996</v>
      </c>
      <c r="CG46" s="197">
        <f t="shared" si="78"/>
        <v>747.71799999999996</v>
      </c>
      <c r="CH46" s="196">
        <f t="shared" si="107"/>
        <v>484.3510549560213</v>
      </c>
      <c r="CI46" s="197">
        <f t="shared" si="108"/>
        <v>118.85915459043467</v>
      </c>
      <c r="CJ46" s="197">
        <f t="shared" si="109"/>
        <v>199.24143976440766</v>
      </c>
      <c r="CK46" s="197">
        <f t="shared" si="110"/>
        <v>285.10961519161361</v>
      </c>
      <c r="CL46" s="199">
        <f t="shared" si="111"/>
        <v>403.9687697820483</v>
      </c>
      <c r="CM46" s="196">
        <f t="shared" si="138"/>
        <v>4727.4464969563169</v>
      </c>
      <c r="CN46" s="197">
        <f t="shared" si="112"/>
        <v>1484.260567619566</v>
      </c>
      <c r="CO46" s="197">
        <f t="shared" si="113"/>
        <v>4398.6446270875649</v>
      </c>
      <c r="CP46" s="197">
        <f t="shared" si="114"/>
        <v>328.80186986875253</v>
      </c>
      <c r="CQ46" s="199">
        <f t="shared" si="115"/>
        <v>1813.0624374883182</v>
      </c>
      <c r="CR46" s="197"/>
      <c r="CT46" s="204">
        <f t="shared" si="139"/>
        <v>9</v>
      </c>
      <c r="CU46" s="197">
        <f>'Energy NPV'!$D99</f>
        <v>16.3</v>
      </c>
      <c r="CV46" s="197">
        <f>'Energy margins'!$Z$12</f>
        <v>55</v>
      </c>
      <c r="CW46" s="197">
        <f t="shared" si="140"/>
        <v>896.5</v>
      </c>
      <c r="CX46" s="197">
        <f>'Margins summary'!$W$14</f>
        <v>220</v>
      </c>
      <c r="CY46" s="197">
        <f t="shared" si="116"/>
        <v>1116.5</v>
      </c>
      <c r="CZ46" s="197"/>
      <c r="DA46" s="897">
        <f>'Energy NPV'!U99</f>
        <v>368.78200000000004</v>
      </c>
      <c r="DB46" s="197"/>
      <c r="DC46" s="197">
        <f t="shared" si="117"/>
        <v>368.78200000000004</v>
      </c>
      <c r="DD46" s="197">
        <f t="shared" si="79"/>
        <v>527.71799999999996</v>
      </c>
      <c r="DE46" s="197">
        <f t="shared" si="80"/>
        <v>747.71799999999996</v>
      </c>
      <c r="DF46" s="196">
        <f t="shared" si="118"/>
        <v>896.5</v>
      </c>
      <c r="DG46" s="197">
        <f t="shared" si="119"/>
        <v>220</v>
      </c>
      <c r="DH46" s="197">
        <f t="shared" si="120"/>
        <v>368.78200000000004</v>
      </c>
      <c r="DI46" s="197">
        <f t="shared" si="121"/>
        <v>527.71799999999996</v>
      </c>
      <c r="DJ46" s="199">
        <f t="shared" si="122"/>
        <v>747.71799999999996</v>
      </c>
      <c r="DK46" s="196">
        <f t="shared" si="141"/>
        <v>6702.666666666667</v>
      </c>
      <c r="DL46" s="197">
        <f t="shared" si="123"/>
        <v>1980</v>
      </c>
      <c r="DM46" s="197">
        <f t="shared" si="124"/>
        <v>5264.5380000000005</v>
      </c>
      <c r="DN46" s="197">
        <f t="shared" si="125"/>
        <v>1438.128666666667</v>
      </c>
      <c r="DO46" s="199">
        <f t="shared" si="126"/>
        <v>3418.1286666666665</v>
      </c>
    </row>
    <row r="47" spans="2:119" x14ac:dyDescent="0.3">
      <c r="B47" s="204">
        <f t="shared" si="127"/>
        <v>10</v>
      </c>
      <c r="C47" s="197">
        <f>'Energy NPV'!$D100</f>
        <v>16.3</v>
      </c>
      <c r="D47" s="197">
        <f>'Energy margins'!$Z$12</f>
        <v>55</v>
      </c>
      <c r="E47" s="197">
        <f t="shared" si="128"/>
        <v>896.5</v>
      </c>
      <c r="F47" s="197">
        <f>'Margins summary'!$W$14</f>
        <v>220</v>
      </c>
      <c r="G47" s="197">
        <f t="shared" si="81"/>
        <v>1116.5</v>
      </c>
      <c r="H47" s="197"/>
      <c r="I47" s="897">
        <f>'Energy NPV'!U100</f>
        <v>368.78200000000004</v>
      </c>
      <c r="J47" s="197"/>
      <c r="K47" s="197">
        <f t="shared" si="82"/>
        <v>368.78200000000004</v>
      </c>
      <c r="L47" s="197">
        <f t="shared" si="71"/>
        <v>527.71799999999996</v>
      </c>
      <c r="M47" s="197">
        <f t="shared" si="72"/>
        <v>747.71799999999996</v>
      </c>
      <c r="N47" s="196">
        <f t="shared" si="83"/>
        <v>629.8690084464215</v>
      </c>
      <c r="O47" s="197">
        <f t="shared" si="83"/>
        <v>154.5690818273427</v>
      </c>
      <c r="P47" s="197">
        <f t="shared" si="84"/>
        <v>259.10134152023227</v>
      </c>
      <c r="Q47" s="197">
        <f t="shared" si="84"/>
        <v>370.76766692618924</v>
      </c>
      <c r="R47" s="199">
        <f t="shared" si="84"/>
        <v>525.33674875353199</v>
      </c>
      <c r="S47" s="196">
        <f t="shared" si="129"/>
        <v>6220.0080709665963</v>
      </c>
      <c r="T47" s="197">
        <f t="shared" si="85"/>
        <v>1855.7729543164303</v>
      </c>
      <c r="U47" s="197">
        <f t="shared" si="85"/>
        <v>5037.9597045977407</v>
      </c>
      <c r="V47" s="197">
        <f t="shared" si="85"/>
        <v>1182.048366368856</v>
      </c>
      <c r="W47" s="199">
        <f t="shared" si="85"/>
        <v>3037.8213206852865</v>
      </c>
      <c r="X47" s="197"/>
      <c r="Z47" s="204">
        <f t="shared" si="130"/>
        <v>10</v>
      </c>
      <c r="AA47" s="197">
        <f>'Energy NPV'!$D100</f>
        <v>16.3</v>
      </c>
      <c r="AB47" s="197">
        <f>'Energy margins'!$Z$12</f>
        <v>55</v>
      </c>
      <c r="AC47" s="197">
        <f t="shared" si="131"/>
        <v>896.5</v>
      </c>
      <c r="AD47" s="197">
        <f>'Margins summary'!$W$14</f>
        <v>220</v>
      </c>
      <c r="AE47" s="197">
        <f t="shared" si="86"/>
        <v>1116.5</v>
      </c>
      <c r="AF47" s="197"/>
      <c r="AG47" s="897">
        <f>'Energy NPV'!U100</f>
        <v>368.78200000000004</v>
      </c>
      <c r="AH47" s="197"/>
      <c r="AI47" s="197">
        <f t="shared" si="87"/>
        <v>368.78200000000004</v>
      </c>
      <c r="AJ47" s="197">
        <f t="shared" si="73"/>
        <v>527.71799999999996</v>
      </c>
      <c r="AK47" s="197">
        <f t="shared" si="74"/>
        <v>747.71799999999996</v>
      </c>
      <c r="AL47" s="196">
        <f t="shared" si="88"/>
        <v>530.63697255466741</v>
      </c>
      <c r="AM47" s="197">
        <f t="shared" si="89"/>
        <v>130.21766197660551</v>
      </c>
      <c r="AN47" s="197">
        <f t="shared" si="90"/>
        <v>218.2814991775297</v>
      </c>
      <c r="AO47" s="197">
        <f t="shared" si="91"/>
        <v>312.35547337713768</v>
      </c>
      <c r="AP47" s="199">
        <f t="shared" si="92"/>
        <v>442.57313535374323</v>
      </c>
      <c r="AQ47" s="196">
        <f t="shared" si="132"/>
        <v>5662.8833910967587</v>
      </c>
      <c r="AR47" s="197">
        <f t="shared" si="93"/>
        <v>1716.3723003899067</v>
      </c>
      <c r="AS47" s="197">
        <f t="shared" si="93"/>
        <v>4795.7998996696251</v>
      </c>
      <c r="AT47" s="197">
        <f t="shared" si="93"/>
        <v>867.08349142713337</v>
      </c>
      <c r="AU47" s="199">
        <f t="shared" si="93"/>
        <v>2583.4557918170394</v>
      </c>
      <c r="AV47" s="197"/>
      <c r="AX47" s="204">
        <f t="shared" si="133"/>
        <v>10</v>
      </c>
      <c r="AY47" s="197">
        <f>'Energy NPV'!$D100</f>
        <v>16.3</v>
      </c>
      <c r="AZ47" s="197">
        <f>'Energy margins'!$Z$12</f>
        <v>55</v>
      </c>
      <c r="BA47" s="197">
        <f t="shared" si="134"/>
        <v>896.5</v>
      </c>
      <c r="BB47" s="197">
        <f>'Margins summary'!$W$14</f>
        <v>220</v>
      </c>
      <c r="BC47" s="197">
        <f t="shared" si="94"/>
        <v>1116.5</v>
      </c>
      <c r="BD47" s="197"/>
      <c r="BE47" s="897">
        <f>'Energy NPV'!U100</f>
        <v>368.78200000000004</v>
      </c>
      <c r="BF47" s="197"/>
      <c r="BG47" s="197">
        <f t="shared" si="95"/>
        <v>368.78200000000004</v>
      </c>
      <c r="BH47" s="197">
        <f t="shared" si="75"/>
        <v>527.71799999999996</v>
      </c>
      <c r="BI47" s="197">
        <f t="shared" si="76"/>
        <v>747.71799999999996</v>
      </c>
      <c r="BJ47" s="196">
        <f t="shared" si="96"/>
        <v>750.15109585483833</v>
      </c>
      <c r="BK47" s="197">
        <f t="shared" si="97"/>
        <v>184.08615849198486</v>
      </c>
      <c r="BL47" s="197">
        <f t="shared" si="98"/>
        <v>308.58028045905075</v>
      </c>
      <c r="BM47" s="197">
        <f t="shared" si="99"/>
        <v>441.57081539578752</v>
      </c>
      <c r="BN47" s="199">
        <f t="shared" si="100"/>
        <v>625.65697388777244</v>
      </c>
      <c r="BO47" s="196">
        <f t="shared" si="135"/>
        <v>6860.1926548209922</v>
      </c>
      <c r="BP47" s="197">
        <f t="shared" si="101"/>
        <v>2015.6920754007579</v>
      </c>
      <c r="BQ47" s="197">
        <f t="shared" si="102"/>
        <v>5314.9592880816836</v>
      </c>
      <c r="BR47" s="197">
        <f t="shared" si="103"/>
        <v>1545.2333667393091</v>
      </c>
      <c r="BS47" s="199">
        <f t="shared" si="104"/>
        <v>3560.9254421400669</v>
      </c>
      <c r="BT47" s="197"/>
      <c r="BV47" s="204">
        <f t="shared" si="136"/>
        <v>10</v>
      </c>
      <c r="BW47" s="197">
        <f>'Energy NPV'!$D100</f>
        <v>16.3</v>
      </c>
      <c r="BX47" s="197">
        <f>'Energy margins'!$Z$12</f>
        <v>55</v>
      </c>
      <c r="BY47" s="197">
        <f t="shared" si="137"/>
        <v>896.5</v>
      </c>
      <c r="BZ47" s="197">
        <f>'Margins summary'!$W$14</f>
        <v>220</v>
      </c>
      <c r="CA47" s="197">
        <f t="shared" si="105"/>
        <v>1116.5</v>
      </c>
      <c r="CB47" s="197"/>
      <c r="CC47" s="897">
        <f>'Energy NPV'!U100</f>
        <v>368.78200000000004</v>
      </c>
      <c r="CD47" s="197"/>
      <c r="CE47" s="197">
        <f t="shared" si="106"/>
        <v>368.78200000000004</v>
      </c>
      <c r="CF47" s="197">
        <f t="shared" si="77"/>
        <v>527.71799999999996</v>
      </c>
      <c r="CG47" s="197">
        <f t="shared" si="78"/>
        <v>747.71799999999996</v>
      </c>
      <c r="CH47" s="196">
        <f t="shared" si="107"/>
        <v>448.47319903335301</v>
      </c>
      <c r="CI47" s="197">
        <f t="shared" si="108"/>
        <v>110.05477276892098</v>
      </c>
      <c r="CJ47" s="197">
        <f t="shared" si="109"/>
        <v>184.48281459667373</v>
      </c>
      <c r="CK47" s="197">
        <f t="shared" si="110"/>
        <v>263.99038443667928</v>
      </c>
      <c r="CL47" s="199">
        <f t="shared" si="111"/>
        <v>374.04515720560022</v>
      </c>
      <c r="CM47" s="196">
        <f t="shared" si="138"/>
        <v>5175.9196959896699</v>
      </c>
      <c r="CN47" s="197">
        <f t="shared" si="112"/>
        <v>1594.3153403884869</v>
      </c>
      <c r="CO47" s="197">
        <f t="shared" si="113"/>
        <v>4583.1274416842389</v>
      </c>
      <c r="CP47" s="197">
        <f t="shared" si="114"/>
        <v>592.79225430543181</v>
      </c>
      <c r="CQ47" s="199">
        <f t="shared" si="115"/>
        <v>2187.1075946939186</v>
      </c>
      <c r="CR47" s="197"/>
      <c r="CT47" s="204">
        <f t="shared" si="139"/>
        <v>10</v>
      </c>
      <c r="CU47" s="197">
        <f>'Energy NPV'!$D100</f>
        <v>16.3</v>
      </c>
      <c r="CV47" s="197">
        <f>'Energy margins'!$Z$12</f>
        <v>55</v>
      </c>
      <c r="CW47" s="197">
        <f t="shared" si="140"/>
        <v>896.5</v>
      </c>
      <c r="CX47" s="197">
        <f>'Margins summary'!$W$14</f>
        <v>220</v>
      </c>
      <c r="CY47" s="197">
        <f t="shared" si="116"/>
        <v>1116.5</v>
      </c>
      <c r="CZ47" s="197"/>
      <c r="DA47" s="897">
        <f>'Energy NPV'!U100</f>
        <v>368.78200000000004</v>
      </c>
      <c r="DB47" s="197"/>
      <c r="DC47" s="197">
        <f t="shared" si="117"/>
        <v>368.78200000000004</v>
      </c>
      <c r="DD47" s="197">
        <f t="shared" si="79"/>
        <v>527.71799999999996</v>
      </c>
      <c r="DE47" s="197">
        <f t="shared" si="80"/>
        <v>747.71799999999996</v>
      </c>
      <c r="DF47" s="196">
        <f t="shared" si="118"/>
        <v>896.5</v>
      </c>
      <c r="DG47" s="197">
        <f t="shared" si="119"/>
        <v>220</v>
      </c>
      <c r="DH47" s="197">
        <f t="shared" si="120"/>
        <v>368.78200000000004</v>
      </c>
      <c r="DI47" s="197">
        <f t="shared" si="121"/>
        <v>527.71799999999996</v>
      </c>
      <c r="DJ47" s="199">
        <f t="shared" si="122"/>
        <v>747.71799999999996</v>
      </c>
      <c r="DK47" s="196">
        <f t="shared" si="141"/>
        <v>7599.166666666667</v>
      </c>
      <c r="DL47" s="197">
        <f t="shared" si="123"/>
        <v>2200</v>
      </c>
      <c r="DM47" s="197">
        <f t="shared" si="124"/>
        <v>5633.3200000000006</v>
      </c>
      <c r="DN47" s="197">
        <f t="shared" si="125"/>
        <v>1965.8466666666668</v>
      </c>
      <c r="DO47" s="199">
        <f t="shared" si="126"/>
        <v>4165.8466666666664</v>
      </c>
    </row>
    <row r="48" spans="2:119" x14ac:dyDescent="0.3">
      <c r="B48" s="204">
        <f t="shared" si="127"/>
        <v>11</v>
      </c>
      <c r="C48" s="197">
        <f>'Energy NPV'!$D101</f>
        <v>16.3</v>
      </c>
      <c r="D48" s="197">
        <f>'Energy margins'!$Z$12</f>
        <v>55</v>
      </c>
      <c r="E48" s="197">
        <f t="shared" si="128"/>
        <v>896.5</v>
      </c>
      <c r="F48" s="197">
        <f>'Margins summary'!$W$14</f>
        <v>220</v>
      </c>
      <c r="G48" s="197">
        <f t="shared" si="81"/>
        <v>1116.5</v>
      </c>
      <c r="H48" s="197"/>
      <c r="I48" s="897">
        <f>'Energy NPV'!U101</f>
        <v>368.78200000000004</v>
      </c>
      <c r="J48" s="197"/>
      <c r="K48" s="197">
        <f t="shared" si="82"/>
        <v>368.78200000000004</v>
      </c>
      <c r="L48" s="197">
        <f t="shared" si="71"/>
        <v>527.71799999999996</v>
      </c>
      <c r="M48" s="197">
        <f t="shared" si="72"/>
        <v>747.71799999999996</v>
      </c>
      <c r="N48" s="196">
        <f t="shared" si="83"/>
        <v>605.64327735232837</v>
      </c>
      <c r="O48" s="197">
        <f t="shared" si="83"/>
        <v>148.62411714167567</v>
      </c>
      <c r="P48" s="197">
        <f t="shared" si="84"/>
        <v>249.13590530791566</v>
      </c>
      <c r="Q48" s="197">
        <f t="shared" si="84"/>
        <v>356.50737204441276</v>
      </c>
      <c r="R48" s="199">
        <f t="shared" si="84"/>
        <v>505.1314891860884</v>
      </c>
      <c r="S48" s="196">
        <f t="shared" si="129"/>
        <v>6825.6513483189246</v>
      </c>
      <c r="T48" s="197">
        <f t="shared" si="85"/>
        <v>2004.397071458106</v>
      </c>
      <c r="U48" s="197">
        <f t="shared" si="85"/>
        <v>5287.0956099056566</v>
      </c>
      <c r="V48" s="197">
        <f t="shared" si="85"/>
        <v>1538.5557384132687</v>
      </c>
      <c r="W48" s="199">
        <f t="shared" si="85"/>
        <v>3542.9528098713749</v>
      </c>
      <c r="X48" s="197"/>
      <c r="Z48" s="204">
        <f t="shared" si="130"/>
        <v>11</v>
      </c>
      <c r="AA48" s="197">
        <f>'Energy NPV'!$D101</f>
        <v>16.3</v>
      </c>
      <c r="AB48" s="197">
        <f>'Energy margins'!$Z$12</f>
        <v>55</v>
      </c>
      <c r="AC48" s="197">
        <f t="shared" si="131"/>
        <v>896.5</v>
      </c>
      <c r="AD48" s="197">
        <f>'Margins summary'!$W$14</f>
        <v>220</v>
      </c>
      <c r="AE48" s="197">
        <f t="shared" si="86"/>
        <v>1116.5</v>
      </c>
      <c r="AF48" s="197"/>
      <c r="AG48" s="897">
        <f>'Energy NPV'!U101</f>
        <v>368.78200000000004</v>
      </c>
      <c r="AH48" s="197"/>
      <c r="AI48" s="197">
        <f t="shared" si="87"/>
        <v>368.78200000000004</v>
      </c>
      <c r="AJ48" s="197">
        <f t="shared" si="73"/>
        <v>527.71799999999996</v>
      </c>
      <c r="AK48" s="197">
        <f t="shared" si="74"/>
        <v>747.71799999999996</v>
      </c>
      <c r="AL48" s="196">
        <f t="shared" si="88"/>
        <v>500.60091750440318</v>
      </c>
      <c r="AM48" s="197">
        <f t="shared" si="89"/>
        <v>122.84685092132594</v>
      </c>
      <c r="AN48" s="197">
        <f t="shared" si="90"/>
        <v>205.92594262031102</v>
      </c>
      <c r="AO48" s="197">
        <f t="shared" si="91"/>
        <v>294.67497488409214</v>
      </c>
      <c r="AP48" s="199">
        <f t="shared" si="92"/>
        <v>417.52182580541808</v>
      </c>
      <c r="AQ48" s="196">
        <f t="shared" si="132"/>
        <v>6163.4843086011615</v>
      </c>
      <c r="AR48" s="197">
        <f t="shared" si="93"/>
        <v>1839.2191513112327</v>
      </c>
      <c r="AS48" s="197">
        <f t="shared" si="93"/>
        <v>5001.7258422899358</v>
      </c>
      <c r="AT48" s="197">
        <f t="shared" si="93"/>
        <v>1161.7584663112254</v>
      </c>
      <c r="AU48" s="199">
        <f t="shared" si="93"/>
        <v>3000.9776176224577</v>
      </c>
      <c r="AV48" s="197"/>
      <c r="AX48" s="204">
        <f t="shared" si="133"/>
        <v>11</v>
      </c>
      <c r="AY48" s="197">
        <f>'Energy NPV'!$D101</f>
        <v>16.3</v>
      </c>
      <c r="AZ48" s="197">
        <f>'Energy margins'!$Z$12</f>
        <v>55</v>
      </c>
      <c r="BA48" s="197">
        <f t="shared" si="134"/>
        <v>896.5</v>
      </c>
      <c r="BB48" s="197">
        <f>'Margins summary'!$W$14</f>
        <v>220</v>
      </c>
      <c r="BC48" s="197">
        <f t="shared" si="94"/>
        <v>1116.5</v>
      </c>
      <c r="BD48" s="197"/>
      <c r="BE48" s="897">
        <f>'Energy NPV'!U101</f>
        <v>368.78200000000004</v>
      </c>
      <c r="BF48" s="197"/>
      <c r="BG48" s="197">
        <f t="shared" si="95"/>
        <v>368.78200000000004</v>
      </c>
      <c r="BH48" s="197">
        <f t="shared" si="75"/>
        <v>527.71799999999996</v>
      </c>
      <c r="BI48" s="197">
        <f t="shared" si="76"/>
        <v>747.71799999999996</v>
      </c>
      <c r="BJ48" s="196">
        <f t="shared" si="96"/>
        <v>735.44225083807669</v>
      </c>
      <c r="BK48" s="197">
        <f t="shared" si="97"/>
        <v>180.47662597253415</v>
      </c>
      <c r="BL48" s="197">
        <f t="shared" si="98"/>
        <v>302.52968672455955</v>
      </c>
      <c r="BM48" s="197">
        <f t="shared" si="99"/>
        <v>432.91256411351719</v>
      </c>
      <c r="BN48" s="199">
        <f t="shared" si="100"/>
        <v>613.38919008605137</v>
      </c>
      <c r="BO48" s="196">
        <f t="shared" si="135"/>
        <v>7595.6349056590689</v>
      </c>
      <c r="BP48" s="197">
        <f t="shared" si="101"/>
        <v>2196.1687013732922</v>
      </c>
      <c r="BQ48" s="197">
        <f t="shared" si="102"/>
        <v>5617.4889748062433</v>
      </c>
      <c r="BR48" s="197">
        <f t="shared" si="103"/>
        <v>1978.1459308528263</v>
      </c>
      <c r="BS48" s="199">
        <f t="shared" si="104"/>
        <v>4174.3146322261182</v>
      </c>
      <c r="BT48" s="197"/>
      <c r="BV48" s="204">
        <f t="shared" si="136"/>
        <v>11</v>
      </c>
      <c r="BW48" s="197">
        <f>'Energy NPV'!$D101</f>
        <v>16.3</v>
      </c>
      <c r="BX48" s="197">
        <f>'Energy margins'!$Z$12</f>
        <v>55</v>
      </c>
      <c r="BY48" s="197">
        <f t="shared" si="137"/>
        <v>896.5</v>
      </c>
      <c r="BZ48" s="197">
        <f>'Margins summary'!$W$14</f>
        <v>220</v>
      </c>
      <c r="CA48" s="197">
        <f t="shared" si="105"/>
        <v>1116.5</v>
      </c>
      <c r="CB48" s="197"/>
      <c r="CC48" s="897">
        <f>'Energy NPV'!U101</f>
        <v>368.78200000000004</v>
      </c>
      <c r="CD48" s="197"/>
      <c r="CE48" s="197">
        <f t="shared" si="106"/>
        <v>368.78200000000004</v>
      </c>
      <c r="CF48" s="197">
        <f t="shared" si="77"/>
        <v>527.71799999999996</v>
      </c>
      <c r="CG48" s="197">
        <f t="shared" si="78"/>
        <v>747.71799999999996</v>
      </c>
      <c r="CH48" s="196">
        <f t="shared" si="107"/>
        <v>415.25296206791944</v>
      </c>
      <c r="CI48" s="197">
        <f t="shared" si="108"/>
        <v>101.90256737863054</v>
      </c>
      <c r="CJ48" s="197">
        <f t="shared" si="109"/>
        <v>170.81742092284605</v>
      </c>
      <c r="CK48" s="197">
        <f t="shared" si="110"/>
        <v>244.43554114507339</v>
      </c>
      <c r="CL48" s="199">
        <f t="shared" si="111"/>
        <v>346.33810852370391</v>
      </c>
      <c r="CM48" s="196">
        <f t="shared" si="138"/>
        <v>5591.1726580575896</v>
      </c>
      <c r="CN48" s="197">
        <f t="shared" si="112"/>
        <v>1696.2179077671174</v>
      </c>
      <c r="CO48" s="197">
        <f t="shared" si="113"/>
        <v>4753.9448626070853</v>
      </c>
      <c r="CP48" s="197">
        <f t="shared" si="114"/>
        <v>837.22779545050525</v>
      </c>
      <c r="CQ48" s="199">
        <f t="shared" si="115"/>
        <v>2533.4457032176224</v>
      </c>
      <c r="CR48" s="197"/>
      <c r="CT48" s="204">
        <f t="shared" si="139"/>
        <v>11</v>
      </c>
      <c r="CU48" s="197">
        <f>'Energy NPV'!$D101</f>
        <v>16.3</v>
      </c>
      <c r="CV48" s="197">
        <f>'Energy margins'!$Z$12</f>
        <v>55</v>
      </c>
      <c r="CW48" s="197">
        <f t="shared" si="140"/>
        <v>896.5</v>
      </c>
      <c r="CX48" s="197">
        <f>'Margins summary'!$W$14</f>
        <v>220</v>
      </c>
      <c r="CY48" s="197">
        <f t="shared" si="116"/>
        <v>1116.5</v>
      </c>
      <c r="CZ48" s="197"/>
      <c r="DA48" s="897">
        <f>'Energy NPV'!U101</f>
        <v>368.78200000000004</v>
      </c>
      <c r="DB48" s="197"/>
      <c r="DC48" s="197">
        <f t="shared" si="117"/>
        <v>368.78200000000004</v>
      </c>
      <c r="DD48" s="197">
        <f t="shared" si="79"/>
        <v>527.71799999999996</v>
      </c>
      <c r="DE48" s="197">
        <f t="shared" si="80"/>
        <v>747.71799999999996</v>
      </c>
      <c r="DF48" s="196">
        <f t="shared" si="118"/>
        <v>896.5</v>
      </c>
      <c r="DG48" s="197">
        <f t="shared" si="119"/>
        <v>220</v>
      </c>
      <c r="DH48" s="197">
        <f t="shared" si="120"/>
        <v>368.78200000000004</v>
      </c>
      <c r="DI48" s="197">
        <f t="shared" si="121"/>
        <v>527.71799999999996</v>
      </c>
      <c r="DJ48" s="199">
        <f t="shared" si="122"/>
        <v>747.71799999999996</v>
      </c>
      <c r="DK48" s="196">
        <f t="shared" si="141"/>
        <v>8495.6666666666679</v>
      </c>
      <c r="DL48" s="197">
        <f t="shared" si="123"/>
        <v>2420</v>
      </c>
      <c r="DM48" s="197">
        <f t="shared" si="124"/>
        <v>6002.1020000000008</v>
      </c>
      <c r="DN48" s="197">
        <f t="shared" si="125"/>
        <v>2493.5646666666667</v>
      </c>
      <c r="DO48" s="199">
        <f t="shared" si="126"/>
        <v>4913.5646666666662</v>
      </c>
    </row>
    <row r="49" spans="2:129" x14ac:dyDescent="0.3">
      <c r="B49" s="204">
        <f t="shared" si="127"/>
        <v>12</v>
      </c>
      <c r="C49" s="197">
        <f>'Energy NPV'!$D102</f>
        <v>16.3</v>
      </c>
      <c r="D49" s="197">
        <f>'Energy margins'!$Z$12</f>
        <v>55</v>
      </c>
      <c r="E49" s="197">
        <f t="shared" si="128"/>
        <v>896.5</v>
      </c>
      <c r="F49" s="197">
        <f>'Margins summary'!$W$14</f>
        <v>220</v>
      </c>
      <c r="G49" s="197">
        <f t="shared" si="81"/>
        <v>1116.5</v>
      </c>
      <c r="H49" s="197"/>
      <c r="I49" s="897">
        <f>'Energy NPV'!U102</f>
        <v>368.78200000000004</v>
      </c>
      <c r="J49" s="197"/>
      <c r="K49" s="197">
        <f t="shared" si="82"/>
        <v>368.78200000000004</v>
      </c>
      <c r="L49" s="197">
        <f t="shared" si="71"/>
        <v>527.71799999999996</v>
      </c>
      <c r="M49" s="197">
        <f t="shared" si="72"/>
        <v>747.71799999999996</v>
      </c>
      <c r="N49" s="196">
        <f t="shared" si="83"/>
        <v>582.34930514646965</v>
      </c>
      <c r="O49" s="197">
        <f t="shared" si="83"/>
        <v>142.90780494391893</v>
      </c>
      <c r="P49" s="197">
        <f t="shared" si="84"/>
        <v>239.55375510376507</v>
      </c>
      <c r="Q49" s="197">
        <f t="shared" si="84"/>
        <v>342.79555004270458</v>
      </c>
      <c r="R49" s="199">
        <f t="shared" si="84"/>
        <v>485.70335498662354</v>
      </c>
      <c r="S49" s="196">
        <f t="shared" si="129"/>
        <v>7408.000653465394</v>
      </c>
      <c r="T49" s="197">
        <f t="shared" si="85"/>
        <v>2147.304876402025</v>
      </c>
      <c r="U49" s="197">
        <f t="shared" si="85"/>
        <v>5526.6493650094217</v>
      </c>
      <c r="V49" s="197">
        <f t="shared" si="85"/>
        <v>1881.3512884559732</v>
      </c>
      <c r="W49" s="199">
        <f t="shared" si="85"/>
        <v>4028.6561648579986</v>
      </c>
      <c r="X49" s="197"/>
      <c r="Z49" s="204">
        <f t="shared" si="130"/>
        <v>12</v>
      </c>
      <c r="AA49" s="197">
        <f>'Energy NPV'!$D102</f>
        <v>16.3</v>
      </c>
      <c r="AB49" s="197">
        <f>'Energy margins'!$Z$12</f>
        <v>55</v>
      </c>
      <c r="AC49" s="197">
        <f t="shared" si="131"/>
        <v>896.5</v>
      </c>
      <c r="AD49" s="197">
        <f>'Margins summary'!$W$14</f>
        <v>220</v>
      </c>
      <c r="AE49" s="197">
        <f t="shared" si="86"/>
        <v>1116.5</v>
      </c>
      <c r="AF49" s="197"/>
      <c r="AG49" s="897">
        <f>'Energy NPV'!U102</f>
        <v>368.78200000000004</v>
      </c>
      <c r="AH49" s="197"/>
      <c r="AI49" s="197">
        <f t="shared" si="87"/>
        <v>368.78200000000004</v>
      </c>
      <c r="AJ49" s="197">
        <f t="shared" si="73"/>
        <v>527.71799999999996</v>
      </c>
      <c r="AK49" s="197">
        <f t="shared" si="74"/>
        <v>747.71799999999996</v>
      </c>
      <c r="AL49" s="196">
        <f t="shared" si="88"/>
        <v>472.26501651358785</v>
      </c>
      <c r="AM49" s="197">
        <f t="shared" si="89"/>
        <v>115.89325558615653</v>
      </c>
      <c r="AN49" s="197">
        <f t="shared" si="90"/>
        <v>194.26975718897262</v>
      </c>
      <c r="AO49" s="197">
        <f t="shared" si="91"/>
        <v>277.99525932461518</v>
      </c>
      <c r="AP49" s="199">
        <f t="shared" si="92"/>
        <v>393.88851491077173</v>
      </c>
      <c r="AQ49" s="196">
        <f t="shared" si="132"/>
        <v>6635.7493251147498</v>
      </c>
      <c r="AR49" s="197">
        <f t="shared" si="93"/>
        <v>1955.1124068973893</v>
      </c>
      <c r="AS49" s="197">
        <f t="shared" si="93"/>
        <v>5195.9955994789088</v>
      </c>
      <c r="AT49" s="197">
        <f t="shared" si="93"/>
        <v>1439.7537256358405</v>
      </c>
      <c r="AU49" s="199">
        <f t="shared" si="93"/>
        <v>3394.8661325332296</v>
      </c>
      <c r="AV49" s="197"/>
      <c r="AX49" s="204">
        <f t="shared" si="133"/>
        <v>12</v>
      </c>
      <c r="AY49" s="197">
        <f>'Energy NPV'!$D102</f>
        <v>16.3</v>
      </c>
      <c r="AZ49" s="197">
        <f>'Energy margins'!$Z$12</f>
        <v>55</v>
      </c>
      <c r="BA49" s="197">
        <f t="shared" si="134"/>
        <v>896.5</v>
      </c>
      <c r="BB49" s="197">
        <f>'Margins summary'!$W$14</f>
        <v>220</v>
      </c>
      <c r="BC49" s="197">
        <f t="shared" si="94"/>
        <v>1116.5</v>
      </c>
      <c r="BD49" s="197"/>
      <c r="BE49" s="897">
        <f>'Energy NPV'!U102</f>
        <v>368.78200000000004</v>
      </c>
      <c r="BF49" s="197"/>
      <c r="BG49" s="197">
        <f t="shared" si="95"/>
        <v>368.78200000000004</v>
      </c>
      <c r="BH49" s="197">
        <f t="shared" si="75"/>
        <v>527.71799999999996</v>
      </c>
      <c r="BI49" s="197">
        <f t="shared" si="76"/>
        <v>747.71799999999996</v>
      </c>
      <c r="BJ49" s="196">
        <f t="shared" si="96"/>
        <v>721.02181454713423</v>
      </c>
      <c r="BK49" s="197">
        <f t="shared" si="97"/>
        <v>176.93786860052373</v>
      </c>
      <c r="BL49" s="197">
        <f t="shared" si="98"/>
        <v>296.59773208290159</v>
      </c>
      <c r="BM49" s="197">
        <f t="shared" si="99"/>
        <v>424.42408246423258</v>
      </c>
      <c r="BN49" s="199">
        <f t="shared" si="100"/>
        <v>601.36195106475634</v>
      </c>
      <c r="BO49" s="196">
        <f t="shared" si="135"/>
        <v>8316.6567202062033</v>
      </c>
      <c r="BP49" s="197">
        <f t="shared" si="101"/>
        <v>2373.106569973816</v>
      </c>
      <c r="BQ49" s="197">
        <f t="shared" si="102"/>
        <v>5914.0867068891448</v>
      </c>
      <c r="BR49" s="197">
        <f t="shared" si="103"/>
        <v>2402.570013317059</v>
      </c>
      <c r="BS49" s="199">
        <f t="shared" si="104"/>
        <v>4775.676583290875</v>
      </c>
      <c r="BT49" s="197"/>
      <c r="BV49" s="204">
        <f t="shared" si="136"/>
        <v>12</v>
      </c>
      <c r="BW49" s="197">
        <f>'Energy NPV'!$D102</f>
        <v>16.3</v>
      </c>
      <c r="BX49" s="197">
        <f>'Energy margins'!$Z$12</f>
        <v>55</v>
      </c>
      <c r="BY49" s="197">
        <f t="shared" si="137"/>
        <v>896.5</v>
      </c>
      <c r="BZ49" s="197">
        <f>'Margins summary'!$W$14</f>
        <v>220</v>
      </c>
      <c r="CA49" s="197">
        <f t="shared" si="105"/>
        <v>1116.5</v>
      </c>
      <c r="CB49" s="197"/>
      <c r="CC49" s="897">
        <f>'Energy NPV'!U102</f>
        <v>368.78200000000004</v>
      </c>
      <c r="CD49" s="197"/>
      <c r="CE49" s="197">
        <f t="shared" si="106"/>
        <v>368.78200000000004</v>
      </c>
      <c r="CF49" s="197">
        <f t="shared" si="77"/>
        <v>527.71799999999996</v>
      </c>
      <c r="CG49" s="197">
        <f t="shared" si="78"/>
        <v>747.71799999999996</v>
      </c>
      <c r="CH49" s="196">
        <f t="shared" si="107"/>
        <v>384.49348339622168</v>
      </c>
      <c r="CI49" s="197">
        <f t="shared" si="108"/>
        <v>94.354229054287529</v>
      </c>
      <c r="CJ49" s="197">
        <f t="shared" si="109"/>
        <v>158.16427863226485</v>
      </c>
      <c r="CK49" s="197">
        <f t="shared" si="110"/>
        <v>226.32920476395685</v>
      </c>
      <c r="CL49" s="199">
        <f t="shared" si="111"/>
        <v>320.6834338182444</v>
      </c>
      <c r="CM49" s="196">
        <f t="shared" si="138"/>
        <v>5975.6661414538112</v>
      </c>
      <c r="CN49" s="197">
        <f t="shared" si="112"/>
        <v>1790.5721368214049</v>
      </c>
      <c r="CO49" s="197">
        <f t="shared" si="113"/>
        <v>4912.1091412393498</v>
      </c>
      <c r="CP49" s="197">
        <f t="shared" si="114"/>
        <v>1063.5570002144621</v>
      </c>
      <c r="CQ49" s="199">
        <f t="shared" si="115"/>
        <v>2854.1291370358667</v>
      </c>
      <c r="CR49" s="197"/>
      <c r="CT49" s="204">
        <f t="shared" si="139"/>
        <v>12</v>
      </c>
      <c r="CU49" s="197">
        <f>'Energy NPV'!$D102</f>
        <v>16.3</v>
      </c>
      <c r="CV49" s="197">
        <f>'Energy margins'!$Z$12</f>
        <v>55</v>
      </c>
      <c r="CW49" s="197">
        <f t="shared" si="140"/>
        <v>896.5</v>
      </c>
      <c r="CX49" s="197">
        <f>'Margins summary'!$W$14</f>
        <v>220</v>
      </c>
      <c r="CY49" s="197">
        <f t="shared" si="116"/>
        <v>1116.5</v>
      </c>
      <c r="CZ49" s="197"/>
      <c r="DA49" s="897">
        <f>'Energy NPV'!U102</f>
        <v>368.78200000000004</v>
      </c>
      <c r="DB49" s="197"/>
      <c r="DC49" s="197">
        <f t="shared" si="117"/>
        <v>368.78200000000004</v>
      </c>
      <c r="DD49" s="197">
        <f t="shared" si="79"/>
        <v>527.71799999999996</v>
      </c>
      <c r="DE49" s="197">
        <f t="shared" si="80"/>
        <v>747.71799999999996</v>
      </c>
      <c r="DF49" s="196">
        <f t="shared" si="118"/>
        <v>896.5</v>
      </c>
      <c r="DG49" s="197">
        <f t="shared" si="119"/>
        <v>220</v>
      </c>
      <c r="DH49" s="197">
        <f t="shared" si="120"/>
        <v>368.78200000000004</v>
      </c>
      <c r="DI49" s="197">
        <f t="shared" si="121"/>
        <v>527.71799999999996</v>
      </c>
      <c r="DJ49" s="199">
        <f t="shared" si="122"/>
        <v>747.71799999999996</v>
      </c>
      <c r="DK49" s="196">
        <f t="shared" si="141"/>
        <v>9392.1666666666679</v>
      </c>
      <c r="DL49" s="197">
        <f t="shared" si="123"/>
        <v>2640</v>
      </c>
      <c r="DM49" s="197">
        <f t="shared" si="124"/>
        <v>6370.8840000000009</v>
      </c>
      <c r="DN49" s="197">
        <f t="shared" si="125"/>
        <v>3021.2826666666665</v>
      </c>
      <c r="DO49" s="199">
        <f t="shared" si="126"/>
        <v>5661.282666666666</v>
      </c>
    </row>
    <row r="50" spans="2:129" x14ac:dyDescent="0.3">
      <c r="B50" s="204">
        <f t="shared" si="127"/>
        <v>13</v>
      </c>
      <c r="C50" s="197">
        <f>'Energy NPV'!$D103</f>
        <v>16.3</v>
      </c>
      <c r="D50" s="197">
        <f>'Energy margins'!$Z$12</f>
        <v>55</v>
      </c>
      <c r="E50" s="197">
        <f t="shared" si="128"/>
        <v>896.5</v>
      </c>
      <c r="F50" s="197">
        <f>'Margins summary'!$W$14</f>
        <v>220</v>
      </c>
      <c r="G50" s="197">
        <f t="shared" si="81"/>
        <v>1116.5</v>
      </c>
      <c r="H50" s="197"/>
      <c r="I50" s="897">
        <f>'Energy NPV'!U103</f>
        <v>368.78200000000004</v>
      </c>
      <c r="J50" s="197"/>
      <c r="K50" s="197">
        <f t="shared" si="82"/>
        <v>368.78200000000004</v>
      </c>
      <c r="L50" s="197">
        <f t="shared" si="71"/>
        <v>527.71799999999996</v>
      </c>
      <c r="M50" s="197">
        <f t="shared" si="72"/>
        <v>747.71799999999996</v>
      </c>
      <c r="N50" s="196">
        <f t="shared" si="83"/>
        <v>559.95125494852834</v>
      </c>
      <c r="O50" s="197">
        <f t="shared" si="83"/>
        <v>137.41135090761432</v>
      </c>
      <c r="P50" s="197">
        <f t="shared" si="84"/>
        <v>230.3401491382356</v>
      </c>
      <c r="Q50" s="197">
        <f t="shared" si="84"/>
        <v>329.61110581029277</v>
      </c>
      <c r="R50" s="199">
        <f t="shared" si="84"/>
        <v>467.02245671790712</v>
      </c>
      <c r="S50" s="196">
        <f t="shared" si="129"/>
        <v>7967.951908413922</v>
      </c>
      <c r="T50" s="197">
        <f t="shared" si="85"/>
        <v>2284.7162273096392</v>
      </c>
      <c r="U50" s="197">
        <f t="shared" si="85"/>
        <v>5756.9895141476572</v>
      </c>
      <c r="V50" s="197">
        <f t="shared" si="85"/>
        <v>2210.9623942662661</v>
      </c>
      <c r="W50" s="199">
        <f t="shared" si="85"/>
        <v>4495.6786215759057</v>
      </c>
      <c r="X50" s="197"/>
      <c r="Z50" s="204">
        <f t="shared" si="130"/>
        <v>13</v>
      </c>
      <c r="AA50" s="197">
        <f>'Energy NPV'!$D103</f>
        <v>16.3</v>
      </c>
      <c r="AB50" s="197">
        <f>'Energy margins'!$Z$12</f>
        <v>55</v>
      </c>
      <c r="AC50" s="197">
        <f t="shared" si="131"/>
        <v>896.5</v>
      </c>
      <c r="AD50" s="197">
        <f>'Margins summary'!$W$14</f>
        <v>220</v>
      </c>
      <c r="AE50" s="197">
        <f t="shared" si="86"/>
        <v>1116.5</v>
      </c>
      <c r="AF50" s="197"/>
      <c r="AG50" s="897">
        <f>'Energy NPV'!U103</f>
        <v>368.78200000000004</v>
      </c>
      <c r="AH50" s="197"/>
      <c r="AI50" s="197">
        <f t="shared" si="87"/>
        <v>368.78200000000004</v>
      </c>
      <c r="AJ50" s="197">
        <f t="shared" si="73"/>
        <v>527.71799999999996</v>
      </c>
      <c r="AK50" s="197">
        <f t="shared" si="74"/>
        <v>747.71799999999996</v>
      </c>
      <c r="AL50" s="196">
        <f t="shared" si="88"/>
        <v>445.53303444678096</v>
      </c>
      <c r="AM50" s="197">
        <f t="shared" si="89"/>
        <v>109.33325998694011</v>
      </c>
      <c r="AN50" s="197">
        <f t="shared" si="90"/>
        <v>183.27335583865343</v>
      </c>
      <c r="AO50" s="197">
        <f t="shared" si="91"/>
        <v>262.2596786081275</v>
      </c>
      <c r="AP50" s="199">
        <f t="shared" si="92"/>
        <v>371.59293859506766</v>
      </c>
      <c r="AQ50" s="196">
        <f t="shared" si="132"/>
        <v>7081.2823595615309</v>
      </c>
      <c r="AR50" s="197">
        <f t="shared" si="93"/>
        <v>2064.4456668843295</v>
      </c>
      <c r="AS50" s="197">
        <f t="shared" si="93"/>
        <v>5379.2689553175624</v>
      </c>
      <c r="AT50" s="197">
        <f t="shared" si="93"/>
        <v>1702.0134042439681</v>
      </c>
      <c r="AU50" s="199">
        <f t="shared" si="93"/>
        <v>3766.4590711282972</v>
      </c>
      <c r="AV50" s="197"/>
      <c r="AX50" s="204">
        <f t="shared" si="133"/>
        <v>13</v>
      </c>
      <c r="AY50" s="197">
        <f>'Energy NPV'!$D103</f>
        <v>16.3</v>
      </c>
      <c r="AZ50" s="197">
        <f>'Energy margins'!$Z$12</f>
        <v>55</v>
      </c>
      <c r="BA50" s="197">
        <f t="shared" si="134"/>
        <v>896.5</v>
      </c>
      <c r="BB50" s="197">
        <f>'Margins summary'!$W$14</f>
        <v>220</v>
      </c>
      <c r="BC50" s="197">
        <f t="shared" si="94"/>
        <v>1116.5</v>
      </c>
      <c r="BD50" s="197"/>
      <c r="BE50" s="897">
        <f>'Energy NPV'!U103</f>
        <v>368.78200000000004</v>
      </c>
      <c r="BF50" s="197"/>
      <c r="BG50" s="197">
        <f t="shared" si="95"/>
        <v>368.78200000000004</v>
      </c>
      <c r="BH50" s="197">
        <f t="shared" si="75"/>
        <v>527.71799999999996</v>
      </c>
      <c r="BI50" s="197">
        <f t="shared" si="76"/>
        <v>747.71799999999996</v>
      </c>
      <c r="BJ50" s="196">
        <f t="shared" si="96"/>
        <v>706.88413190895494</v>
      </c>
      <c r="BK50" s="197">
        <f t="shared" si="97"/>
        <v>173.46849862796441</v>
      </c>
      <c r="BL50" s="197">
        <f t="shared" si="98"/>
        <v>290.78209027735443</v>
      </c>
      <c r="BM50" s="197">
        <f t="shared" si="99"/>
        <v>416.10204163160051</v>
      </c>
      <c r="BN50" s="199">
        <f t="shared" si="100"/>
        <v>589.57054025956495</v>
      </c>
      <c r="BO50" s="196">
        <f t="shared" si="135"/>
        <v>9023.5408521151585</v>
      </c>
      <c r="BP50" s="197">
        <f t="shared" si="101"/>
        <v>2546.5750686017805</v>
      </c>
      <c r="BQ50" s="197">
        <f t="shared" si="102"/>
        <v>6204.8687971664995</v>
      </c>
      <c r="BR50" s="197">
        <f t="shared" si="103"/>
        <v>2818.6720549486595</v>
      </c>
      <c r="BS50" s="199">
        <f t="shared" si="104"/>
        <v>5365.2471235504399</v>
      </c>
      <c r="BT50" s="197"/>
      <c r="BV50" s="204">
        <f t="shared" si="136"/>
        <v>13</v>
      </c>
      <c r="BW50" s="197">
        <f>'Energy NPV'!$D103</f>
        <v>16.3</v>
      </c>
      <c r="BX50" s="197">
        <f>'Energy margins'!$Z$12</f>
        <v>55</v>
      </c>
      <c r="BY50" s="197">
        <f t="shared" si="137"/>
        <v>896.5</v>
      </c>
      <c r="BZ50" s="197">
        <f>'Margins summary'!$W$14</f>
        <v>220</v>
      </c>
      <c r="CA50" s="197">
        <f t="shared" si="105"/>
        <v>1116.5</v>
      </c>
      <c r="CB50" s="197"/>
      <c r="CC50" s="897">
        <f>'Energy NPV'!U103</f>
        <v>368.78200000000004</v>
      </c>
      <c r="CD50" s="197"/>
      <c r="CE50" s="197">
        <f t="shared" si="106"/>
        <v>368.78200000000004</v>
      </c>
      <c r="CF50" s="197">
        <f t="shared" si="77"/>
        <v>527.71799999999996</v>
      </c>
      <c r="CG50" s="197">
        <f t="shared" si="78"/>
        <v>747.71799999999996</v>
      </c>
      <c r="CH50" s="196">
        <f t="shared" si="107"/>
        <v>356.0124846261312</v>
      </c>
      <c r="CI50" s="197">
        <f t="shared" si="108"/>
        <v>87.365026902118075</v>
      </c>
      <c r="CJ50" s="197">
        <f t="shared" si="109"/>
        <v>146.44840614098598</v>
      </c>
      <c r="CK50" s="197">
        <f t="shared" si="110"/>
        <v>209.56407848514522</v>
      </c>
      <c r="CL50" s="199">
        <f t="shared" si="111"/>
        <v>296.92910538726329</v>
      </c>
      <c r="CM50" s="196">
        <f t="shared" si="138"/>
        <v>6331.6786260799427</v>
      </c>
      <c r="CN50" s="197">
        <f t="shared" si="112"/>
        <v>1877.9371637235231</v>
      </c>
      <c r="CO50" s="197">
        <f t="shared" si="113"/>
        <v>5058.5575473803356</v>
      </c>
      <c r="CP50" s="197">
        <f t="shared" si="114"/>
        <v>1273.1210786996073</v>
      </c>
      <c r="CQ50" s="199">
        <f t="shared" si="115"/>
        <v>3151.0582424231302</v>
      </c>
      <c r="CR50" s="197"/>
      <c r="CT50" s="204">
        <f t="shared" si="139"/>
        <v>13</v>
      </c>
      <c r="CU50" s="197">
        <f>'Energy NPV'!$D103</f>
        <v>16.3</v>
      </c>
      <c r="CV50" s="197">
        <f>'Energy margins'!$Z$12</f>
        <v>55</v>
      </c>
      <c r="CW50" s="197">
        <f t="shared" si="140"/>
        <v>896.5</v>
      </c>
      <c r="CX50" s="197">
        <f>'Margins summary'!$W$14</f>
        <v>220</v>
      </c>
      <c r="CY50" s="197">
        <f t="shared" si="116"/>
        <v>1116.5</v>
      </c>
      <c r="CZ50" s="197"/>
      <c r="DA50" s="897">
        <f>'Energy NPV'!U103</f>
        <v>368.78200000000004</v>
      </c>
      <c r="DB50" s="197"/>
      <c r="DC50" s="197">
        <f t="shared" si="117"/>
        <v>368.78200000000004</v>
      </c>
      <c r="DD50" s="197">
        <f t="shared" si="79"/>
        <v>527.71799999999996</v>
      </c>
      <c r="DE50" s="197">
        <f t="shared" si="80"/>
        <v>747.71799999999996</v>
      </c>
      <c r="DF50" s="196">
        <f t="shared" si="118"/>
        <v>896.5</v>
      </c>
      <c r="DG50" s="197">
        <f t="shared" si="119"/>
        <v>220</v>
      </c>
      <c r="DH50" s="197">
        <f t="shared" si="120"/>
        <v>368.78200000000004</v>
      </c>
      <c r="DI50" s="197">
        <f t="shared" si="121"/>
        <v>527.71799999999996</v>
      </c>
      <c r="DJ50" s="199">
        <f t="shared" si="122"/>
        <v>747.71799999999996</v>
      </c>
      <c r="DK50" s="196">
        <f t="shared" si="141"/>
        <v>10288.666666666668</v>
      </c>
      <c r="DL50" s="197">
        <f t="shared" si="123"/>
        <v>2860</v>
      </c>
      <c r="DM50" s="197">
        <f t="shared" si="124"/>
        <v>6739.6660000000011</v>
      </c>
      <c r="DN50" s="197">
        <f t="shared" si="125"/>
        <v>3549.0006666666663</v>
      </c>
      <c r="DO50" s="199">
        <f t="shared" si="126"/>
        <v>6409.0006666666659</v>
      </c>
    </row>
    <row r="51" spans="2:129" x14ac:dyDescent="0.3">
      <c r="B51" s="204">
        <f t="shared" si="127"/>
        <v>14</v>
      </c>
      <c r="C51" s="197">
        <f>'Energy NPV'!$D104</f>
        <v>16.3</v>
      </c>
      <c r="D51" s="197">
        <f>'Energy margins'!$Z$12</f>
        <v>55</v>
      </c>
      <c r="E51" s="197">
        <f t="shared" si="128"/>
        <v>896.5</v>
      </c>
      <c r="F51" s="197">
        <f>'Margins summary'!$W$14</f>
        <v>220</v>
      </c>
      <c r="G51" s="197">
        <f t="shared" si="81"/>
        <v>1116.5</v>
      </c>
      <c r="H51" s="197"/>
      <c r="I51" s="897">
        <f>'Energy NPV'!U104</f>
        <v>368.78200000000004</v>
      </c>
      <c r="J51" s="197"/>
      <c r="K51" s="197">
        <f t="shared" si="82"/>
        <v>368.78200000000004</v>
      </c>
      <c r="L51" s="197">
        <f t="shared" si="71"/>
        <v>527.71799999999996</v>
      </c>
      <c r="M51" s="197">
        <f t="shared" si="72"/>
        <v>747.71799999999996</v>
      </c>
      <c r="N51" s="196">
        <f t="shared" si="83"/>
        <v>538.41466821973881</v>
      </c>
      <c r="O51" s="197">
        <f t="shared" si="83"/>
        <v>132.12629894962916</v>
      </c>
      <c r="P51" s="197">
        <f t="shared" si="84"/>
        <v>221.48091263291886</v>
      </c>
      <c r="Q51" s="197">
        <f t="shared" si="84"/>
        <v>316.93375558681998</v>
      </c>
      <c r="R51" s="199">
        <f t="shared" si="84"/>
        <v>449.06005453644912</v>
      </c>
      <c r="S51" s="196">
        <f t="shared" si="129"/>
        <v>8506.3665766336599</v>
      </c>
      <c r="T51" s="197">
        <f t="shared" si="85"/>
        <v>2416.8425262592682</v>
      </c>
      <c r="U51" s="197">
        <f t="shared" si="85"/>
        <v>5978.4704267805764</v>
      </c>
      <c r="V51" s="197">
        <f t="shared" si="85"/>
        <v>2527.8961498530862</v>
      </c>
      <c r="W51" s="199">
        <f t="shared" si="85"/>
        <v>4944.7386761123544</v>
      </c>
      <c r="X51" s="197"/>
      <c r="Z51" s="204">
        <f t="shared" si="130"/>
        <v>14</v>
      </c>
      <c r="AA51" s="197">
        <f>'Energy NPV'!$D104</f>
        <v>16.3</v>
      </c>
      <c r="AB51" s="197">
        <f>'Energy margins'!$Z$12</f>
        <v>55</v>
      </c>
      <c r="AC51" s="197">
        <f t="shared" si="131"/>
        <v>896.5</v>
      </c>
      <c r="AD51" s="197">
        <f>'Margins summary'!$W$14</f>
        <v>220</v>
      </c>
      <c r="AE51" s="197">
        <f t="shared" si="86"/>
        <v>1116.5</v>
      </c>
      <c r="AF51" s="197"/>
      <c r="AG51" s="897">
        <f>'Energy NPV'!U104</f>
        <v>368.78200000000004</v>
      </c>
      <c r="AH51" s="197"/>
      <c r="AI51" s="197">
        <f t="shared" si="87"/>
        <v>368.78200000000004</v>
      </c>
      <c r="AJ51" s="197">
        <f t="shared" si="73"/>
        <v>527.71799999999996</v>
      </c>
      <c r="AK51" s="197">
        <f t="shared" si="74"/>
        <v>747.71799999999996</v>
      </c>
      <c r="AL51" s="196">
        <f t="shared" si="88"/>
        <v>420.31418344035933</v>
      </c>
      <c r="AM51" s="197">
        <f t="shared" si="89"/>
        <v>103.14458489333971</v>
      </c>
      <c r="AN51" s="197">
        <f t="shared" si="90"/>
        <v>172.89939230061643</v>
      </c>
      <c r="AO51" s="197">
        <f t="shared" si="91"/>
        <v>247.41479113974293</v>
      </c>
      <c r="AP51" s="199">
        <f t="shared" si="92"/>
        <v>350.55937603308263</v>
      </c>
      <c r="AQ51" s="196">
        <f t="shared" si="132"/>
        <v>7501.5965430018905</v>
      </c>
      <c r="AR51" s="197">
        <f t="shared" si="93"/>
        <v>2167.5902517776694</v>
      </c>
      <c r="AS51" s="197">
        <f t="shared" si="93"/>
        <v>5552.1683476181788</v>
      </c>
      <c r="AT51" s="197">
        <f t="shared" si="93"/>
        <v>1949.428195383711</v>
      </c>
      <c r="AU51" s="199">
        <f t="shared" si="93"/>
        <v>4117.0184471613802</v>
      </c>
      <c r="AV51" s="197"/>
      <c r="AX51" s="204">
        <f t="shared" si="133"/>
        <v>14</v>
      </c>
      <c r="AY51" s="197">
        <f>'Energy NPV'!$D104</f>
        <v>16.3</v>
      </c>
      <c r="AZ51" s="197">
        <f>'Energy margins'!$Z$12</f>
        <v>55</v>
      </c>
      <c r="BA51" s="197">
        <f t="shared" si="134"/>
        <v>896.5</v>
      </c>
      <c r="BB51" s="197">
        <f>'Margins summary'!$W$14</f>
        <v>220</v>
      </c>
      <c r="BC51" s="197">
        <f t="shared" si="94"/>
        <v>1116.5</v>
      </c>
      <c r="BD51" s="197"/>
      <c r="BE51" s="897">
        <f>'Energy NPV'!U104</f>
        <v>368.78200000000004</v>
      </c>
      <c r="BF51" s="197"/>
      <c r="BG51" s="197">
        <f t="shared" si="95"/>
        <v>368.78200000000004</v>
      </c>
      <c r="BH51" s="197">
        <f t="shared" si="75"/>
        <v>527.71799999999996</v>
      </c>
      <c r="BI51" s="197">
        <f t="shared" si="76"/>
        <v>747.71799999999996</v>
      </c>
      <c r="BJ51" s="196">
        <f t="shared" si="96"/>
        <v>693.02365873426959</v>
      </c>
      <c r="BK51" s="197">
        <f t="shared" si="97"/>
        <v>170.06715551761218</v>
      </c>
      <c r="BL51" s="197">
        <f t="shared" si="98"/>
        <v>285.08048066407298</v>
      </c>
      <c r="BM51" s="197">
        <f t="shared" si="99"/>
        <v>407.94317807019661</v>
      </c>
      <c r="BN51" s="199">
        <f t="shared" si="100"/>
        <v>578.01033358780876</v>
      </c>
      <c r="BO51" s="196">
        <f t="shared" si="135"/>
        <v>9716.5645108494282</v>
      </c>
      <c r="BP51" s="197">
        <f t="shared" si="101"/>
        <v>2716.6422241193927</v>
      </c>
      <c r="BQ51" s="197">
        <f t="shared" si="102"/>
        <v>6489.9492778305721</v>
      </c>
      <c r="BR51" s="197">
        <f t="shared" si="103"/>
        <v>3226.6152330188561</v>
      </c>
      <c r="BS51" s="199">
        <f t="shared" si="104"/>
        <v>5943.2574571382484</v>
      </c>
      <c r="BT51" s="197"/>
      <c r="BV51" s="204">
        <f t="shared" si="136"/>
        <v>14</v>
      </c>
      <c r="BW51" s="197">
        <f>'Energy NPV'!$D104</f>
        <v>16.3</v>
      </c>
      <c r="BX51" s="197">
        <f>'Energy margins'!$Z$12</f>
        <v>55</v>
      </c>
      <c r="BY51" s="197">
        <f t="shared" si="137"/>
        <v>896.5</v>
      </c>
      <c r="BZ51" s="197">
        <f>'Margins summary'!$W$14</f>
        <v>220</v>
      </c>
      <c r="CA51" s="197">
        <f t="shared" si="105"/>
        <v>1116.5</v>
      </c>
      <c r="CB51" s="197"/>
      <c r="CC51" s="897">
        <f>'Energy NPV'!U104</f>
        <v>368.78200000000004</v>
      </c>
      <c r="CD51" s="197"/>
      <c r="CE51" s="197">
        <f t="shared" si="106"/>
        <v>368.78200000000004</v>
      </c>
      <c r="CF51" s="197">
        <f t="shared" si="77"/>
        <v>527.71799999999996</v>
      </c>
      <c r="CG51" s="197">
        <f t="shared" si="78"/>
        <v>747.71799999999996</v>
      </c>
      <c r="CH51" s="196">
        <f t="shared" si="107"/>
        <v>329.64118946863999</v>
      </c>
      <c r="CI51" s="197">
        <f t="shared" si="108"/>
        <v>80.89354342788711</v>
      </c>
      <c r="CJ51" s="197">
        <f t="shared" si="109"/>
        <v>135.60037605646849</v>
      </c>
      <c r="CK51" s="197">
        <f t="shared" si="110"/>
        <v>194.04081341217147</v>
      </c>
      <c r="CL51" s="199">
        <f t="shared" si="111"/>
        <v>274.93435684005863</v>
      </c>
      <c r="CM51" s="196">
        <f t="shared" si="138"/>
        <v>6661.3198155485825</v>
      </c>
      <c r="CN51" s="197">
        <f t="shared" si="112"/>
        <v>1958.8307071514103</v>
      </c>
      <c r="CO51" s="197">
        <f t="shared" si="113"/>
        <v>5194.1579234368037</v>
      </c>
      <c r="CP51" s="197">
        <f t="shared" si="114"/>
        <v>1467.1618921117788</v>
      </c>
      <c r="CQ51" s="199">
        <f t="shared" si="115"/>
        <v>3425.9925992631888</v>
      </c>
      <c r="CR51" s="197"/>
      <c r="CT51" s="204">
        <f t="shared" si="139"/>
        <v>14</v>
      </c>
      <c r="CU51" s="197">
        <f>'Energy NPV'!$D104</f>
        <v>16.3</v>
      </c>
      <c r="CV51" s="197">
        <f>'Energy margins'!$Z$12</f>
        <v>55</v>
      </c>
      <c r="CW51" s="197">
        <f t="shared" si="140"/>
        <v>896.5</v>
      </c>
      <c r="CX51" s="197">
        <f>'Margins summary'!$W$14</f>
        <v>220</v>
      </c>
      <c r="CY51" s="197">
        <f t="shared" si="116"/>
        <v>1116.5</v>
      </c>
      <c r="CZ51" s="197"/>
      <c r="DA51" s="897">
        <f>'Energy NPV'!U104</f>
        <v>368.78200000000004</v>
      </c>
      <c r="DB51" s="197"/>
      <c r="DC51" s="197">
        <f t="shared" si="117"/>
        <v>368.78200000000004</v>
      </c>
      <c r="DD51" s="197">
        <f t="shared" si="79"/>
        <v>527.71799999999996</v>
      </c>
      <c r="DE51" s="197">
        <f t="shared" si="80"/>
        <v>747.71799999999996</v>
      </c>
      <c r="DF51" s="196">
        <f t="shared" si="118"/>
        <v>896.5</v>
      </c>
      <c r="DG51" s="197">
        <f t="shared" si="119"/>
        <v>220</v>
      </c>
      <c r="DH51" s="197">
        <f t="shared" si="120"/>
        <v>368.78200000000004</v>
      </c>
      <c r="DI51" s="197">
        <f t="shared" si="121"/>
        <v>527.71799999999996</v>
      </c>
      <c r="DJ51" s="199">
        <f t="shared" si="122"/>
        <v>747.71799999999996</v>
      </c>
      <c r="DK51" s="196">
        <f t="shared" si="141"/>
        <v>11185.166666666668</v>
      </c>
      <c r="DL51" s="197">
        <f t="shared" si="123"/>
        <v>3080</v>
      </c>
      <c r="DM51" s="197">
        <f t="shared" si="124"/>
        <v>7108.4480000000012</v>
      </c>
      <c r="DN51" s="197">
        <f t="shared" si="125"/>
        <v>4076.7186666666662</v>
      </c>
      <c r="DO51" s="199">
        <f t="shared" si="126"/>
        <v>7156.7186666666657</v>
      </c>
    </row>
    <row r="52" spans="2:129" x14ac:dyDescent="0.3">
      <c r="B52" s="204">
        <f t="shared" si="127"/>
        <v>15</v>
      </c>
      <c r="C52" s="197">
        <f>'Energy NPV'!$D105</f>
        <v>16.3</v>
      </c>
      <c r="D52" s="197">
        <f>'Energy margins'!$Z$12</f>
        <v>55</v>
      </c>
      <c r="E52" s="197">
        <f t="shared" si="128"/>
        <v>896.5</v>
      </c>
      <c r="F52" s="197">
        <f>'Margins summary'!$W$14</f>
        <v>220</v>
      </c>
      <c r="G52" s="197">
        <f t="shared" si="81"/>
        <v>1116.5</v>
      </c>
      <c r="H52" s="197"/>
      <c r="I52" s="897">
        <f>'Energy NPV'!U105</f>
        <v>368.78200000000004</v>
      </c>
      <c r="J52" s="197"/>
      <c r="K52" s="197">
        <f t="shared" si="82"/>
        <v>368.78200000000004</v>
      </c>
      <c r="L52" s="197">
        <f t="shared" si="71"/>
        <v>527.71799999999996</v>
      </c>
      <c r="M52" s="197">
        <f t="shared" si="72"/>
        <v>747.71799999999996</v>
      </c>
      <c r="N52" s="196">
        <f t="shared" si="83"/>
        <v>517.7064117497489</v>
      </c>
      <c r="O52" s="197">
        <f t="shared" si="83"/>
        <v>127.04451822079727</v>
      </c>
      <c r="P52" s="197">
        <f t="shared" si="84"/>
        <v>212.9624159931912</v>
      </c>
      <c r="Q52" s="197">
        <f t="shared" si="84"/>
        <v>304.74399575655769</v>
      </c>
      <c r="R52" s="199">
        <f t="shared" si="84"/>
        <v>431.78851397735497</v>
      </c>
      <c r="S52" s="196">
        <f t="shared" si="129"/>
        <v>9024.0729883834083</v>
      </c>
      <c r="T52" s="197">
        <f t="shared" si="85"/>
        <v>2543.8870444800655</v>
      </c>
      <c r="U52" s="197">
        <f t="shared" si="85"/>
        <v>6191.4328427737673</v>
      </c>
      <c r="V52" s="197">
        <f t="shared" si="85"/>
        <v>2832.6401456096437</v>
      </c>
      <c r="W52" s="199">
        <f t="shared" si="85"/>
        <v>5376.5271900897096</v>
      </c>
      <c r="X52" s="197"/>
      <c r="Z52" s="204">
        <f t="shared" si="130"/>
        <v>15</v>
      </c>
      <c r="AA52" s="197">
        <f>'Energy NPV'!$D105</f>
        <v>16.3</v>
      </c>
      <c r="AB52" s="197">
        <f>'Energy margins'!$Z$12</f>
        <v>55</v>
      </c>
      <c r="AC52" s="197">
        <f t="shared" si="131"/>
        <v>896.5</v>
      </c>
      <c r="AD52" s="197">
        <f>'Margins summary'!$W$14</f>
        <v>220</v>
      </c>
      <c r="AE52" s="197">
        <f t="shared" si="86"/>
        <v>1116.5</v>
      </c>
      <c r="AF52" s="197"/>
      <c r="AG52" s="897">
        <f>'Energy NPV'!U105</f>
        <v>368.78200000000004</v>
      </c>
      <c r="AH52" s="197"/>
      <c r="AI52" s="197">
        <f t="shared" si="87"/>
        <v>368.78200000000004</v>
      </c>
      <c r="AJ52" s="197">
        <f t="shared" si="73"/>
        <v>527.71799999999996</v>
      </c>
      <c r="AK52" s="197">
        <f t="shared" si="74"/>
        <v>747.71799999999996</v>
      </c>
      <c r="AL52" s="196">
        <f t="shared" si="88"/>
        <v>396.52281456637678</v>
      </c>
      <c r="AM52" s="197">
        <f t="shared" si="89"/>
        <v>97.306212163528045</v>
      </c>
      <c r="AN52" s="197">
        <f t="shared" si="90"/>
        <v>163.11263424586454</v>
      </c>
      <c r="AO52" s="197">
        <f t="shared" si="91"/>
        <v>233.41018032051221</v>
      </c>
      <c r="AP52" s="199">
        <f t="shared" si="92"/>
        <v>330.71639248404023</v>
      </c>
      <c r="AQ52" s="196">
        <f t="shared" si="132"/>
        <v>7898.1193575682673</v>
      </c>
      <c r="AR52" s="197">
        <f t="shared" si="93"/>
        <v>2264.8964639411975</v>
      </c>
      <c r="AS52" s="197">
        <f t="shared" si="93"/>
        <v>5715.2809818640435</v>
      </c>
      <c r="AT52" s="197">
        <f t="shared" si="93"/>
        <v>2182.8383757042234</v>
      </c>
      <c r="AU52" s="199">
        <f t="shared" si="93"/>
        <v>4447.7348396454208</v>
      </c>
      <c r="AV52" s="197"/>
      <c r="AX52" s="204">
        <f t="shared" si="133"/>
        <v>15</v>
      </c>
      <c r="AY52" s="197">
        <f>'Energy NPV'!$D105</f>
        <v>16.3</v>
      </c>
      <c r="AZ52" s="197">
        <f>'Energy margins'!$Z$12</f>
        <v>55</v>
      </c>
      <c r="BA52" s="197">
        <f t="shared" si="134"/>
        <v>896.5</v>
      </c>
      <c r="BB52" s="197">
        <f>'Margins summary'!$W$14</f>
        <v>220</v>
      </c>
      <c r="BC52" s="197">
        <f t="shared" si="94"/>
        <v>1116.5</v>
      </c>
      <c r="BD52" s="197"/>
      <c r="BE52" s="897">
        <f>'Energy NPV'!U105</f>
        <v>368.78200000000004</v>
      </c>
      <c r="BF52" s="197"/>
      <c r="BG52" s="197">
        <f t="shared" si="95"/>
        <v>368.78200000000004</v>
      </c>
      <c r="BH52" s="197">
        <f t="shared" si="75"/>
        <v>527.71799999999996</v>
      </c>
      <c r="BI52" s="197">
        <f t="shared" si="76"/>
        <v>747.71799999999996</v>
      </c>
      <c r="BJ52" s="196">
        <f t="shared" si="96"/>
        <v>679.43495954340153</v>
      </c>
      <c r="BK52" s="197">
        <f t="shared" si="97"/>
        <v>166.73250540942368</v>
      </c>
      <c r="BL52" s="197">
        <f t="shared" si="98"/>
        <v>279.49066731771859</v>
      </c>
      <c r="BM52" s="197">
        <f t="shared" si="99"/>
        <v>399.94429222568289</v>
      </c>
      <c r="BN52" s="199">
        <f t="shared" si="100"/>
        <v>566.6767976351066</v>
      </c>
      <c r="BO52" s="196">
        <f t="shared" si="135"/>
        <v>10395.99947039283</v>
      </c>
      <c r="BP52" s="197">
        <f t="shared" si="101"/>
        <v>2883.3747295288163</v>
      </c>
      <c r="BQ52" s="197">
        <f t="shared" si="102"/>
        <v>6769.4399451482905</v>
      </c>
      <c r="BR52" s="197">
        <f t="shared" si="103"/>
        <v>3626.5595252445391</v>
      </c>
      <c r="BS52" s="199">
        <f t="shared" si="104"/>
        <v>6509.934254773355</v>
      </c>
      <c r="BT52" s="197"/>
      <c r="BV52" s="204">
        <f t="shared" si="136"/>
        <v>15</v>
      </c>
      <c r="BW52" s="197">
        <f>'Energy NPV'!$D105</f>
        <v>16.3</v>
      </c>
      <c r="BX52" s="197">
        <f>'Energy margins'!$Z$12</f>
        <v>55</v>
      </c>
      <c r="BY52" s="197">
        <f t="shared" si="137"/>
        <v>896.5</v>
      </c>
      <c r="BZ52" s="197">
        <f>'Margins summary'!$W$14</f>
        <v>220</v>
      </c>
      <c r="CA52" s="197">
        <f t="shared" si="105"/>
        <v>1116.5</v>
      </c>
      <c r="CB52" s="197"/>
      <c r="CC52" s="897">
        <f>'Energy NPV'!U105</f>
        <v>368.78200000000004</v>
      </c>
      <c r="CD52" s="197"/>
      <c r="CE52" s="197">
        <f t="shared" si="106"/>
        <v>368.78200000000004</v>
      </c>
      <c r="CF52" s="197">
        <f t="shared" si="77"/>
        <v>527.71799999999996</v>
      </c>
      <c r="CG52" s="197">
        <f t="shared" si="78"/>
        <v>747.71799999999996</v>
      </c>
      <c r="CH52" s="196">
        <f t="shared" si="107"/>
        <v>305.22332358207399</v>
      </c>
      <c r="CI52" s="197">
        <f t="shared" si="108"/>
        <v>74.901429099895452</v>
      </c>
      <c r="CJ52" s="197">
        <f t="shared" si="109"/>
        <v>125.55590375598932</v>
      </c>
      <c r="CK52" s="197">
        <f t="shared" si="110"/>
        <v>179.66741982608468</v>
      </c>
      <c r="CL52" s="199">
        <f t="shared" si="111"/>
        <v>254.56884892598015</v>
      </c>
      <c r="CM52" s="196">
        <f t="shared" si="138"/>
        <v>6966.5431391306565</v>
      </c>
      <c r="CN52" s="197">
        <f t="shared" si="112"/>
        <v>2033.7321362513057</v>
      </c>
      <c r="CO52" s="197">
        <f t="shared" si="113"/>
        <v>5319.7138271927934</v>
      </c>
      <c r="CP52" s="197">
        <f t="shared" si="114"/>
        <v>1646.8293119378634</v>
      </c>
      <c r="CQ52" s="199">
        <f t="shared" si="115"/>
        <v>3680.5614481891689</v>
      </c>
      <c r="CR52" s="197"/>
      <c r="CT52" s="204">
        <f t="shared" si="139"/>
        <v>15</v>
      </c>
      <c r="CU52" s="197">
        <f>'Energy NPV'!$D105</f>
        <v>16.3</v>
      </c>
      <c r="CV52" s="197">
        <f>'Energy margins'!$Z$12</f>
        <v>55</v>
      </c>
      <c r="CW52" s="197">
        <f t="shared" si="140"/>
        <v>896.5</v>
      </c>
      <c r="CX52" s="197">
        <f>'Margins summary'!$W$14</f>
        <v>220</v>
      </c>
      <c r="CY52" s="197">
        <f t="shared" si="116"/>
        <v>1116.5</v>
      </c>
      <c r="CZ52" s="197"/>
      <c r="DA52" s="897">
        <f>'Energy NPV'!U105</f>
        <v>368.78200000000004</v>
      </c>
      <c r="DB52" s="197"/>
      <c r="DC52" s="197">
        <f t="shared" si="117"/>
        <v>368.78200000000004</v>
      </c>
      <c r="DD52" s="197">
        <f t="shared" si="79"/>
        <v>527.71799999999996</v>
      </c>
      <c r="DE52" s="197">
        <f t="shared" si="80"/>
        <v>747.71799999999996</v>
      </c>
      <c r="DF52" s="196">
        <f t="shared" si="118"/>
        <v>896.5</v>
      </c>
      <c r="DG52" s="197">
        <f t="shared" si="119"/>
        <v>220</v>
      </c>
      <c r="DH52" s="197">
        <f t="shared" si="120"/>
        <v>368.78200000000004</v>
      </c>
      <c r="DI52" s="197">
        <f t="shared" si="121"/>
        <v>527.71799999999996</v>
      </c>
      <c r="DJ52" s="199">
        <f t="shared" si="122"/>
        <v>747.71799999999996</v>
      </c>
      <c r="DK52" s="196">
        <f t="shared" si="141"/>
        <v>12081.666666666668</v>
      </c>
      <c r="DL52" s="197">
        <f t="shared" si="123"/>
        <v>3300</v>
      </c>
      <c r="DM52" s="197">
        <f t="shared" si="124"/>
        <v>7477.2300000000014</v>
      </c>
      <c r="DN52" s="197">
        <f t="shared" si="125"/>
        <v>4604.4366666666665</v>
      </c>
      <c r="DO52" s="199">
        <f t="shared" si="126"/>
        <v>7904.4366666666656</v>
      </c>
    </row>
    <row r="53" spans="2:129" x14ac:dyDescent="0.3">
      <c r="B53" s="206">
        <f t="shared" si="127"/>
        <v>16</v>
      </c>
      <c r="C53" s="207">
        <f>'Energy NPV'!$D106</f>
        <v>16.3</v>
      </c>
      <c r="D53" s="207">
        <f>'Energy margins'!$Z$12</f>
        <v>55</v>
      </c>
      <c r="E53" s="207">
        <f t="shared" si="128"/>
        <v>896.5</v>
      </c>
      <c r="F53" s="207">
        <f>'Margins summary'!$W$14</f>
        <v>220</v>
      </c>
      <c r="G53" s="207">
        <f t="shared" si="81"/>
        <v>1116.5</v>
      </c>
      <c r="H53" s="207"/>
      <c r="I53" s="898">
        <f>'Energy NPV'!U106</f>
        <v>368.78200000000004</v>
      </c>
      <c r="J53" s="207">
        <f>'Energy margins'!$AE$67</f>
        <v>170</v>
      </c>
      <c r="K53" s="207">
        <f t="shared" si="82"/>
        <v>538.78200000000004</v>
      </c>
      <c r="L53" s="207">
        <f t="shared" si="71"/>
        <v>357.71799999999996</v>
      </c>
      <c r="M53" s="207">
        <f t="shared" si="72"/>
        <v>577.71799999999996</v>
      </c>
      <c r="N53" s="208">
        <f t="shared" si="83"/>
        <v>497.79462668245088</v>
      </c>
      <c r="O53" s="207">
        <f t="shared" si="83"/>
        <v>122.15819059692046</v>
      </c>
      <c r="P53" s="207">
        <f t="shared" si="84"/>
        <v>299.16651930086363</v>
      </c>
      <c r="Q53" s="207">
        <f t="shared" si="84"/>
        <v>198.62810738158723</v>
      </c>
      <c r="R53" s="209">
        <f>M53/((1+$B$4)^($B53-1))</f>
        <v>320.78629797850766</v>
      </c>
      <c r="S53" s="208">
        <f t="shared" si="129"/>
        <v>9521.8676150658594</v>
      </c>
      <c r="T53" s="207">
        <f t="shared" si="85"/>
        <v>2666.045235076986</v>
      </c>
      <c r="U53" s="207">
        <f t="shared" si="85"/>
        <v>6490.5993620746312</v>
      </c>
      <c r="V53" s="207">
        <f t="shared" si="85"/>
        <v>3031.2682529912308</v>
      </c>
      <c r="W53" s="209">
        <f t="shared" si="85"/>
        <v>5697.3134880682173</v>
      </c>
      <c r="X53" s="197"/>
      <c r="Z53" s="206">
        <f t="shared" si="130"/>
        <v>16</v>
      </c>
      <c r="AA53" s="207">
        <f>'Energy NPV'!$D106</f>
        <v>16.3</v>
      </c>
      <c r="AB53" s="207">
        <f>'Energy margins'!$Z$12</f>
        <v>55</v>
      </c>
      <c r="AC53" s="207">
        <f t="shared" si="131"/>
        <v>896.5</v>
      </c>
      <c r="AD53" s="207">
        <f>'Margins summary'!$W$14</f>
        <v>220</v>
      </c>
      <c r="AE53" s="207">
        <f t="shared" si="86"/>
        <v>1116.5</v>
      </c>
      <c r="AF53" s="207"/>
      <c r="AG53" s="897">
        <f>'Energy NPV'!U106</f>
        <v>368.78200000000004</v>
      </c>
      <c r="AH53" s="207">
        <f>'Energy margins'!$AE$67</f>
        <v>170</v>
      </c>
      <c r="AI53" s="207">
        <f t="shared" si="87"/>
        <v>538.78200000000004</v>
      </c>
      <c r="AJ53" s="207">
        <f t="shared" si="73"/>
        <v>357.71799999999996</v>
      </c>
      <c r="AK53" s="207">
        <f t="shared" si="74"/>
        <v>577.71799999999996</v>
      </c>
      <c r="AL53" s="208">
        <f t="shared" si="88"/>
        <v>374.07812694941191</v>
      </c>
      <c r="AM53" s="207">
        <f t="shared" si="89"/>
        <v>91.79831336181887</v>
      </c>
      <c r="AN53" s="207">
        <f t="shared" si="90"/>
        <v>224.81490395321592</v>
      </c>
      <c r="AO53" s="207">
        <f t="shared" si="91"/>
        <v>149.26322299619602</v>
      </c>
      <c r="AP53" s="209">
        <f t="shared" si="92"/>
        <v>241.06153635801488</v>
      </c>
      <c r="AQ53" s="208">
        <f t="shared" si="132"/>
        <v>8272.1974845176792</v>
      </c>
      <c r="AR53" s="207">
        <f t="shared" si="93"/>
        <v>2356.6947773030165</v>
      </c>
      <c r="AS53" s="207">
        <f t="shared" si="93"/>
        <v>5940.0958858172598</v>
      </c>
      <c r="AT53" s="207">
        <f t="shared" si="93"/>
        <v>2332.1015987004193</v>
      </c>
      <c r="AU53" s="209">
        <f t="shared" si="93"/>
        <v>4688.7963760034354</v>
      </c>
      <c r="AV53" s="197"/>
      <c r="AX53" s="206">
        <f t="shared" si="133"/>
        <v>16</v>
      </c>
      <c r="AY53" s="207">
        <f>'Energy NPV'!$D106</f>
        <v>16.3</v>
      </c>
      <c r="AZ53" s="207">
        <f>'Energy margins'!$Z$12</f>
        <v>55</v>
      </c>
      <c r="BA53" s="207">
        <f t="shared" si="134"/>
        <v>896.5</v>
      </c>
      <c r="BB53" s="207">
        <f>'Margins summary'!$W$14</f>
        <v>220</v>
      </c>
      <c r="BC53" s="207">
        <f t="shared" si="94"/>
        <v>1116.5</v>
      </c>
      <c r="BD53" s="207"/>
      <c r="BE53" s="897">
        <f>'Energy NPV'!U106</f>
        <v>368.78200000000004</v>
      </c>
      <c r="BF53" s="207">
        <f>'Energy margins'!$AE$67</f>
        <v>170</v>
      </c>
      <c r="BG53" s="207">
        <f t="shared" si="95"/>
        <v>538.78200000000004</v>
      </c>
      <c r="BH53" s="207">
        <f t="shared" si="75"/>
        <v>357.71799999999996</v>
      </c>
      <c r="BI53" s="207">
        <f t="shared" si="76"/>
        <v>577.71799999999996</v>
      </c>
      <c r="BJ53" s="208">
        <f t="shared" si="96"/>
        <v>666.11270543470755</v>
      </c>
      <c r="BK53" s="207">
        <f t="shared" si="97"/>
        <v>163.46324059747425</v>
      </c>
      <c r="BL53" s="207">
        <f t="shared" si="98"/>
        <v>400.32296225267442</v>
      </c>
      <c r="BM53" s="207">
        <f t="shared" si="99"/>
        <v>265.78974318203313</v>
      </c>
      <c r="BN53" s="209">
        <f t="shared" si="100"/>
        <v>429.25298377950736</v>
      </c>
      <c r="BO53" s="208">
        <f t="shared" si="135"/>
        <v>11062.112175827537</v>
      </c>
      <c r="BP53" s="207">
        <f t="shared" si="101"/>
        <v>3046.8379701262907</v>
      </c>
      <c r="BQ53" s="207">
        <f t="shared" si="102"/>
        <v>7169.7629074009647</v>
      </c>
      <c r="BR53" s="207">
        <f t="shared" si="103"/>
        <v>3892.3492684265721</v>
      </c>
      <c r="BS53" s="209">
        <f t="shared" si="104"/>
        <v>6939.1872385528623</v>
      </c>
      <c r="BT53" s="197"/>
      <c r="BV53" s="206">
        <f t="shared" si="136"/>
        <v>16</v>
      </c>
      <c r="BW53" s="207">
        <f>'Energy NPV'!$D106</f>
        <v>16.3</v>
      </c>
      <c r="BX53" s="207">
        <f>'Energy margins'!$Z$12</f>
        <v>55</v>
      </c>
      <c r="BY53" s="207">
        <f t="shared" si="137"/>
        <v>896.5</v>
      </c>
      <c r="BZ53" s="207">
        <f>'Margins summary'!$W$14</f>
        <v>220</v>
      </c>
      <c r="CA53" s="207">
        <f t="shared" si="105"/>
        <v>1116.5</v>
      </c>
      <c r="CB53" s="207"/>
      <c r="CC53" s="898">
        <f>'Energy NPV'!U106</f>
        <v>368.78200000000004</v>
      </c>
      <c r="CD53" s="207">
        <f>'Energy margins'!$AE$67</f>
        <v>170</v>
      </c>
      <c r="CE53" s="207">
        <f t="shared" si="106"/>
        <v>538.78200000000004</v>
      </c>
      <c r="CF53" s="207">
        <f t="shared" si="77"/>
        <v>357.71799999999996</v>
      </c>
      <c r="CG53" s="207">
        <f t="shared" si="78"/>
        <v>577.71799999999996</v>
      </c>
      <c r="CH53" s="208">
        <f t="shared" si="107"/>
        <v>282.61418850192035</v>
      </c>
      <c r="CI53" s="207">
        <f t="shared" si="108"/>
        <v>69.353175092495789</v>
      </c>
      <c r="CJ53" s="207">
        <f t="shared" si="109"/>
        <v>169.84655628493215</v>
      </c>
      <c r="CK53" s="207">
        <f t="shared" si="110"/>
        <v>112.76763221698822</v>
      </c>
      <c r="CL53" s="209">
        <f t="shared" si="111"/>
        <v>182.12080730948401</v>
      </c>
      <c r="CM53" s="208">
        <f t="shared" si="138"/>
        <v>7249.1573276325771</v>
      </c>
      <c r="CN53" s="207">
        <f t="shared" si="112"/>
        <v>2103.0853113438015</v>
      </c>
      <c r="CO53" s="207">
        <f t="shared" si="113"/>
        <v>5489.5603834777257</v>
      </c>
      <c r="CP53" s="207">
        <f t="shared" si="114"/>
        <v>1759.5969441548516</v>
      </c>
      <c r="CQ53" s="209">
        <f t="shared" si="115"/>
        <v>3862.6822554986529</v>
      </c>
      <c r="CR53" s="197"/>
      <c r="CT53" s="206">
        <f t="shared" si="139"/>
        <v>16</v>
      </c>
      <c r="CU53" s="207">
        <f>'Energy NPV'!$D106</f>
        <v>16.3</v>
      </c>
      <c r="CV53" s="207">
        <f>'Energy margins'!$Z$12</f>
        <v>55</v>
      </c>
      <c r="CW53" s="207">
        <f t="shared" si="140"/>
        <v>896.5</v>
      </c>
      <c r="CX53" s="207">
        <f>'Margins summary'!$W$14</f>
        <v>220</v>
      </c>
      <c r="CY53" s="207">
        <f t="shared" si="116"/>
        <v>1116.5</v>
      </c>
      <c r="CZ53" s="207"/>
      <c r="DA53" s="898">
        <f>'Energy NPV'!U106</f>
        <v>368.78200000000004</v>
      </c>
      <c r="DB53" s="207">
        <f>'Energy margins'!$AE$67</f>
        <v>170</v>
      </c>
      <c r="DC53" s="207">
        <f t="shared" si="117"/>
        <v>538.78200000000004</v>
      </c>
      <c r="DD53" s="207">
        <f t="shared" si="79"/>
        <v>357.71799999999996</v>
      </c>
      <c r="DE53" s="207">
        <f t="shared" si="80"/>
        <v>577.71799999999996</v>
      </c>
      <c r="DF53" s="208">
        <f t="shared" si="118"/>
        <v>896.5</v>
      </c>
      <c r="DG53" s="207">
        <f t="shared" si="119"/>
        <v>220</v>
      </c>
      <c r="DH53" s="207">
        <f t="shared" si="120"/>
        <v>538.78200000000004</v>
      </c>
      <c r="DI53" s="207">
        <f t="shared" si="121"/>
        <v>357.71799999999996</v>
      </c>
      <c r="DJ53" s="209">
        <f t="shared" si="122"/>
        <v>577.71799999999996</v>
      </c>
      <c r="DK53" s="208">
        <f t="shared" si="141"/>
        <v>12978.166666666668</v>
      </c>
      <c r="DL53" s="207">
        <f t="shared" si="123"/>
        <v>3520</v>
      </c>
      <c r="DM53" s="207">
        <f t="shared" si="124"/>
        <v>8016.0120000000015</v>
      </c>
      <c r="DN53" s="207">
        <f t="shared" si="125"/>
        <v>4962.1546666666663</v>
      </c>
      <c r="DO53" s="209">
        <f t="shared" si="126"/>
        <v>8482.1546666666654</v>
      </c>
    </row>
    <row r="59" spans="2:129" x14ac:dyDescent="0.3">
      <c r="B59" s="211" t="s">
        <v>303</v>
      </c>
      <c r="C59" s="750" t="s">
        <v>433</v>
      </c>
      <c r="D59" s="269" t="s">
        <v>418</v>
      </c>
      <c r="AB59" s="211" t="s">
        <v>303</v>
      </c>
      <c r="AC59" s="750" t="s">
        <v>434</v>
      </c>
      <c r="AD59" s="269" t="s">
        <v>418</v>
      </c>
      <c r="BB59" s="211" t="s">
        <v>303</v>
      </c>
      <c r="BC59" s="750" t="s">
        <v>435</v>
      </c>
      <c r="BD59" s="269" t="s">
        <v>418</v>
      </c>
      <c r="CB59" s="211" t="s">
        <v>303</v>
      </c>
      <c r="CC59" s="750" t="s">
        <v>436</v>
      </c>
      <c r="CD59" s="269" t="s">
        <v>418</v>
      </c>
      <c r="DB59" s="211" t="s">
        <v>303</v>
      </c>
      <c r="DC59" s="750" t="s">
        <v>437</v>
      </c>
      <c r="DD59" s="269" t="s">
        <v>418</v>
      </c>
    </row>
    <row r="60" spans="2:129" x14ac:dyDescent="0.3">
      <c r="B60" s="203"/>
      <c r="C60" s="103"/>
      <c r="D60" s="158"/>
      <c r="E60" s="158"/>
      <c r="F60" s="158"/>
      <c r="G60" s="158"/>
      <c r="H60" s="745"/>
      <c r="I60" s="745"/>
      <c r="J60" s="745"/>
      <c r="K60" s="148"/>
      <c r="L60" s="148"/>
      <c r="M60" s="745"/>
      <c r="N60" s="148"/>
      <c r="O60" s="148"/>
      <c r="P60" s="998" t="s">
        <v>279</v>
      </c>
      <c r="Q60" s="999"/>
      <c r="R60" s="999"/>
      <c r="S60" s="999"/>
      <c r="T60" s="1000"/>
      <c r="U60" s="998" t="s">
        <v>280</v>
      </c>
      <c r="V60" s="999"/>
      <c r="W60" s="999"/>
      <c r="X60" s="999"/>
      <c r="Y60" s="1000"/>
      <c r="Z60" s="984"/>
      <c r="AB60" s="203"/>
      <c r="AC60" s="103"/>
      <c r="AD60" s="158"/>
      <c r="AE60" s="158"/>
      <c r="AF60" s="158"/>
      <c r="AG60" s="158"/>
      <c r="AH60" s="745"/>
      <c r="AI60" s="745"/>
      <c r="AJ60" s="745"/>
      <c r="AK60" s="148"/>
      <c r="AL60" s="148"/>
      <c r="AM60" s="745"/>
      <c r="AN60" s="148"/>
      <c r="AO60" s="148"/>
      <c r="AP60" s="998" t="s">
        <v>279</v>
      </c>
      <c r="AQ60" s="999"/>
      <c r="AR60" s="999"/>
      <c r="AS60" s="999"/>
      <c r="AT60" s="1000"/>
      <c r="AU60" s="998" t="s">
        <v>280</v>
      </c>
      <c r="AV60" s="999"/>
      <c r="AW60" s="999"/>
      <c r="AX60" s="999"/>
      <c r="AY60" s="1000"/>
      <c r="BB60" s="203"/>
      <c r="BC60" s="103"/>
      <c r="BD60" s="158"/>
      <c r="BE60" s="158"/>
      <c r="BF60" s="158"/>
      <c r="BG60" s="158"/>
      <c r="BH60" s="745"/>
      <c r="BI60" s="745"/>
      <c r="BJ60" s="745"/>
      <c r="BK60" s="148"/>
      <c r="BL60" s="148"/>
      <c r="BM60" s="745"/>
      <c r="BN60" s="148"/>
      <c r="BO60" s="148"/>
      <c r="BP60" s="998" t="s">
        <v>279</v>
      </c>
      <c r="BQ60" s="999"/>
      <c r="BR60" s="999"/>
      <c r="BS60" s="999"/>
      <c r="BT60" s="1000"/>
      <c r="BU60" s="998" t="s">
        <v>280</v>
      </c>
      <c r="BV60" s="999"/>
      <c r="BW60" s="999"/>
      <c r="BX60" s="999"/>
      <c r="BY60" s="1000"/>
      <c r="CB60" s="203"/>
      <c r="CC60" s="103"/>
      <c r="CD60" s="158"/>
      <c r="CE60" s="158"/>
      <c r="CF60" s="158"/>
      <c r="CG60" s="158"/>
      <c r="CH60" s="745"/>
      <c r="CI60" s="745"/>
      <c r="CJ60" s="745"/>
      <c r="CK60" s="148"/>
      <c r="CL60" s="148"/>
      <c r="CM60" s="745"/>
      <c r="CN60" s="148"/>
      <c r="CO60" s="148"/>
      <c r="CP60" s="998" t="s">
        <v>279</v>
      </c>
      <c r="CQ60" s="999"/>
      <c r="CR60" s="999"/>
      <c r="CS60" s="999"/>
      <c r="CT60" s="1000"/>
      <c r="CU60" s="998" t="s">
        <v>280</v>
      </c>
      <c r="CV60" s="999"/>
      <c r="CW60" s="999"/>
      <c r="CX60" s="999"/>
      <c r="CY60" s="1000"/>
      <c r="DB60" s="203"/>
      <c r="DC60" s="64"/>
      <c r="DE60" s="158"/>
      <c r="DF60" s="158"/>
      <c r="DG60" s="158"/>
      <c r="DH60" s="745"/>
      <c r="DI60" s="745"/>
      <c r="DJ60" s="745"/>
      <c r="DK60" s="148"/>
      <c r="DL60" s="148"/>
      <c r="DM60" s="745"/>
      <c r="DN60" s="148"/>
      <c r="DO60" s="148"/>
      <c r="DP60" s="998" t="s">
        <v>279</v>
      </c>
      <c r="DQ60" s="999"/>
      <c r="DR60" s="999"/>
      <c r="DS60" s="999"/>
      <c r="DT60" s="1000"/>
      <c r="DU60" s="998" t="s">
        <v>280</v>
      </c>
      <c r="DV60" s="999"/>
      <c r="DW60" s="999"/>
      <c r="DX60" s="999"/>
      <c r="DY60" s="1000"/>
    </row>
    <row r="61" spans="2:129" ht="51" x14ac:dyDescent="0.3">
      <c r="B61" s="204" t="s">
        <v>281</v>
      </c>
      <c r="C61" s="204" t="s">
        <v>282</v>
      </c>
      <c r="D61" s="205" t="s">
        <v>307</v>
      </c>
      <c r="E61" s="205" t="s">
        <v>308</v>
      </c>
      <c r="F61" s="205" t="s">
        <v>652</v>
      </c>
      <c r="G61" s="205" t="s">
        <v>653</v>
      </c>
      <c r="H61" s="171" t="s">
        <v>283</v>
      </c>
      <c r="I61" s="171" t="s">
        <v>10</v>
      </c>
      <c r="J61" s="171" t="s">
        <v>284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287</v>
      </c>
      <c r="N61" s="171" t="s">
        <v>288</v>
      </c>
      <c r="O61" s="171" t="s">
        <v>289</v>
      </c>
      <c r="P61" s="195" t="s">
        <v>290</v>
      </c>
      <c r="Q61" s="171" t="s">
        <v>291</v>
      </c>
      <c r="R61" s="171" t="s">
        <v>292</v>
      </c>
      <c r="S61" s="171" t="s">
        <v>293</v>
      </c>
      <c r="T61" s="198" t="s">
        <v>294</v>
      </c>
      <c r="U61" s="195" t="s">
        <v>295</v>
      </c>
      <c r="V61" s="171" t="s">
        <v>296</v>
      </c>
      <c r="W61" s="171" t="s">
        <v>297</v>
      </c>
      <c r="X61" s="171" t="s">
        <v>298</v>
      </c>
      <c r="Y61" s="198" t="s">
        <v>299</v>
      </c>
      <c r="Z61" s="171"/>
      <c r="AB61" s="204" t="s">
        <v>281</v>
      </c>
      <c r="AC61" s="204" t="s">
        <v>282</v>
      </c>
      <c r="AD61" s="205" t="s">
        <v>307</v>
      </c>
      <c r="AE61" s="205" t="s">
        <v>308</v>
      </c>
      <c r="AF61" s="205" t="s">
        <v>652</v>
      </c>
      <c r="AG61" s="205" t="s">
        <v>653</v>
      </c>
      <c r="AH61" s="171" t="s">
        <v>283</v>
      </c>
      <c r="AI61" s="171" t="s">
        <v>10</v>
      </c>
      <c r="AJ61" s="171" t="s">
        <v>284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287</v>
      </c>
      <c r="AN61" s="171" t="s">
        <v>288</v>
      </c>
      <c r="AO61" s="171" t="s">
        <v>289</v>
      </c>
      <c r="AP61" s="195" t="s">
        <v>290</v>
      </c>
      <c r="AQ61" s="171" t="s">
        <v>291</v>
      </c>
      <c r="AR61" s="171" t="s">
        <v>292</v>
      </c>
      <c r="AS61" s="171" t="s">
        <v>293</v>
      </c>
      <c r="AT61" s="198" t="s">
        <v>294</v>
      </c>
      <c r="AU61" s="195" t="s">
        <v>295</v>
      </c>
      <c r="AV61" s="171" t="s">
        <v>296</v>
      </c>
      <c r="AW61" s="171" t="s">
        <v>297</v>
      </c>
      <c r="AX61" s="171" t="s">
        <v>298</v>
      </c>
      <c r="AY61" s="198" t="s">
        <v>299</v>
      </c>
      <c r="BB61" s="204" t="s">
        <v>281</v>
      </c>
      <c r="BC61" s="204" t="s">
        <v>282</v>
      </c>
      <c r="BD61" s="205" t="s">
        <v>307</v>
      </c>
      <c r="BE61" s="205" t="s">
        <v>308</v>
      </c>
      <c r="BF61" s="205" t="s">
        <v>652</v>
      </c>
      <c r="BG61" s="205" t="s">
        <v>653</v>
      </c>
      <c r="BH61" s="171" t="s">
        <v>283</v>
      </c>
      <c r="BI61" s="171" t="s">
        <v>10</v>
      </c>
      <c r="BJ61" s="171" t="s">
        <v>284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287</v>
      </c>
      <c r="BN61" s="171" t="s">
        <v>288</v>
      </c>
      <c r="BO61" s="171" t="s">
        <v>289</v>
      </c>
      <c r="BP61" s="195" t="s">
        <v>290</v>
      </c>
      <c r="BQ61" s="171" t="s">
        <v>291</v>
      </c>
      <c r="BR61" s="171" t="s">
        <v>292</v>
      </c>
      <c r="BS61" s="171" t="s">
        <v>293</v>
      </c>
      <c r="BT61" s="198" t="s">
        <v>294</v>
      </c>
      <c r="BU61" s="195" t="s">
        <v>295</v>
      </c>
      <c r="BV61" s="171" t="s">
        <v>296</v>
      </c>
      <c r="BW61" s="171" t="s">
        <v>297</v>
      </c>
      <c r="BX61" s="171" t="s">
        <v>298</v>
      </c>
      <c r="BY61" s="198" t="s">
        <v>299</v>
      </c>
      <c r="CB61" s="204" t="s">
        <v>281</v>
      </c>
      <c r="CC61" s="204" t="s">
        <v>282</v>
      </c>
      <c r="CD61" s="205" t="s">
        <v>307</v>
      </c>
      <c r="CE61" s="205" t="s">
        <v>308</v>
      </c>
      <c r="CF61" s="205" t="s">
        <v>652</v>
      </c>
      <c r="CG61" s="205" t="s">
        <v>653</v>
      </c>
      <c r="CH61" s="171" t="s">
        <v>283</v>
      </c>
      <c r="CI61" s="171" t="s">
        <v>10</v>
      </c>
      <c r="CJ61" s="171" t="s">
        <v>284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287</v>
      </c>
      <c r="CN61" s="171" t="s">
        <v>288</v>
      </c>
      <c r="CO61" s="171" t="s">
        <v>289</v>
      </c>
      <c r="CP61" s="195" t="s">
        <v>290</v>
      </c>
      <c r="CQ61" s="171" t="s">
        <v>291</v>
      </c>
      <c r="CR61" s="171" t="s">
        <v>292</v>
      </c>
      <c r="CS61" s="171" t="s">
        <v>293</v>
      </c>
      <c r="CT61" s="198" t="s">
        <v>294</v>
      </c>
      <c r="CU61" s="195" t="s">
        <v>295</v>
      </c>
      <c r="CV61" s="171" t="s">
        <v>296</v>
      </c>
      <c r="CW61" s="171" t="s">
        <v>297</v>
      </c>
      <c r="CX61" s="171" t="s">
        <v>298</v>
      </c>
      <c r="CY61" s="198" t="s">
        <v>299</v>
      </c>
      <c r="DB61" s="204" t="s">
        <v>281</v>
      </c>
      <c r="DC61" s="204" t="s">
        <v>282</v>
      </c>
      <c r="DD61" s="205" t="s">
        <v>307</v>
      </c>
      <c r="DE61" s="205" t="s">
        <v>308</v>
      </c>
      <c r="DF61" s="205" t="s">
        <v>652</v>
      </c>
      <c r="DG61" s="205" t="s">
        <v>653</v>
      </c>
      <c r="DH61" s="171" t="s">
        <v>283</v>
      </c>
      <c r="DI61" s="171" t="s">
        <v>10</v>
      </c>
      <c r="DJ61" s="171" t="s">
        <v>284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287</v>
      </c>
      <c r="DN61" s="171" t="s">
        <v>288</v>
      </c>
      <c r="DO61" s="171" t="s">
        <v>289</v>
      </c>
      <c r="DP61" s="195" t="s">
        <v>290</v>
      </c>
      <c r="DQ61" s="171" t="s">
        <v>291</v>
      </c>
      <c r="DR61" s="171" t="s">
        <v>292</v>
      </c>
      <c r="DS61" s="171" t="s">
        <v>293</v>
      </c>
      <c r="DT61" s="198" t="s">
        <v>294</v>
      </c>
      <c r="DU61" s="195" t="s">
        <v>295</v>
      </c>
      <c r="DV61" s="171" t="s">
        <v>296</v>
      </c>
      <c r="DW61" s="171" t="s">
        <v>297</v>
      </c>
      <c r="DX61" s="171" t="s">
        <v>298</v>
      </c>
      <c r="DY61" s="198" t="s">
        <v>299</v>
      </c>
    </row>
    <row r="62" spans="2:129" x14ac:dyDescent="0.3">
      <c r="B62" s="173"/>
      <c r="C62" s="55"/>
      <c r="D62" s="226" t="s">
        <v>356</v>
      </c>
      <c r="E62" s="226" t="s">
        <v>476</v>
      </c>
      <c r="F62" s="226" t="s">
        <v>356</v>
      </c>
      <c r="G62" s="226" t="s">
        <v>476</v>
      </c>
      <c r="H62" s="201" t="s">
        <v>474</v>
      </c>
      <c r="I62" s="201" t="s">
        <v>474</v>
      </c>
      <c r="J62" s="201" t="s">
        <v>474</v>
      </c>
      <c r="K62" s="201" t="s">
        <v>474</v>
      </c>
      <c r="L62" s="201" t="s">
        <v>474</v>
      </c>
      <c r="M62" s="201" t="s">
        <v>474</v>
      </c>
      <c r="N62" s="201" t="s">
        <v>474</v>
      </c>
      <c r="O62" s="202" t="s">
        <v>474</v>
      </c>
      <c r="P62" s="201" t="s">
        <v>474</v>
      </c>
      <c r="Q62" s="201" t="s">
        <v>474</v>
      </c>
      <c r="R62" s="201" t="s">
        <v>474</v>
      </c>
      <c r="S62" s="201" t="s">
        <v>474</v>
      </c>
      <c r="T62" s="202" t="s">
        <v>474</v>
      </c>
      <c r="U62" s="201" t="s">
        <v>474</v>
      </c>
      <c r="V62" s="201" t="s">
        <v>474</v>
      </c>
      <c r="W62" s="201" t="s">
        <v>474</v>
      </c>
      <c r="X62" s="201" t="s">
        <v>474</v>
      </c>
      <c r="Y62" s="202" t="s">
        <v>474</v>
      </c>
      <c r="Z62" s="985"/>
      <c r="AB62" s="173"/>
      <c r="AC62" s="55"/>
      <c r="AD62" s="226" t="s">
        <v>356</v>
      </c>
      <c r="AE62" s="226" t="s">
        <v>476</v>
      </c>
      <c r="AF62" s="226" t="s">
        <v>356</v>
      </c>
      <c r="AG62" s="226" t="s">
        <v>476</v>
      </c>
      <c r="AH62" s="201" t="s">
        <v>474</v>
      </c>
      <c r="AI62" s="201" t="s">
        <v>474</v>
      </c>
      <c r="AJ62" s="201" t="s">
        <v>474</v>
      </c>
      <c r="AK62" s="201" t="s">
        <v>474</v>
      </c>
      <c r="AL62" s="201" t="s">
        <v>474</v>
      </c>
      <c r="AM62" s="201" t="s">
        <v>474</v>
      </c>
      <c r="AN62" s="201" t="s">
        <v>474</v>
      </c>
      <c r="AO62" s="202" t="s">
        <v>474</v>
      </c>
      <c r="AP62" s="201" t="s">
        <v>474</v>
      </c>
      <c r="AQ62" s="201" t="s">
        <v>474</v>
      </c>
      <c r="AR62" s="201" t="s">
        <v>474</v>
      </c>
      <c r="AS62" s="201" t="s">
        <v>474</v>
      </c>
      <c r="AT62" s="202" t="s">
        <v>474</v>
      </c>
      <c r="AU62" s="201" t="s">
        <v>474</v>
      </c>
      <c r="AV62" s="201" t="s">
        <v>474</v>
      </c>
      <c r="AW62" s="201" t="s">
        <v>474</v>
      </c>
      <c r="AX62" s="201" t="s">
        <v>474</v>
      </c>
      <c r="AY62" s="202" t="s">
        <v>474</v>
      </c>
      <c r="BB62" s="173"/>
      <c r="BC62" s="55"/>
      <c r="BD62" s="226" t="s">
        <v>356</v>
      </c>
      <c r="BE62" s="226" t="s">
        <v>476</v>
      </c>
      <c r="BF62" s="226" t="s">
        <v>356</v>
      </c>
      <c r="BG62" s="226" t="s">
        <v>476</v>
      </c>
      <c r="BH62" s="201" t="s">
        <v>474</v>
      </c>
      <c r="BI62" s="201" t="s">
        <v>474</v>
      </c>
      <c r="BJ62" s="201" t="s">
        <v>474</v>
      </c>
      <c r="BK62" s="201" t="s">
        <v>474</v>
      </c>
      <c r="BL62" s="201" t="s">
        <v>474</v>
      </c>
      <c r="BM62" s="201" t="s">
        <v>474</v>
      </c>
      <c r="BN62" s="201" t="s">
        <v>474</v>
      </c>
      <c r="BO62" s="202" t="s">
        <v>474</v>
      </c>
      <c r="BP62" s="201" t="s">
        <v>474</v>
      </c>
      <c r="BQ62" s="201" t="s">
        <v>474</v>
      </c>
      <c r="BR62" s="201" t="s">
        <v>474</v>
      </c>
      <c r="BS62" s="201" t="s">
        <v>474</v>
      </c>
      <c r="BT62" s="202" t="s">
        <v>474</v>
      </c>
      <c r="BU62" s="201" t="s">
        <v>474</v>
      </c>
      <c r="BV62" s="201" t="s">
        <v>474</v>
      </c>
      <c r="BW62" s="201" t="s">
        <v>474</v>
      </c>
      <c r="BX62" s="201" t="s">
        <v>474</v>
      </c>
      <c r="BY62" s="202" t="s">
        <v>474</v>
      </c>
      <c r="CB62" s="173"/>
      <c r="CC62" s="55"/>
      <c r="CD62" s="226" t="s">
        <v>356</v>
      </c>
      <c r="CE62" s="226" t="s">
        <v>476</v>
      </c>
      <c r="CF62" s="226" t="s">
        <v>356</v>
      </c>
      <c r="CG62" s="226" t="s">
        <v>476</v>
      </c>
      <c r="CH62" s="201" t="s">
        <v>474</v>
      </c>
      <c r="CI62" s="201" t="s">
        <v>474</v>
      </c>
      <c r="CJ62" s="201" t="s">
        <v>474</v>
      </c>
      <c r="CK62" s="201" t="s">
        <v>474</v>
      </c>
      <c r="CL62" s="201" t="s">
        <v>474</v>
      </c>
      <c r="CM62" s="201" t="s">
        <v>474</v>
      </c>
      <c r="CN62" s="201" t="s">
        <v>474</v>
      </c>
      <c r="CO62" s="202" t="s">
        <v>474</v>
      </c>
      <c r="CP62" s="201" t="s">
        <v>474</v>
      </c>
      <c r="CQ62" s="201" t="s">
        <v>474</v>
      </c>
      <c r="CR62" s="201" t="s">
        <v>474</v>
      </c>
      <c r="CS62" s="201" t="s">
        <v>474</v>
      </c>
      <c r="CT62" s="202" t="s">
        <v>474</v>
      </c>
      <c r="CU62" s="201" t="s">
        <v>474</v>
      </c>
      <c r="CV62" s="201" t="s">
        <v>474</v>
      </c>
      <c r="CW62" s="201" t="s">
        <v>474</v>
      </c>
      <c r="CX62" s="201" t="s">
        <v>474</v>
      </c>
      <c r="CY62" s="202" t="s">
        <v>474</v>
      </c>
      <c r="DB62" s="173"/>
      <c r="DC62" s="55"/>
      <c r="DD62" s="226" t="s">
        <v>356</v>
      </c>
      <c r="DE62" s="226" t="s">
        <v>476</v>
      </c>
      <c r="DF62" s="226" t="s">
        <v>356</v>
      </c>
      <c r="DG62" s="226" t="s">
        <v>476</v>
      </c>
      <c r="DH62" s="201" t="s">
        <v>474</v>
      </c>
      <c r="DI62" s="201" t="s">
        <v>474</v>
      </c>
      <c r="DJ62" s="201" t="s">
        <v>474</v>
      </c>
      <c r="DK62" s="201" t="s">
        <v>474</v>
      </c>
      <c r="DL62" s="201" t="s">
        <v>474</v>
      </c>
      <c r="DM62" s="201" t="s">
        <v>474</v>
      </c>
      <c r="DN62" s="201" t="s">
        <v>474</v>
      </c>
      <c r="DO62" s="202" t="s">
        <v>474</v>
      </c>
      <c r="DP62" s="201" t="s">
        <v>474</v>
      </c>
      <c r="DQ62" s="201" t="s">
        <v>474</v>
      </c>
      <c r="DR62" s="201" t="s">
        <v>474</v>
      </c>
      <c r="DS62" s="201" t="s">
        <v>474</v>
      </c>
      <c r="DT62" s="202" t="s">
        <v>474</v>
      </c>
      <c r="DU62" s="201" t="s">
        <v>474</v>
      </c>
      <c r="DV62" s="201" t="s">
        <v>474</v>
      </c>
      <c r="DW62" s="201" t="s">
        <v>474</v>
      </c>
      <c r="DX62" s="201" t="s">
        <v>474</v>
      </c>
      <c r="DY62" s="202" t="s">
        <v>474</v>
      </c>
    </row>
    <row r="63" spans="2:129" x14ac:dyDescent="0.3">
      <c r="B63" s="204">
        <v>1</v>
      </c>
      <c r="C63" s="219" t="s">
        <v>4</v>
      </c>
      <c r="D63" s="747">
        <f>'Arable Inputs'!$D$18</f>
        <v>8.25</v>
      </c>
      <c r="E63" s="747">
        <f>'Arable Inputs'!$D$25</f>
        <v>162</v>
      </c>
      <c r="F63" s="747">
        <f>'Arable Inputs'!$D$19</f>
        <v>3.9</v>
      </c>
      <c r="G63" s="747">
        <f>'Arable Inputs'!$D$26</f>
        <v>65</v>
      </c>
      <c r="H63" s="749">
        <f>D63*E63+F63*G63</f>
        <v>1590</v>
      </c>
      <c r="I63" s="197">
        <f>'Arable NPV'!$E143</f>
        <v>220</v>
      </c>
      <c r="J63" s="197">
        <f>H63+I63</f>
        <v>1810</v>
      </c>
      <c r="K63" s="197">
        <f>'Arable NPV'!$G143</f>
        <v>684.46423508399835</v>
      </c>
      <c r="L63" s="197">
        <f>'Arable NPV'!$H143</f>
        <v>841.31999999999994</v>
      </c>
      <c r="M63" s="197">
        <f>K63+L63</f>
        <v>1525.7842350839983</v>
      </c>
      <c r="N63" s="197">
        <f>H63-M63</f>
        <v>64.215764916001717</v>
      </c>
      <c r="O63" s="197">
        <f>J63-M63</f>
        <v>284.21576491600172</v>
      </c>
      <c r="P63" s="1016">
        <f t="shared" ref="P63:P78" si="142">H63/(1+$B$4)^(B63-1)</f>
        <v>1590</v>
      </c>
      <c r="Q63" s="213">
        <f t="shared" ref="Q63:Q78" si="143">I63/(1+$B$4)^(B63-1)</f>
        <v>220</v>
      </c>
      <c r="R63" s="213">
        <f t="shared" ref="R63:R78" si="144">M63/(1+$B$4)^(B63-1)</f>
        <v>1525.7842350839983</v>
      </c>
      <c r="S63" s="213">
        <f t="shared" ref="S63:S78" si="145">N63/(1+$B$4)^(B63-1)</f>
        <v>64.215764916001717</v>
      </c>
      <c r="T63" s="908">
        <f t="shared" ref="T63:T78" si="146">O63/(1+$B$4)^(B63-1)</f>
        <v>284.21576491600172</v>
      </c>
      <c r="U63" s="196">
        <f>P63</f>
        <v>1590</v>
      </c>
      <c r="V63" s="197">
        <f>Q63</f>
        <v>220</v>
      </c>
      <c r="W63" s="197">
        <f>R63</f>
        <v>1525.7842350839983</v>
      </c>
      <c r="X63" s="197">
        <f>S63</f>
        <v>64.215764916001717</v>
      </c>
      <c r="Y63" s="199">
        <f>T63</f>
        <v>284.21576491600172</v>
      </c>
      <c r="Z63" s="197"/>
      <c r="AB63" s="204">
        <v>1</v>
      </c>
      <c r="AC63" s="219" t="s">
        <v>4</v>
      </c>
      <c r="AD63" s="747">
        <f>'Arable Inputs'!$D$18</f>
        <v>8.25</v>
      </c>
      <c r="AE63" s="747">
        <f>'Arable Inputs'!$D$25</f>
        <v>162</v>
      </c>
      <c r="AF63" s="747">
        <f>'Arable Inputs'!$D$19</f>
        <v>3.9</v>
      </c>
      <c r="AG63" s="747">
        <f>'Arable Inputs'!$D$26</f>
        <v>65</v>
      </c>
      <c r="AH63" s="749">
        <f>AD63*AE63+AF63*AG63</f>
        <v>1590</v>
      </c>
      <c r="AI63" s="197">
        <f>'Arable NPV'!$E143</f>
        <v>220</v>
      </c>
      <c r="AJ63" s="197">
        <f>AH63+AI63</f>
        <v>1810</v>
      </c>
      <c r="AK63" s="197">
        <f>'Arable NPV'!$G143</f>
        <v>684.46423508399835</v>
      </c>
      <c r="AL63" s="197">
        <f>'Arable NPV'!$H143</f>
        <v>841.31999999999994</v>
      </c>
      <c r="AM63" s="197">
        <f>AK63+AL63</f>
        <v>1525.7842350839983</v>
      </c>
      <c r="AN63" s="197">
        <f>AH63-AM63</f>
        <v>64.215764916001717</v>
      </c>
      <c r="AO63" s="197">
        <f>AJ63-AM63</f>
        <v>284.21576491600172</v>
      </c>
      <c r="AP63" s="1016">
        <f>AH63/(1+$C$4)^(AB63-1)</f>
        <v>1590</v>
      </c>
      <c r="AQ63" s="213">
        <f>AI63/(1+$C$4)^(AB63-1)</f>
        <v>220</v>
      </c>
      <c r="AR63" s="213">
        <f>AM63/(1+$C$4)^(AB63-1)</f>
        <v>1525.7842350839983</v>
      </c>
      <c r="AS63" s="213">
        <f>AN63/(1+$C$4)^(AB63-1)</f>
        <v>64.215764916001717</v>
      </c>
      <c r="AT63" s="908">
        <f>AO63/(1+$C$4)^(AB63-1)</f>
        <v>284.21576491600172</v>
      </c>
      <c r="AU63" s="196">
        <f>AP63</f>
        <v>1590</v>
      </c>
      <c r="AV63" s="197">
        <f>AQ63</f>
        <v>220</v>
      </c>
      <c r="AW63" s="197">
        <f>AR63</f>
        <v>1525.7842350839983</v>
      </c>
      <c r="AX63" s="197">
        <f>AS63</f>
        <v>64.215764916001717</v>
      </c>
      <c r="AY63" s="199">
        <f>AT63</f>
        <v>284.21576491600172</v>
      </c>
      <c r="BB63" s="204">
        <v>1</v>
      </c>
      <c r="BC63" s="219" t="s">
        <v>4</v>
      </c>
      <c r="BD63" s="747">
        <f>'Arable Inputs'!$D$18</f>
        <v>8.25</v>
      </c>
      <c r="BE63" s="747">
        <f>'Arable Inputs'!$D$25</f>
        <v>162</v>
      </c>
      <c r="BF63" s="747">
        <f>'Arable Inputs'!$D$19</f>
        <v>3.9</v>
      </c>
      <c r="BG63" s="747">
        <f>'Arable Inputs'!$D$26</f>
        <v>65</v>
      </c>
      <c r="BH63" s="749">
        <f>BD63*BE63+BF63*BG63</f>
        <v>1590</v>
      </c>
      <c r="BI63" s="197">
        <f>'Arable NPV'!$E143</f>
        <v>220</v>
      </c>
      <c r="BJ63" s="197">
        <f>BH63+BI63</f>
        <v>1810</v>
      </c>
      <c r="BK63" s="197">
        <f>'Arable NPV'!$G143</f>
        <v>684.46423508399835</v>
      </c>
      <c r="BL63" s="197">
        <f>'Arable NPV'!$H143</f>
        <v>841.31999999999994</v>
      </c>
      <c r="BM63" s="197">
        <f>BK63+BL63</f>
        <v>1525.7842350839983</v>
      </c>
      <c r="BN63" s="197">
        <f>BH63-BM63</f>
        <v>64.215764916001717</v>
      </c>
      <c r="BO63" s="197">
        <f>BJ63-BM63</f>
        <v>284.21576491600172</v>
      </c>
      <c r="BP63" s="1016">
        <f>BH63/(1+$D$4)^(BB63-1)</f>
        <v>1590</v>
      </c>
      <c r="BQ63" s="213">
        <f>BI63/(1+$D$4)^(BB63-1)</f>
        <v>220</v>
      </c>
      <c r="BR63" s="213">
        <f>BM63/(1+$D$4)^(BB63-1)</f>
        <v>1525.7842350839983</v>
      </c>
      <c r="BS63" s="213">
        <f>BN63/(1+$D$4)^(BB63-1)</f>
        <v>64.215764916001717</v>
      </c>
      <c r="BT63" s="908">
        <f>BO63/(1+$D$4)^(BB63-1)</f>
        <v>284.21576491600172</v>
      </c>
      <c r="BU63" s="196">
        <f>BP63</f>
        <v>1590</v>
      </c>
      <c r="BV63" s="197">
        <f>BQ63</f>
        <v>220</v>
      </c>
      <c r="BW63" s="197">
        <f>BR63</f>
        <v>1525.7842350839983</v>
      </c>
      <c r="BX63" s="197">
        <f>BS63</f>
        <v>64.215764916001717</v>
      </c>
      <c r="BY63" s="199">
        <f>BT63</f>
        <v>284.21576491600172</v>
      </c>
      <c r="CB63" s="204">
        <v>1</v>
      </c>
      <c r="CC63" s="219" t="s">
        <v>4</v>
      </c>
      <c r="CD63" s="747">
        <f>'Arable Inputs'!$D$18</f>
        <v>8.25</v>
      </c>
      <c r="CE63" s="747">
        <f>'Arable Inputs'!$D$25</f>
        <v>162</v>
      </c>
      <c r="CF63" s="747">
        <f>'Arable Inputs'!$D$19</f>
        <v>3.9</v>
      </c>
      <c r="CG63" s="747">
        <f>'Arable Inputs'!$D$26</f>
        <v>65</v>
      </c>
      <c r="CH63" s="749">
        <f>CD63*CE63+CF63*CG63</f>
        <v>1590</v>
      </c>
      <c r="CI63" s="197">
        <f>'Arable NPV'!$E143</f>
        <v>220</v>
      </c>
      <c r="CJ63" s="197">
        <f>CH63+CI63</f>
        <v>1810</v>
      </c>
      <c r="CK63" s="197">
        <f>'Arable NPV'!$G143</f>
        <v>684.46423508399835</v>
      </c>
      <c r="CL63" s="197">
        <f>'Arable NPV'!$H143</f>
        <v>841.31999999999994</v>
      </c>
      <c r="CM63" s="197">
        <f>CK63+CL63</f>
        <v>1525.7842350839983</v>
      </c>
      <c r="CN63" s="197">
        <f>CH63-CM63</f>
        <v>64.215764916001717</v>
      </c>
      <c r="CO63" s="197">
        <f>CJ63-CM63</f>
        <v>284.21576491600172</v>
      </c>
      <c r="CP63" s="1016">
        <f>CH63/(1+$E$4)^(CB63-1)</f>
        <v>1590</v>
      </c>
      <c r="CQ63" s="213">
        <f>CI63/(1+$E$4)^(CB63-1)</f>
        <v>220</v>
      </c>
      <c r="CR63" s="213">
        <f>CM63/(1+$E$4)^(CB63-1)</f>
        <v>1525.7842350839983</v>
      </c>
      <c r="CS63" s="213">
        <f>CN63/(1+$E$4)^(CB63-1)</f>
        <v>64.215764916001717</v>
      </c>
      <c r="CT63" s="908">
        <f>CO63/(1+$E$4)^(CB63-1)</f>
        <v>284.21576491600172</v>
      </c>
      <c r="CU63" s="196">
        <f>CP63</f>
        <v>1590</v>
      </c>
      <c r="CV63" s="197">
        <f>CQ63</f>
        <v>220</v>
      </c>
      <c r="CW63" s="197">
        <f>CR63</f>
        <v>1525.7842350839983</v>
      </c>
      <c r="CX63" s="197">
        <f>CS63</f>
        <v>64.215764916001717</v>
      </c>
      <c r="CY63" s="199">
        <f>CT63</f>
        <v>284.21576491600172</v>
      </c>
      <c r="DB63" s="204">
        <v>1</v>
      </c>
      <c r="DC63" s="219" t="s">
        <v>4</v>
      </c>
      <c r="DD63" s="747">
        <f>'Arable Inputs'!$D$18</f>
        <v>8.25</v>
      </c>
      <c r="DE63" s="747">
        <f>'Arable Inputs'!$D$25</f>
        <v>162</v>
      </c>
      <c r="DF63" s="747">
        <f>'Arable Inputs'!$D$19</f>
        <v>3.9</v>
      </c>
      <c r="DG63" s="747">
        <f>'Arable Inputs'!$D$26</f>
        <v>65</v>
      </c>
      <c r="DH63" s="749">
        <f>DD63*DE63+DF63*DG63</f>
        <v>1590</v>
      </c>
      <c r="DI63" s="197">
        <f>'Arable NPV'!$E143</f>
        <v>220</v>
      </c>
      <c r="DJ63" s="197">
        <f>DH63+DI63</f>
        <v>1810</v>
      </c>
      <c r="DK63" s="197">
        <f>'Arable NPV'!$G143</f>
        <v>684.46423508399835</v>
      </c>
      <c r="DL63" s="197">
        <f>'Arable NPV'!$H143</f>
        <v>841.31999999999994</v>
      </c>
      <c r="DM63" s="197">
        <f>DK63+DL63</f>
        <v>1525.7842350839983</v>
      </c>
      <c r="DN63" s="197">
        <f>DH63-DM63</f>
        <v>64.215764916001717</v>
      </c>
      <c r="DO63" s="197">
        <f>DJ63-DM63</f>
        <v>284.21576491600172</v>
      </c>
      <c r="DP63" s="1016">
        <f>DH63/(1+$F$4)^(DB63-1)</f>
        <v>1590</v>
      </c>
      <c r="DQ63" s="213">
        <f>DI63/(1+$F$4)^(DB63-1)</f>
        <v>220</v>
      </c>
      <c r="DR63" s="213">
        <f>DM63/(1+$F$4)^(DB63-1)</f>
        <v>1525.7842350839983</v>
      </c>
      <c r="DS63" s="213">
        <f>DN63/(1+$F$4)^(DB63-1)</f>
        <v>64.215764916001717</v>
      </c>
      <c r="DT63" s="908">
        <f>DO63/(1+$F$4)^(DB63-1)</f>
        <v>284.21576491600172</v>
      </c>
      <c r="DU63" s="196">
        <f>DP63</f>
        <v>1590</v>
      </c>
      <c r="DV63" s="197">
        <f>DQ63</f>
        <v>220</v>
      </c>
      <c r="DW63" s="197">
        <f>DR63</f>
        <v>1525.7842350839983</v>
      </c>
      <c r="DX63" s="197">
        <f>DS63</f>
        <v>64.215764916001717</v>
      </c>
      <c r="DY63" s="199">
        <f>DT63</f>
        <v>284.21576491600172</v>
      </c>
    </row>
    <row r="64" spans="2:129" x14ac:dyDescent="0.3">
      <c r="B64" s="204">
        <v>2</v>
      </c>
      <c r="C64" s="219" t="s">
        <v>7</v>
      </c>
      <c r="D64" s="747">
        <f>'Arable Inputs'!$G$18</f>
        <v>78</v>
      </c>
      <c r="E64" s="747">
        <f>'Arable Inputs'!$G$25</f>
        <v>27.16</v>
      </c>
      <c r="H64" s="749">
        <f>D64*E64</f>
        <v>2118.48</v>
      </c>
      <c r="I64" s="197">
        <f>'Arable NPV'!$E144</f>
        <v>220</v>
      </c>
      <c r="J64" s="197">
        <f t="shared" ref="J64:J78" si="147">H64+I64</f>
        <v>2338.48</v>
      </c>
      <c r="K64" s="197">
        <f>'Arable NPV'!$G144</f>
        <v>793.83573723279574</v>
      </c>
      <c r="L64" s="197">
        <f>'Arable NPV'!$H144</f>
        <v>841.03</v>
      </c>
      <c r="M64" s="197">
        <f t="shared" ref="M64:M78" si="148">K64+L64</f>
        <v>1634.8657372327957</v>
      </c>
      <c r="N64" s="197">
        <f t="shared" ref="N64:N78" si="149">H64-M64</f>
        <v>483.61426276720431</v>
      </c>
      <c r="O64" s="197">
        <f t="shared" ref="O64:O78" si="150">J64-M64</f>
        <v>703.61426276720431</v>
      </c>
      <c r="P64" s="196">
        <f t="shared" si="142"/>
        <v>2037</v>
      </c>
      <c r="Q64" s="197">
        <f t="shared" si="143"/>
        <v>211.53846153846152</v>
      </c>
      <c r="R64" s="197">
        <f t="shared" si="144"/>
        <v>1571.986285800765</v>
      </c>
      <c r="S64" s="197">
        <f t="shared" si="145"/>
        <v>465.01371419923487</v>
      </c>
      <c r="T64" s="199">
        <f t="shared" si="146"/>
        <v>676.55217573769642</v>
      </c>
      <c r="U64" s="196">
        <f t="shared" ref="U64:Y78" si="151">U63+P64</f>
        <v>3627</v>
      </c>
      <c r="V64" s="197">
        <f t="shared" si="151"/>
        <v>431.53846153846155</v>
      </c>
      <c r="W64" s="197">
        <f t="shared" si="151"/>
        <v>3097.7705208847633</v>
      </c>
      <c r="X64" s="197">
        <f t="shared" si="151"/>
        <v>529.22947911523659</v>
      </c>
      <c r="Y64" s="199">
        <f t="shared" si="151"/>
        <v>960.76794065369813</v>
      </c>
      <c r="Z64" s="197"/>
      <c r="AB64" s="204">
        <v>2</v>
      </c>
      <c r="AC64" s="219" t="s">
        <v>7</v>
      </c>
      <c r="AD64" s="747">
        <f>'Arable Inputs'!$G$18</f>
        <v>78</v>
      </c>
      <c r="AE64" s="747">
        <f>'Arable Inputs'!$G$25</f>
        <v>27.16</v>
      </c>
      <c r="AH64" s="749">
        <f>AD64*AE64</f>
        <v>2118.48</v>
      </c>
      <c r="AI64" s="197">
        <f>'Arable NPV'!$E144</f>
        <v>220</v>
      </c>
      <c r="AJ64" s="197">
        <f t="shared" ref="AJ64:AJ78" si="152">AH64+AI64</f>
        <v>2338.48</v>
      </c>
      <c r="AK64" s="197">
        <f>'Arable NPV'!$G144</f>
        <v>793.83573723279574</v>
      </c>
      <c r="AL64" s="197">
        <f>'Arable NPV'!$H144</f>
        <v>841.03</v>
      </c>
      <c r="AM64" s="197">
        <f t="shared" ref="AM64:AM78" si="153">AK64+AL64</f>
        <v>1634.8657372327957</v>
      </c>
      <c r="AN64" s="197">
        <f t="shared" ref="AN64:AN78" si="154">AH64-AM64</f>
        <v>483.61426276720431</v>
      </c>
      <c r="AO64" s="197">
        <f t="shared" ref="AO64:AO78" si="155">AJ64-AM64</f>
        <v>703.61426276720431</v>
      </c>
      <c r="AP64" s="196">
        <f t="shared" ref="AP64:AP78" si="156">AH64/(1+$C$4)^(AB64-1)</f>
        <v>1998.566037735849</v>
      </c>
      <c r="AQ64" s="197">
        <f t="shared" ref="AQ64:AQ78" si="157">AI64/(1+$C$4)^(AB64-1)</f>
        <v>207.54716981132074</v>
      </c>
      <c r="AR64" s="197">
        <f t="shared" ref="AR64:AR78" si="158">AM64/(1+$C$4)^(AB64-1)</f>
        <v>1542.3261672007507</v>
      </c>
      <c r="AS64" s="197">
        <f t="shared" ref="AS64:AS78" si="159">AN64/(1+$C$4)^(AB64-1)</f>
        <v>456.23987053509836</v>
      </c>
      <c r="AT64" s="199">
        <f t="shared" ref="AT64:AT77" si="160">AO64/(1+$C$4)^(AB64-1)</f>
        <v>663.78704034641908</v>
      </c>
      <c r="AU64" s="196">
        <f t="shared" ref="AU64:AX78" si="161">AU63+AP64</f>
        <v>3588.566037735849</v>
      </c>
      <c r="AV64" s="197">
        <f t="shared" si="161"/>
        <v>427.54716981132071</v>
      </c>
      <c r="AW64" s="197">
        <f t="shared" si="161"/>
        <v>3068.1104022847489</v>
      </c>
      <c r="AX64" s="197">
        <f t="shared" si="161"/>
        <v>520.45563545110008</v>
      </c>
      <c r="AY64" s="199">
        <f t="shared" ref="AY64:AY78" si="162">AY63+AT64</f>
        <v>948.00280526242079</v>
      </c>
      <c r="BB64" s="204">
        <v>2</v>
      </c>
      <c r="BC64" s="219" t="s">
        <v>7</v>
      </c>
      <c r="BD64" s="747">
        <f>'Arable Inputs'!$G$18</f>
        <v>78</v>
      </c>
      <c r="BE64" s="747">
        <f>'Arable Inputs'!$G$25</f>
        <v>27.16</v>
      </c>
      <c r="BH64" s="749">
        <f>BD64*BE64</f>
        <v>2118.48</v>
      </c>
      <c r="BI64" s="197">
        <f>'Arable NPV'!$E144</f>
        <v>220</v>
      </c>
      <c r="BJ64" s="197">
        <f t="shared" ref="BJ64:BJ78" si="163">BH64+BI64</f>
        <v>2338.48</v>
      </c>
      <c r="BK64" s="197">
        <f>'Arable NPV'!$G144</f>
        <v>793.83573723279574</v>
      </c>
      <c r="BL64" s="197">
        <f>'Arable NPV'!$H144</f>
        <v>841.03</v>
      </c>
      <c r="BM64" s="197">
        <f t="shared" ref="BM64:BM78" si="164">BK64+BL64</f>
        <v>1634.8657372327957</v>
      </c>
      <c r="BN64" s="197">
        <f t="shared" ref="BN64:BN78" si="165">BH64-BM64</f>
        <v>483.61426276720431</v>
      </c>
      <c r="BO64" s="197">
        <f t="shared" ref="BO64:BO78" si="166">BJ64-BM64</f>
        <v>703.61426276720431</v>
      </c>
      <c r="BP64" s="196">
        <f t="shared" ref="BP64:BP78" si="167">BH64/(1+$D$4)^(BB64-1)</f>
        <v>2076.9411764705883</v>
      </c>
      <c r="BQ64" s="197">
        <f t="shared" ref="BQ64:BQ78" si="168">BI64/(1+$D$4)^(BB64-1)</f>
        <v>215.68627450980392</v>
      </c>
      <c r="BR64" s="197">
        <f t="shared" ref="BR64:BR78" si="169">BM64/(1+$D$4)^(BB64-1)</f>
        <v>1602.8095463066625</v>
      </c>
      <c r="BS64" s="197">
        <f t="shared" ref="BS64:BS78" si="170">BN64/(1+$D$4)^(BB64-1)</f>
        <v>474.13163016392576</v>
      </c>
      <c r="BT64" s="199">
        <f t="shared" ref="BT64:BT77" si="171">BO64/(1+$D$4)^(BB64-1)</f>
        <v>689.81790467372969</v>
      </c>
      <c r="BU64" s="196">
        <f t="shared" ref="BU64:BW78" si="172">BU63+BP64</f>
        <v>3666.9411764705883</v>
      </c>
      <c r="BV64" s="197">
        <f t="shared" si="172"/>
        <v>435.68627450980392</v>
      </c>
      <c r="BW64" s="197">
        <f t="shared" si="172"/>
        <v>3128.5937813906608</v>
      </c>
      <c r="BX64" s="197">
        <f t="shared" ref="BX64:BX78" si="173">BX63+BS64</f>
        <v>538.34739507992754</v>
      </c>
      <c r="BY64" s="199">
        <f t="shared" ref="BY64:BY78" si="174">BY63+BT64</f>
        <v>974.0336695897314</v>
      </c>
      <c r="CB64" s="204">
        <v>2</v>
      </c>
      <c r="CC64" s="219" t="s">
        <v>7</v>
      </c>
      <c r="CD64" s="747">
        <f>'Arable Inputs'!$G$18</f>
        <v>78</v>
      </c>
      <c r="CE64" s="747">
        <f>'Arable Inputs'!$G$25</f>
        <v>27.16</v>
      </c>
      <c r="CH64" s="749">
        <f>CD64*CE64</f>
        <v>2118.48</v>
      </c>
      <c r="CI64" s="197">
        <f>'Arable NPV'!$E144</f>
        <v>220</v>
      </c>
      <c r="CJ64" s="197">
        <f t="shared" ref="CJ64:CJ78" si="175">CH64+CI64</f>
        <v>2338.48</v>
      </c>
      <c r="CK64" s="197">
        <f>'Arable NPV'!$G144</f>
        <v>793.83573723279574</v>
      </c>
      <c r="CL64" s="197">
        <f>'Arable NPV'!$H144</f>
        <v>841.03</v>
      </c>
      <c r="CM64" s="197">
        <f t="shared" ref="CM64:CM78" si="176">CK64+CL64</f>
        <v>1634.8657372327957</v>
      </c>
      <c r="CN64" s="197">
        <f t="shared" ref="CN64:CN78" si="177">CH64-CM64</f>
        <v>483.61426276720431</v>
      </c>
      <c r="CO64" s="197">
        <f t="shared" ref="CO64:CO78" si="178">CJ64-CM64</f>
        <v>703.61426276720431</v>
      </c>
      <c r="CP64" s="196">
        <f t="shared" ref="CP64:CP78" si="179">CH64/(1+$E$4)^(CB64-1)</f>
        <v>1961.5555555555554</v>
      </c>
      <c r="CQ64" s="197">
        <f t="shared" ref="CQ64:CQ78" si="180">CI64/(1+$E$4)^(CB64-1)</f>
        <v>203.7037037037037</v>
      </c>
      <c r="CR64" s="197">
        <f t="shared" ref="CR64:CR78" si="181">CM64/(1+$E$4)^(CB64-1)</f>
        <v>1513.7645715118479</v>
      </c>
      <c r="CS64" s="197">
        <f t="shared" ref="CS64:CS78" si="182">CN64/(1+$E$4)^(CB64-1)</f>
        <v>447.79098404370768</v>
      </c>
      <c r="CT64" s="199">
        <f t="shared" ref="CT64:CT77" si="183">CO64/(1+$E$4)^(CB64-1)</f>
        <v>651.49468774741138</v>
      </c>
      <c r="CU64" s="196">
        <f t="shared" ref="CU64:CV78" si="184">CU63+CP64</f>
        <v>3551.5555555555557</v>
      </c>
      <c r="CV64" s="197">
        <f t="shared" si="184"/>
        <v>423.7037037037037</v>
      </c>
      <c r="CW64" s="197">
        <f t="shared" ref="CW64:CW78" si="185">CW63+CR64</f>
        <v>3039.5488065958461</v>
      </c>
      <c r="CX64" s="197">
        <f t="shared" ref="CX64:CX78" si="186">CX63+CS64</f>
        <v>512.0067489597094</v>
      </c>
      <c r="CY64" s="199">
        <f t="shared" ref="CY64:CY78" si="187">CY63+CT64</f>
        <v>935.71045266341309</v>
      </c>
      <c r="DB64" s="204">
        <f t="shared" ref="DB64:DB78" si="188">DB63+1</f>
        <v>2</v>
      </c>
      <c r="DC64" s="219" t="s">
        <v>7</v>
      </c>
      <c r="DD64" s="747">
        <f>'Arable Inputs'!$G$18</f>
        <v>78</v>
      </c>
      <c r="DE64" s="747">
        <f>'Arable Inputs'!$G$25</f>
        <v>27.16</v>
      </c>
      <c r="DH64" s="749">
        <f>DD64*DE64</f>
        <v>2118.48</v>
      </c>
      <c r="DI64" s="197">
        <f>'Arable NPV'!$E144</f>
        <v>220</v>
      </c>
      <c r="DJ64" s="197">
        <f t="shared" ref="DJ64:DJ78" si="189">DH64+DI64</f>
        <v>2338.48</v>
      </c>
      <c r="DK64" s="197">
        <f>'Arable NPV'!$G144</f>
        <v>793.83573723279574</v>
      </c>
      <c r="DL64" s="197">
        <f>'Arable NPV'!$H144</f>
        <v>841.03</v>
      </c>
      <c r="DM64" s="197">
        <f t="shared" ref="DM64:DM78" si="190">DK64+DL64</f>
        <v>1634.8657372327957</v>
      </c>
      <c r="DN64" s="197">
        <f t="shared" ref="DN64:DN78" si="191">DH64-DM64</f>
        <v>483.61426276720431</v>
      </c>
      <c r="DO64" s="197">
        <f t="shared" ref="DO64:DO78" si="192">DJ64-DM64</f>
        <v>703.61426276720431</v>
      </c>
      <c r="DP64" s="196">
        <f t="shared" ref="DP64:DP78" si="193">DH64/(1+$F$4)^(DB64-1)</f>
        <v>2118.48</v>
      </c>
      <c r="DQ64" s="197">
        <f t="shared" ref="DQ64:DQ78" si="194">DI64/(1+$F$4)^(DB64-1)</f>
        <v>220</v>
      </c>
      <c r="DR64" s="197">
        <f t="shared" ref="DR64:DR78" si="195">DM64/(1+$F$4)^(DB64-1)</f>
        <v>1634.8657372327957</v>
      </c>
      <c r="DS64" s="197">
        <f t="shared" ref="DS64:DS78" si="196">DN64/(1+$F$4)^(DB64-1)</f>
        <v>483.61426276720431</v>
      </c>
      <c r="DT64" s="199">
        <f t="shared" ref="DT64:DT78" si="197">DO64/(1+$F$4)^(DB64-1)</f>
        <v>703.61426276720431</v>
      </c>
      <c r="DU64" s="196">
        <f t="shared" ref="DU64:DY78" si="198">DU63+DP64</f>
        <v>3708.48</v>
      </c>
      <c r="DV64" s="197">
        <f t="shared" si="198"/>
        <v>440</v>
      </c>
      <c r="DW64" s="197">
        <f t="shared" si="198"/>
        <v>3160.649972316794</v>
      </c>
      <c r="DX64" s="197">
        <f t="shared" si="198"/>
        <v>547.83002768320603</v>
      </c>
      <c r="DY64" s="199">
        <f t="shared" si="198"/>
        <v>987.83002768320603</v>
      </c>
    </row>
    <row r="65" spans="2:129" x14ac:dyDescent="0.3">
      <c r="B65" s="204">
        <f t="shared" ref="B65:B78" si="199">B64+1</f>
        <v>3</v>
      </c>
      <c r="C65" s="219" t="s">
        <v>31</v>
      </c>
      <c r="D65" s="747">
        <f>'Arable Inputs'!$H$18</f>
        <v>12</v>
      </c>
      <c r="E65" s="747">
        <f>'Arable Inputs'!$H$25</f>
        <v>107.1</v>
      </c>
      <c r="H65" s="749">
        <f>D65*E65</f>
        <v>1285.1999999999998</v>
      </c>
      <c r="I65" s="197">
        <f>'Arable NPV'!$E145</f>
        <v>220</v>
      </c>
      <c r="J65" s="197">
        <f t="shared" si="147"/>
        <v>1505.1999999999998</v>
      </c>
      <c r="K65" s="197">
        <f>'Arable NPV'!$G145</f>
        <v>528.51499999999999</v>
      </c>
      <c r="L65" s="197">
        <f>'Arable NPV'!$H145</f>
        <v>552.40000000000009</v>
      </c>
      <c r="M65" s="197">
        <f t="shared" si="148"/>
        <v>1080.915</v>
      </c>
      <c r="N65" s="197">
        <f t="shared" si="149"/>
        <v>204.28499999999985</v>
      </c>
      <c r="O65" s="197">
        <f t="shared" si="150"/>
        <v>424.28499999999985</v>
      </c>
      <c r="P65" s="196">
        <f t="shared" si="142"/>
        <v>1188.2396449704138</v>
      </c>
      <c r="Q65" s="197">
        <f t="shared" si="143"/>
        <v>203.40236686390531</v>
      </c>
      <c r="R65" s="197">
        <f t="shared" si="144"/>
        <v>999.36667899408269</v>
      </c>
      <c r="S65" s="197">
        <f t="shared" si="145"/>
        <v>188.87296597633122</v>
      </c>
      <c r="T65" s="199">
        <f t="shared" si="146"/>
        <v>392.2753328402365</v>
      </c>
      <c r="U65" s="196">
        <f t="shared" si="151"/>
        <v>4815.2396449704138</v>
      </c>
      <c r="V65" s="197">
        <f t="shared" si="151"/>
        <v>634.94082840236683</v>
      </c>
      <c r="W65" s="197">
        <f t="shared" si="151"/>
        <v>4097.1371998788463</v>
      </c>
      <c r="X65" s="197">
        <f t="shared" si="151"/>
        <v>718.1024450915678</v>
      </c>
      <c r="Y65" s="199">
        <f t="shared" si="151"/>
        <v>1353.0432734939345</v>
      </c>
      <c r="Z65" s="197"/>
      <c r="AB65" s="204">
        <f t="shared" ref="AB65:AB78" si="200">AB64+1</f>
        <v>3</v>
      </c>
      <c r="AC65" s="219" t="s">
        <v>31</v>
      </c>
      <c r="AD65" s="747">
        <f>'Arable Inputs'!$H$18</f>
        <v>12</v>
      </c>
      <c r="AE65" s="747">
        <f>'Arable Inputs'!$H$25</f>
        <v>107.1</v>
      </c>
      <c r="AH65" s="749">
        <f>AD65*AE65</f>
        <v>1285.1999999999998</v>
      </c>
      <c r="AI65" s="197">
        <f>'Arable NPV'!$E145</f>
        <v>220</v>
      </c>
      <c r="AJ65" s="197">
        <f t="shared" si="152"/>
        <v>1505.1999999999998</v>
      </c>
      <c r="AK65" s="197">
        <f>'Arable NPV'!$G145</f>
        <v>528.51499999999999</v>
      </c>
      <c r="AL65" s="197">
        <f>'Arable NPV'!$H145</f>
        <v>552.40000000000009</v>
      </c>
      <c r="AM65" s="197">
        <f t="shared" si="153"/>
        <v>1080.915</v>
      </c>
      <c r="AN65" s="197">
        <f t="shared" si="154"/>
        <v>204.28499999999985</v>
      </c>
      <c r="AO65" s="197">
        <f t="shared" si="155"/>
        <v>424.28499999999985</v>
      </c>
      <c r="AP65" s="196">
        <f t="shared" si="156"/>
        <v>1143.8234247063008</v>
      </c>
      <c r="AQ65" s="197">
        <f t="shared" si="157"/>
        <v>195.79921680313277</v>
      </c>
      <c r="AR65" s="197">
        <f t="shared" si="158"/>
        <v>962.01050195799201</v>
      </c>
      <c r="AS65" s="197">
        <f t="shared" si="159"/>
        <v>181.81292274830886</v>
      </c>
      <c r="AT65" s="199">
        <f t="shared" si="160"/>
        <v>377.6121395514416</v>
      </c>
      <c r="AU65" s="196">
        <f t="shared" si="161"/>
        <v>4732.38946244215</v>
      </c>
      <c r="AV65" s="197">
        <f t="shared" si="161"/>
        <v>623.34638661445342</v>
      </c>
      <c r="AW65" s="197">
        <f t="shared" si="161"/>
        <v>4030.1209042427408</v>
      </c>
      <c r="AX65" s="197">
        <f t="shared" si="161"/>
        <v>702.26855819940897</v>
      </c>
      <c r="AY65" s="199">
        <f t="shared" si="162"/>
        <v>1325.6149448138624</v>
      </c>
      <c r="BB65" s="204">
        <f t="shared" ref="BB65:BB78" si="201">BB64+1</f>
        <v>3</v>
      </c>
      <c r="BC65" s="219" t="s">
        <v>31</v>
      </c>
      <c r="BD65" s="747">
        <f>'Arable Inputs'!$H$18</f>
        <v>12</v>
      </c>
      <c r="BE65" s="747">
        <f>'Arable Inputs'!$H$25</f>
        <v>107.1</v>
      </c>
      <c r="BH65" s="749">
        <f>BD65*BE65</f>
        <v>1285.1999999999998</v>
      </c>
      <c r="BI65" s="197">
        <f>'Arable NPV'!$E145</f>
        <v>220</v>
      </c>
      <c r="BJ65" s="197">
        <f t="shared" si="163"/>
        <v>1505.1999999999998</v>
      </c>
      <c r="BK65" s="197">
        <f>'Arable NPV'!$G145</f>
        <v>528.51499999999999</v>
      </c>
      <c r="BL65" s="197">
        <f>'Arable NPV'!$H145</f>
        <v>552.40000000000009</v>
      </c>
      <c r="BM65" s="197">
        <f t="shared" si="164"/>
        <v>1080.915</v>
      </c>
      <c r="BN65" s="197">
        <f t="shared" si="165"/>
        <v>204.28499999999985</v>
      </c>
      <c r="BO65" s="197">
        <f t="shared" si="166"/>
        <v>424.28499999999985</v>
      </c>
      <c r="BP65" s="196">
        <f t="shared" si="167"/>
        <v>1235.2941176470586</v>
      </c>
      <c r="BQ65" s="197">
        <f t="shared" si="168"/>
        <v>211.4571318723568</v>
      </c>
      <c r="BR65" s="197">
        <f t="shared" si="169"/>
        <v>1038.941753171857</v>
      </c>
      <c r="BS65" s="197">
        <f t="shared" si="170"/>
        <v>196.35236447520171</v>
      </c>
      <c r="BT65" s="199">
        <f t="shared" si="171"/>
        <v>407.80949634755848</v>
      </c>
      <c r="BU65" s="196">
        <f t="shared" si="172"/>
        <v>4902.2352941176468</v>
      </c>
      <c r="BV65" s="197">
        <f t="shared" si="172"/>
        <v>647.14340638216072</v>
      </c>
      <c r="BW65" s="197">
        <f t="shared" si="172"/>
        <v>4167.5355345625176</v>
      </c>
      <c r="BX65" s="197">
        <f t="shared" si="173"/>
        <v>734.69975955512928</v>
      </c>
      <c r="BY65" s="199">
        <f t="shared" si="174"/>
        <v>1381.84316593729</v>
      </c>
      <c r="CB65" s="204">
        <f t="shared" ref="CB65:CB78" si="202">CB64+1</f>
        <v>3</v>
      </c>
      <c r="CC65" s="219" t="s">
        <v>31</v>
      </c>
      <c r="CD65" s="747">
        <f>'Arable Inputs'!$H$18</f>
        <v>12</v>
      </c>
      <c r="CE65" s="747">
        <f>'Arable Inputs'!$H$25</f>
        <v>107.1</v>
      </c>
      <c r="CH65" s="749">
        <f>CD65*CE65</f>
        <v>1285.1999999999998</v>
      </c>
      <c r="CI65" s="197">
        <f>'Arable NPV'!$E145</f>
        <v>220</v>
      </c>
      <c r="CJ65" s="197">
        <f t="shared" si="175"/>
        <v>1505.1999999999998</v>
      </c>
      <c r="CK65" s="197">
        <f>'Arable NPV'!$G145</f>
        <v>528.51499999999999</v>
      </c>
      <c r="CL65" s="197">
        <f>'Arable NPV'!$H145</f>
        <v>552.40000000000009</v>
      </c>
      <c r="CM65" s="197">
        <f t="shared" si="176"/>
        <v>1080.915</v>
      </c>
      <c r="CN65" s="197">
        <f t="shared" si="177"/>
        <v>204.28499999999985</v>
      </c>
      <c r="CO65" s="197">
        <f t="shared" si="178"/>
        <v>424.28499999999985</v>
      </c>
      <c r="CP65" s="196">
        <f t="shared" si="179"/>
        <v>1101.8518518518515</v>
      </c>
      <c r="CQ65" s="197">
        <f t="shared" si="180"/>
        <v>188.6145404663923</v>
      </c>
      <c r="CR65" s="197">
        <f t="shared" si="181"/>
        <v>926.71039094650189</v>
      </c>
      <c r="CS65" s="197">
        <f t="shared" si="182"/>
        <v>175.14146090534965</v>
      </c>
      <c r="CT65" s="199">
        <f t="shared" si="183"/>
        <v>363.75600137174195</v>
      </c>
      <c r="CU65" s="196">
        <f t="shared" si="184"/>
        <v>4653.4074074074069</v>
      </c>
      <c r="CV65" s="197">
        <f t="shared" si="184"/>
        <v>612.31824417009602</v>
      </c>
      <c r="CW65" s="197">
        <f t="shared" si="185"/>
        <v>3966.2591975423479</v>
      </c>
      <c r="CX65" s="197">
        <f t="shared" si="186"/>
        <v>687.14820986505902</v>
      </c>
      <c r="CY65" s="199">
        <f t="shared" si="187"/>
        <v>1299.466454035155</v>
      </c>
      <c r="DB65" s="204">
        <f t="shared" si="188"/>
        <v>3</v>
      </c>
      <c r="DC65" s="219" t="s">
        <v>31</v>
      </c>
      <c r="DD65" s="747">
        <f>'Arable Inputs'!$H$18</f>
        <v>12</v>
      </c>
      <c r="DE65" s="747">
        <f>'Arable Inputs'!$H$25</f>
        <v>107.1</v>
      </c>
      <c r="DH65" s="749">
        <f>DD65*DE65</f>
        <v>1285.1999999999998</v>
      </c>
      <c r="DI65" s="197">
        <f>'Arable NPV'!$E145</f>
        <v>220</v>
      </c>
      <c r="DJ65" s="197">
        <f t="shared" si="189"/>
        <v>1505.1999999999998</v>
      </c>
      <c r="DK65" s="197">
        <f>'Arable NPV'!$G145</f>
        <v>528.51499999999999</v>
      </c>
      <c r="DL65" s="197">
        <f>'Arable NPV'!$H145</f>
        <v>552.40000000000009</v>
      </c>
      <c r="DM65" s="197">
        <f t="shared" si="190"/>
        <v>1080.915</v>
      </c>
      <c r="DN65" s="197">
        <f t="shared" si="191"/>
        <v>204.28499999999985</v>
      </c>
      <c r="DO65" s="197">
        <f t="shared" si="192"/>
        <v>424.28499999999985</v>
      </c>
      <c r="DP65" s="196">
        <f t="shared" si="193"/>
        <v>1285.1999999999998</v>
      </c>
      <c r="DQ65" s="197">
        <f t="shared" si="194"/>
        <v>220</v>
      </c>
      <c r="DR65" s="197">
        <f t="shared" si="195"/>
        <v>1080.915</v>
      </c>
      <c r="DS65" s="197">
        <f t="shared" si="196"/>
        <v>204.28499999999985</v>
      </c>
      <c r="DT65" s="199">
        <f t="shared" si="197"/>
        <v>424.28499999999985</v>
      </c>
      <c r="DU65" s="196">
        <f t="shared" si="198"/>
        <v>4993.68</v>
      </c>
      <c r="DV65" s="197">
        <f t="shared" si="198"/>
        <v>660</v>
      </c>
      <c r="DW65" s="197">
        <f t="shared" si="198"/>
        <v>4241.5649723167935</v>
      </c>
      <c r="DX65" s="197">
        <f t="shared" si="198"/>
        <v>752.11502768320588</v>
      </c>
      <c r="DY65" s="199">
        <f t="shared" si="198"/>
        <v>1412.1150276832059</v>
      </c>
    </row>
    <row r="66" spans="2:129" x14ac:dyDescent="0.3">
      <c r="B66" s="204">
        <f t="shared" si="199"/>
        <v>4</v>
      </c>
      <c r="C66" s="219" t="s">
        <v>6</v>
      </c>
      <c r="D66" s="747">
        <f>'Arable Inputs'!$F$18</f>
        <v>3.5</v>
      </c>
      <c r="E66" s="747">
        <f>'Arable Inputs'!$F$25</f>
        <v>335</v>
      </c>
      <c r="F66" s="747">
        <f>'Arable Inputs'!$F$19</f>
        <v>2.6</v>
      </c>
      <c r="G66" s="747">
        <f>'Arable Inputs'!$F$26</f>
        <v>37.5</v>
      </c>
      <c r="H66" s="749">
        <f>D66*E66+F66*G66</f>
        <v>1270</v>
      </c>
      <c r="I66" s="197">
        <f>'Arable NPV'!$E146</f>
        <v>220</v>
      </c>
      <c r="J66" s="197">
        <f t="shared" si="147"/>
        <v>1490</v>
      </c>
      <c r="K66" s="197">
        <f>'Arable NPV'!$G146</f>
        <v>541.75901992521074</v>
      </c>
      <c r="L66" s="197">
        <f>'Arable NPV'!$H146</f>
        <v>621.47428571428577</v>
      </c>
      <c r="M66" s="197">
        <f t="shared" si="148"/>
        <v>1163.2333056394964</v>
      </c>
      <c r="N66" s="197">
        <f t="shared" si="149"/>
        <v>106.76669436050361</v>
      </c>
      <c r="O66" s="197">
        <f t="shared" si="150"/>
        <v>326.76669436050361</v>
      </c>
      <c r="P66" s="196">
        <f t="shared" si="142"/>
        <v>1129.0253755120618</v>
      </c>
      <c r="Q66" s="197">
        <f t="shared" si="143"/>
        <v>195.57919890760127</v>
      </c>
      <c r="R66" s="197">
        <f t="shared" si="144"/>
        <v>1034.1101729982436</v>
      </c>
      <c r="S66" s="197">
        <f t="shared" si="145"/>
        <v>94.915202513818201</v>
      </c>
      <c r="T66" s="199">
        <f t="shared" si="146"/>
        <v>290.49440142141947</v>
      </c>
      <c r="U66" s="196">
        <f t="shared" si="151"/>
        <v>5944.2650204824758</v>
      </c>
      <c r="V66" s="197">
        <f t="shared" si="151"/>
        <v>830.5200273099681</v>
      </c>
      <c r="W66" s="197">
        <f t="shared" si="151"/>
        <v>5131.2473728770901</v>
      </c>
      <c r="X66" s="197">
        <f t="shared" si="151"/>
        <v>813.01764760538595</v>
      </c>
      <c r="Y66" s="199">
        <f t="shared" si="151"/>
        <v>1643.537674915354</v>
      </c>
      <c r="Z66" s="197"/>
      <c r="AB66" s="204">
        <f t="shared" si="200"/>
        <v>4</v>
      </c>
      <c r="AC66" s="219" t="s">
        <v>6</v>
      </c>
      <c r="AD66" s="747">
        <f>'Arable Inputs'!$F$18</f>
        <v>3.5</v>
      </c>
      <c r="AE66" s="747">
        <f>'Arable Inputs'!$F$25</f>
        <v>335</v>
      </c>
      <c r="AF66" s="747">
        <f>'Arable Inputs'!$F$19</f>
        <v>2.6</v>
      </c>
      <c r="AG66" s="747">
        <f>'Arable Inputs'!$F$26</f>
        <v>37.5</v>
      </c>
      <c r="AH66" s="749">
        <f>AD66*AE66+AF66*AG66</f>
        <v>1270</v>
      </c>
      <c r="AI66" s="197">
        <f>'Arable NPV'!$E146</f>
        <v>220</v>
      </c>
      <c r="AJ66" s="197">
        <f t="shared" si="152"/>
        <v>1490</v>
      </c>
      <c r="AK66" s="197">
        <f>'Arable NPV'!$G146</f>
        <v>541.75901992521074</v>
      </c>
      <c r="AL66" s="197">
        <f>'Arable NPV'!$H146</f>
        <v>621.47428571428577</v>
      </c>
      <c r="AM66" s="197">
        <f t="shared" si="153"/>
        <v>1163.2333056394964</v>
      </c>
      <c r="AN66" s="197">
        <f t="shared" si="154"/>
        <v>106.76669436050361</v>
      </c>
      <c r="AO66" s="197">
        <f t="shared" si="155"/>
        <v>326.76669436050361</v>
      </c>
      <c r="AP66" s="196">
        <f t="shared" si="156"/>
        <v>1066.316489451023</v>
      </c>
      <c r="AQ66" s="197">
        <f t="shared" si="157"/>
        <v>184.71624226710637</v>
      </c>
      <c r="AR66" s="197">
        <f t="shared" si="158"/>
        <v>976.67311408032811</v>
      </c>
      <c r="AS66" s="197">
        <f t="shared" si="159"/>
        <v>89.643375370694926</v>
      </c>
      <c r="AT66" s="199">
        <f t="shared" si="160"/>
        <v>274.35961763780125</v>
      </c>
      <c r="AU66" s="196">
        <f t="shared" si="161"/>
        <v>5798.7059518931728</v>
      </c>
      <c r="AV66" s="197">
        <f t="shared" si="161"/>
        <v>808.06262888155982</v>
      </c>
      <c r="AW66" s="197">
        <f t="shared" si="161"/>
        <v>5006.7940183230694</v>
      </c>
      <c r="AX66" s="197">
        <f t="shared" si="161"/>
        <v>791.91193357010388</v>
      </c>
      <c r="AY66" s="199">
        <f t="shared" si="162"/>
        <v>1599.9745624516636</v>
      </c>
      <c r="BB66" s="204">
        <f t="shared" si="201"/>
        <v>4</v>
      </c>
      <c r="BC66" s="219" t="s">
        <v>6</v>
      </c>
      <c r="BD66" s="747">
        <f>'Arable Inputs'!$F$18</f>
        <v>3.5</v>
      </c>
      <c r="BE66" s="747">
        <f>'Arable Inputs'!$F$25</f>
        <v>335</v>
      </c>
      <c r="BF66" s="747">
        <f>'Arable Inputs'!$F$19</f>
        <v>2.6</v>
      </c>
      <c r="BG66" s="747">
        <f>'Arable Inputs'!$F$26</f>
        <v>37.5</v>
      </c>
      <c r="BH66" s="749">
        <f>BD66*BE66+BF66*BG66</f>
        <v>1270</v>
      </c>
      <c r="BI66" s="197">
        <f>'Arable NPV'!$E146</f>
        <v>220</v>
      </c>
      <c r="BJ66" s="197">
        <f t="shared" si="163"/>
        <v>1490</v>
      </c>
      <c r="BK66" s="197">
        <f>'Arable NPV'!$G146</f>
        <v>541.75901992521074</v>
      </c>
      <c r="BL66" s="197">
        <f>'Arable NPV'!$H146</f>
        <v>621.47428571428577</v>
      </c>
      <c r="BM66" s="197">
        <f t="shared" si="164"/>
        <v>1163.2333056394964</v>
      </c>
      <c r="BN66" s="197">
        <f t="shared" si="165"/>
        <v>106.76669436050361</v>
      </c>
      <c r="BO66" s="197">
        <f t="shared" si="166"/>
        <v>326.76669436050361</v>
      </c>
      <c r="BP66" s="196">
        <f t="shared" si="167"/>
        <v>1196.7493648747466</v>
      </c>
      <c r="BQ66" s="197">
        <f t="shared" si="168"/>
        <v>207.31091360034981</v>
      </c>
      <c r="BR66" s="197">
        <f t="shared" si="169"/>
        <v>1096.140724193086</v>
      </c>
      <c r="BS66" s="197">
        <f t="shared" si="170"/>
        <v>100.60864068166053</v>
      </c>
      <c r="BT66" s="199">
        <f t="shared" si="171"/>
        <v>307.91955428201032</v>
      </c>
      <c r="BU66" s="196">
        <f t="shared" si="172"/>
        <v>6098.9846589923936</v>
      </c>
      <c r="BV66" s="197">
        <f t="shared" si="172"/>
        <v>854.45431998251047</v>
      </c>
      <c r="BW66" s="197">
        <f t="shared" si="172"/>
        <v>5263.6762587556041</v>
      </c>
      <c r="BX66" s="197">
        <f t="shared" si="173"/>
        <v>835.30840023678979</v>
      </c>
      <c r="BY66" s="199">
        <f t="shared" si="174"/>
        <v>1689.7627202193003</v>
      </c>
      <c r="CB66" s="204">
        <f t="shared" si="202"/>
        <v>4</v>
      </c>
      <c r="CC66" s="219" t="s">
        <v>6</v>
      </c>
      <c r="CD66" s="747">
        <f>'Arable Inputs'!$F$18</f>
        <v>3.5</v>
      </c>
      <c r="CE66" s="747">
        <f>'Arable Inputs'!$F$25</f>
        <v>335</v>
      </c>
      <c r="CF66" s="747">
        <f>'Arable Inputs'!$F$19</f>
        <v>2.6</v>
      </c>
      <c r="CG66" s="747">
        <f>'Arable Inputs'!$F$26</f>
        <v>37.5</v>
      </c>
      <c r="CH66" s="749">
        <f>CD66*CE66+CF66*CG66</f>
        <v>1270</v>
      </c>
      <c r="CI66" s="197">
        <f>'Arable NPV'!$E146</f>
        <v>220</v>
      </c>
      <c r="CJ66" s="197">
        <f t="shared" si="175"/>
        <v>1490</v>
      </c>
      <c r="CK66" s="197">
        <f>'Arable NPV'!$G146</f>
        <v>541.75901992521074</v>
      </c>
      <c r="CL66" s="197">
        <f>'Arable NPV'!$H146</f>
        <v>621.47428571428577</v>
      </c>
      <c r="CM66" s="197">
        <f t="shared" si="176"/>
        <v>1163.2333056394964</v>
      </c>
      <c r="CN66" s="197">
        <f t="shared" si="177"/>
        <v>106.76669436050361</v>
      </c>
      <c r="CO66" s="197">
        <f t="shared" si="178"/>
        <v>326.76669436050361</v>
      </c>
      <c r="CP66" s="196">
        <f t="shared" si="179"/>
        <v>1008.1669460956153</v>
      </c>
      <c r="CQ66" s="197">
        <f t="shared" si="180"/>
        <v>174.64309302443732</v>
      </c>
      <c r="CR66" s="197">
        <f t="shared" si="181"/>
        <v>923.41210184510135</v>
      </c>
      <c r="CS66" s="197">
        <f t="shared" si="182"/>
        <v>84.754844250514083</v>
      </c>
      <c r="CT66" s="199">
        <f t="shared" si="183"/>
        <v>259.3979372749514</v>
      </c>
      <c r="CU66" s="196">
        <f t="shared" si="184"/>
        <v>5661.5743535030224</v>
      </c>
      <c r="CV66" s="197">
        <f t="shared" si="184"/>
        <v>786.96133719453337</v>
      </c>
      <c r="CW66" s="197">
        <f t="shared" si="185"/>
        <v>4889.6712993874489</v>
      </c>
      <c r="CX66" s="197">
        <f t="shared" si="186"/>
        <v>771.90305411557313</v>
      </c>
      <c r="CY66" s="199">
        <f t="shared" si="187"/>
        <v>1558.8643913101064</v>
      </c>
      <c r="DB66" s="204">
        <f t="shared" si="188"/>
        <v>4</v>
      </c>
      <c r="DC66" s="219" t="s">
        <v>6</v>
      </c>
      <c r="DD66" s="747">
        <f>'Arable Inputs'!$F$18</f>
        <v>3.5</v>
      </c>
      <c r="DE66" s="747">
        <f>'Arable Inputs'!$F$25</f>
        <v>335</v>
      </c>
      <c r="DF66" s="747">
        <f>'Arable Inputs'!$F$19</f>
        <v>2.6</v>
      </c>
      <c r="DG66" s="747">
        <f>'Arable Inputs'!$F$26</f>
        <v>37.5</v>
      </c>
      <c r="DH66" s="749">
        <f>DD66*DE66+DF66*DG66</f>
        <v>1270</v>
      </c>
      <c r="DI66" s="197">
        <f>'Arable NPV'!$E146</f>
        <v>220</v>
      </c>
      <c r="DJ66" s="197">
        <f t="shared" si="189"/>
        <v>1490</v>
      </c>
      <c r="DK66" s="197">
        <f>'Arable NPV'!$G146</f>
        <v>541.75901992521074</v>
      </c>
      <c r="DL66" s="197">
        <f>'Arable NPV'!$H146</f>
        <v>621.47428571428577</v>
      </c>
      <c r="DM66" s="197">
        <f t="shared" si="190"/>
        <v>1163.2333056394964</v>
      </c>
      <c r="DN66" s="197">
        <f t="shared" si="191"/>
        <v>106.76669436050361</v>
      </c>
      <c r="DO66" s="197">
        <f t="shared" si="192"/>
        <v>326.76669436050361</v>
      </c>
      <c r="DP66" s="196">
        <f t="shared" si="193"/>
        <v>1270</v>
      </c>
      <c r="DQ66" s="197">
        <f t="shared" si="194"/>
        <v>220</v>
      </c>
      <c r="DR66" s="197">
        <f t="shared" si="195"/>
        <v>1163.2333056394964</v>
      </c>
      <c r="DS66" s="197">
        <f t="shared" si="196"/>
        <v>106.76669436050361</v>
      </c>
      <c r="DT66" s="199">
        <f t="shared" si="197"/>
        <v>326.76669436050361</v>
      </c>
      <c r="DU66" s="196">
        <f t="shared" si="198"/>
        <v>6263.68</v>
      </c>
      <c r="DV66" s="197">
        <f t="shared" si="198"/>
        <v>880</v>
      </c>
      <c r="DW66" s="197">
        <f t="shared" si="198"/>
        <v>5404.7982779562899</v>
      </c>
      <c r="DX66" s="197">
        <f t="shared" si="198"/>
        <v>858.88172204370949</v>
      </c>
      <c r="DY66" s="199">
        <f t="shared" si="198"/>
        <v>1738.8817220437095</v>
      </c>
    </row>
    <row r="67" spans="2:129" x14ac:dyDescent="0.3">
      <c r="B67" s="204">
        <f t="shared" si="199"/>
        <v>5</v>
      </c>
      <c r="C67" s="219" t="s">
        <v>5</v>
      </c>
      <c r="D67" s="747">
        <f>'Arable Inputs'!$E$18</f>
        <v>6.3</v>
      </c>
      <c r="E67" s="747">
        <f>'Arable Inputs'!$E$25</f>
        <v>140</v>
      </c>
      <c r="F67" s="747">
        <f>'Arable Inputs'!$E$19</f>
        <v>3.5</v>
      </c>
      <c r="G67" s="747">
        <f>'Arable Inputs'!$E$26</f>
        <v>70</v>
      </c>
      <c r="H67" s="749">
        <f>D67*E67+F67*G67</f>
        <v>1127</v>
      </c>
      <c r="I67" s="197">
        <f>'Arable NPV'!$E147</f>
        <v>220</v>
      </c>
      <c r="J67" s="197">
        <f t="shared" si="147"/>
        <v>1347</v>
      </c>
      <c r="K67" s="197">
        <f>'Arable NPV'!$G147</f>
        <v>418.54877602277168</v>
      </c>
      <c r="L67" s="197">
        <f>'Arable NPV'!$H147</f>
        <v>773.65999999999985</v>
      </c>
      <c r="M67" s="197">
        <f t="shared" si="148"/>
        <v>1192.2087760227714</v>
      </c>
      <c r="N67" s="197">
        <f t="shared" si="149"/>
        <v>-65.208776022771417</v>
      </c>
      <c r="O67" s="197">
        <f t="shared" si="150"/>
        <v>154.79122397722858</v>
      </c>
      <c r="P67" s="196">
        <f t="shared" si="142"/>
        <v>963.36432329050081</v>
      </c>
      <c r="Q67" s="197">
        <f t="shared" si="143"/>
        <v>188.05692202653967</v>
      </c>
      <c r="R67" s="197">
        <f t="shared" si="144"/>
        <v>1019.1050583266846</v>
      </c>
      <c r="S67" s="197">
        <f t="shared" si="145"/>
        <v>-55.740735036183693</v>
      </c>
      <c r="T67" s="199">
        <f t="shared" si="146"/>
        <v>132.31618699035596</v>
      </c>
      <c r="U67" s="196">
        <f t="shared" si="151"/>
        <v>6907.6293437729764</v>
      </c>
      <c r="V67" s="197">
        <f t="shared" si="151"/>
        <v>1018.5769493365078</v>
      </c>
      <c r="W67" s="197">
        <f t="shared" si="151"/>
        <v>6150.3524312037744</v>
      </c>
      <c r="X67" s="197">
        <f t="shared" si="151"/>
        <v>757.2769125692023</v>
      </c>
      <c r="Y67" s="199">
        <f t="shared" si="151"/>
        <v>1775.8538619057099</v>
      </c>
      <c r="Z67" s="197"/>
      <c r="AB67" s="204">
        <f t="shared" si="200"/>
        <v>5</v>
      </c>
      <c r="AC67" s="219" t="s">
        <v>5</v>
      </c>
      <c r="AD67" s="747">
        <f>'Arable Inputs'!$E$18</f>
        <v>6.3</v>
      </c>
      <c r="AE67" s="747">
        <f>'Arable Inputs'!$E$25</f>
        <v>140</v>
      </c>
      <c r="AF67" s="747">
        <f>'Arable Inputs'!$E$19</f>
        <v>3.5</v>
      </c>
      <c r="AG67" s="747">
        <f>'Arable Inputs'!$E$26</f>
        <v>70</v>
      </c>
      <c r="AH67" s="749">
        <f>AD67*AE67+AF67*AG67</f>
        <v>1127</v>
      </c>
      <c r="AI67" s="197">
        <f>'Arable NPV'!$E147</f>
        <v>220</v>
      </c>
      <c r="AJ67" s="197">
        <f t="shared" si="152"/>
        <v>1347</v>
      </c>
      <c r="AK67" s="197">
        <f>'Arable NPV'!$G147</f>
        <v>418.54877602277168</v>
      </c>
      <c r="AL67" s="197">
        <f>'Arable NPV'!$H147</f>
        <v>773.65999999999985</v>
      </c>
      <c r="AM67" s="197">
        <f t="shared" si="153"/>
        <v>1192.2087760227714</v>
      </c>
      <c r="AN67" s="197">
        <f t="shared" si="154"/>
        <v>-65.208776022771417</v>
      </c>
      <c r="AO67" s="197">
        <f t="shared" si="155"/>
        <v>154.79122397722858</v>
      </c>
      <c r="AP67" s="196">
        <f t="shared" si="156"/>
        <v>892.68955846924894</v>
      </c>
      <c r="AQ67" s="197">
        <f t="shared" si="157"/>
        <v>174.2606059123645</v>
      </c>
      <c r="AR67" s="197">
        <f t="shared" si="158"/>
        <v>944.34101674439364</v>
      </c>
      <c r="AS67" s="197">
        <f t="shared" si="159"/>
        <v>-51.651458275144606</v>
      </c>
      <c r="AT67" s="199">
        <f t="shared" si="160"/>
        <v>122.60914763721989</v>
      </c>
      <c r="AU67" s="196">
        <f t="shared" si="161"/>
        <v>6691.3955103624221</v>
      </c>
      <c r="AV67" s="197">
        <f t="shared" si="161"/>
        <v>982.32323479392426</v>
      </c>
      <c r="AW67" s="197">
        <f t="shared" si="161"/>
        <v>5951.1350350674629</v>
      </c>
      <c r="AX67" s="197">
        <f t="shared" si="161"/>
        <v>740.26047529495929</v>
      </c>
      <c r="AY67" s="199">
        <f t="shared" si="162"/>
        <v>1722.5837100888834</v>
      </c>
      <c r="BB67" s="204">
        <f t="shared" si="201"/>
        <v>5</v>
      </c>
      <c r="BC67" s="219" t="s">
        <v>5</v>
      </c>
      <c r="BD67" s="747">
        <f>'Arable Inputs'!$E$18</f>
        <v>6.3</v>
      </c>
      <c r="BE67" s="747">
        <f>'Arable Inputs'!$E$25</f>
        <v>140</v>
      </c>
      <c r="BF67" s="747">
        <f>'Arable Inputs'!$E$19</f>
        <v>3.5</v>
      </c>
      <c r="BG67" s="747">
        <f>'Arable Inputs'!$E$26</f>
        <v>70</v>
      </c>
      <c r="BH67" s="749">
        <f>BD67*BE67+BF67*BG67</f>
        <v>1127</v>
      </c>
      <c r="BI67" s="197">
        <f>'Arable NPV'!$E147</f>
        <v>220</v>
      </c>
      <c r="BJ67" s="197">
        <f t="shared" si="163"/>
        <v>1347</v>
      </c>
      <c r="BK67" s="197">
        <f>'Arable NPV'!$G147</f>
        <v>418.54877602277168</v>
      </c>
      <c r="BL67" s="197">
        <f>'Arable NPV'!$H147</f>
        <v>773.65999999999985</v>
      </c>
      <c r="BM67" s="197">
        <f t="shared" si="164"/>
        <v>1192.2087760227714</v>
      </c>
      <c r="BN67" s="197">
        <f t="shared" si="165"/>
        <v>-65.208776022771417</v>
      </c>
      <c r="BO67" s="197">
        <f t="shared" si="166"/>
        <v>154.79122397722858</v>
      </c>
      <c r="BP67" s="196">
        <f t="shared" si="167"/>
        <v>1041.1737951318814</v>
      </c>
      <c r="BQ67" s="197">
        <f t="shared" si="168"/>
        <v>203.24599372583313</v>
      </c>
      <c r="BR67" s="197">
        <f t="shared" si="169"/>
        <v>1101.4166245973063</v>
      </c>
      <c r="BS67" s="197">
        <f t="shared" si="170"/>
        <v>-60.242829465424805</v>
      </c>
      <c r="BT67" s="199">
        <f t="shared" si="171"/>
        <v>143.00316426040831</v>
      </c>
      <c r="BU67" s="196">
        <f t="shared" si="172"/>
        <v>7140.1584541242755</v>
      </c>
      <c r="BV67" s="197">
        <f t="shared" si="172"/>
        <v>1057.7003137083436</v>
      </c>
      <c r="BW67" s="197">
        <f t="shared" si="172"/>
        <v>6365.0928833529106</v>
      </c>
      <c r="BX67" s="197">
        <f t="shared" si="173"/>
        <v>775.06557077136495</v>
      </c>
      <c r="BY67" s="199">
        <f t="shared" si="174"/>
        <v>1832.7658844797086</v>
      </c>
      <c r="CB67" s="204">
        <f t="shared" si="202"/>
        <v>5</v>
      </c>
      <c r="CC67" s="219" t="s">
        <v>5</v>
      </c>
      <c r="CD67" s="747">
        <f>'Arable Inputs'!$E$18</f>
        <v>6.3</v>
      </c>
      <c r="CE67" s="747">
        <f>'Arable Inputs'!$E$25</f>
        <v>140</v>
      </c>
      <c r="CF67" s="747">
        <f>'Arable Inputs'!$E$19</f>
        <v>3.5</v>
      </c>
      <c r="CG67" s="747">
        <f>'Arable Inputs'!$E$26</f>
        <v>70</v>
      </c>
      <c r="CH67" s="749">
        <f>CD67*CE67+CF67*CG67</f>
        <v>1127</v>
      </c>
      <c r="CI67" s="197">
        <f>'Arable NPV'!$E147</f>
        <v>220</v>
      </c>
      <c r="CJ67" s="197">
        <f t="shared" si="175"/>
        <v>1347</v>
      </c>
      <c r="CK67" s="197">
        <f>'Arable NPV'!$G147</f>
        <v>418.54877602277168</v>
      </c>
      <c r="CL67" s="197">
        <f>'Arable NPV'!$H147</f>
        <v>773.65999999999985</v>
      </c>
      <c r="CM67" s="197">
        <f t="shared" si="176"/>
        <v>1192.2087760227714</v>
      </c>
      <c r="CN67" s="197">
        <f t="shared" si="177"/>
        <v>-65.208776022771417</v>
      </c>
      <c r="CO67" s="197">
        <f t="shared" si="178"/>
        <v>154.79122397722858</v>
      </c>
      <c r="CP67" s="196">
        <f t="shared" si="179"/>
        <v>828.37864410160284</v>
      </c>
      <c r="CQ67" s="197">
        <f t="shared" si="180"/>
        <v>161.70656761521971</v>
      </c>
      <c r="CR67" s="197">
        <f t="shared" si="181"/>
        <v>876.30904114265741</v>
      </c>
      <c r="CS67" s="197">
        <f t="shared" si="182"/>
        <v>-47.930397041054562</v>
      </c>
      <c r="CT67" s="199">
        <f t="shared" si="183"/>
        <v>113.77617057416515</v>
      </c>
      <c r="CU67" s="196">
        <f t="shared" si="184"/>
        <v>6489.9529976046251</v>
      </c>
      <c r="CV67" s="197">
        <f t="shared" si="184"/>
        <v>948.66790480975305</v>
      </c>
      <c r="CW67" s="197">
        <f t="shared" si="185"/>
        <v>5765.9803405301063</v>
      </c>
      <c r="CX67" s="197">
        <f t="shared" si="186"/>
        <v>723.97265707451857</v>
      </c>
      <c r="CY67" s="199">
        <f t="shared" si="187"/>
        <v>1672.6405618842716</v>
      </c>
      <c r="DB67" s="204">
        <f t="shared" si="188"/>
        <v>5</v>
      </c>
      <c r="DC67" s="219" t="s">
        <v>5</v>
      </c>
      <c r="DD67" s="747">
        <f>'Arable Inputs'!$E$18</f>
        <v>6.3</v>
      </c>
      <c r="DE67" s="747">
        <f>'Arable Inputs'!$E$25</f>
        <v>140</v>
      </c>
      <c r="DF67" s="747">
        <f>'Arable Inputs'!$E$19</f>
        <v>3.5</v>
      </c>
      <c r="DG67" s="747">
        <f>'Arable Inputs'!$E$26</f>
        <v>70</v>
      </c>
      <c r="DH67" s="749">
        <f>DD67*DE67+DF67*DG67</f>
        <v>1127</v>
      </c>
      <c r="DI67" s="197">
        <f>'Arable NPV'!$E147</f>
        <v>220</v>
      </c>
      <c r="DJ67" s="197">
        <f t="shared" si="189"/>
        <v>1347</v>
      </c>
      <c r="DK67" s="197">
        <f>'Arable NPV'!$G147</f>
        <v>418.54877602277168</v>
      </c>
      <c r="DL67" s="197">
        <f>'Arable NPV'!$H147</f>
        <v>773.65999999999985</v>
      </c>
      <c r="DM67" s="197">
        <f t="shared" si="190"/>
        <v>1192.2087760227714</v>
      </c>
      <c r="DN67" s="197">
        <f t="shared" si="191"/>
        <v>-65.208776022771417</v>
      </c>
      <c r="DO67" s="197">
        <f t="shared" si="192"/>
        <v>154.79122397722858</v>
      </c>
      <c r="DP67" s="196">
        <f t="shared" si="193"/>
        <v>1127</v>
      </c>
      <c r="DQ67" s="197">
        <f t="shared" si="194"/>
        <v>220</v>
      </c>
      <c r="DR67" s="197">
        <f t="shared" si="195"/>
        <v>1192.2087760227714</v>
      </c>
      <c r="DS67" s="197">
        <f t="shared" si="196"/>
        <v>-65.208776022771417</v>
      </c>
      <c r="DT67" s="199">
        <f t="shared" si="197"/>
        <v>154.79122397722858</v>
      </c>
      <c r="DU67" s="196">
        <f t="shared" si="198"/>
        <v>7390.68</v>
      </c>
      <c r="DV67" s="197">
        <f t="shared" si="198"/>
        <v>1100</v>
      </c>
      <c r="DW67" s="197">
        <f t="shared" si="198"/>
        <v>6597.0070539790613</v>
      </c>
      <c r="DX67" s="197">
        <f t="shared" si="198"/>
        <v>793.67294602093807</v>
      </c>
      <c r="DY67" s="199">
        <f t="shared" si="198"/>
        <v>1893.6729460209381</v>
      </c>
    </row>
    <row r="68" spans="2:129" x14ac:dyDescent="0.3">
      <c r="B68" s="204">
        <f t="shared" si="199"/>
        <v>6</v>
      </c>
      <c r="C68" s="219" t="s">
        <v>4</v>
      </c>
      <c r="D68" s="747">
        <f>'Arable Inputs'!$D$18</f>
        <v>8.25</v>
      </c>
      <c r="E68" s="747">
        <f>'Arable Inputs'!$D$25</f>
        <v>162</v>
      </c>
      <c r="F68" s="747">
        <f>'Arable Inputs'!$D$19</f>
        <v>3.9</v>
      </c>
      <c r="G68" s="747">
        <f>'Arable Inputs'!$D$26</f>
        <v>65</v>
      </c>
      <c r="H68" s="749">
        <f>D68*E68+F68*G68</f>
        <v>1590</v>
      </c>
      <c r="I68" s="197">
        <f>'Arable NPV'!$E148</f>
        <v>220</v>
      </c>
      <c r="J68" s="197">
        <f t="shared" si="147"/>
        <v>1810</v>
      </c>
      <c r="K68" s="197">
        <f>'Arable NPV'!$G148</f>
        <v>684.46423508399835</v>
      </c>
      <c r="L68" s="197">
        <f>'Arable NPV'!$H148</f>
        <v>841.31999999999994</v>
      </c>
      <c r="M68" s="197">
        <f t="shared" si="148"/>
        <v>1525.7842350839983</v>
      </c>
      <c r="N68" s="197">
        <f t="shared" si="149"/>
        <v>64.215764916001717</v>
      </c>
      <c r="O68" s="197">
        <f t="shared" si="150"/>
        <v>284.21576491600172</v>
      </c>
      <c r="P68" s="196">
        <f t="shared" si="142"/>
        <v>1306.864099747369</v>
      </c>
      <c r="Q68" s="197">
        <f t="shared" si="143"/>
        <v>180.82396348705734</v>
      </c>
      <c r="R68" s="197">
        <f t="shared" si="144"/>
        <v>1254.083421881621</v>
      </c>
      <c r="S68" s="197">
        <f t="shared" si="145"/>
        <v>52.780677865747968</v>
      </c>
      <c r="T68" s="199">
        <f t="shared" si="146"/>
        <v>233.60464135280532</v>
      </c>
      <c r="U68" s="196">
        <f t="shared" si="151"/>
        <v>8214.493443520345</v>
      </c>
      <c r="V68" s="197">
        <f t="shared" si="151"/>
        <v>1199.4009128235652</v>
      </c>
      <c r="W68" s="197">
        <f t="shared" si="151"/>
        <v>7404.4358530853951</v>
      </c>
      <c r="X68" s="197">
        <f t="shared" si="151"/>
        <v>810.05759043495027</v>
      </c>
      <c r="Y68" s="199">
        <f t="shared" si="151"/>
        <v>2009.4585032585153</v>
      </c>
      <c r="Z68" s="197"/>
      <c r="AB68" s="204">
        <f t="shared" si="200"/>
        <v>6</v>
      </c>
      <c r="AC68" s="219" t="s">
        <v>4</v>
      </c>
      <c r="AD68" s="747">
        <f>'Arable Inputs'!$D$18</f>
        <v>8.25</v>
      </c>
      <c r="AE68" s="747">
        <f>'Arable Inputs'!$D$25</f>
        <v>162</v>
      </c>
      <c r="AF68" s="747">
        <f>'Arable Inputs'!$D$19</f>
        <v>3.9</v>
      </c>
      <c r="AG68" s="747">
        <f>'Arable Inputs'!$D$26</f>
        <v>65</v>
      </c>
      <c r="AH68" s="749">
        <f>AD68*AE68+AF68*AG68</f>
        <v>1590</v>
      </c>
      <c r="AI68" s="197">
        <f>'Arable NPV'!$E148</f>
        <v>220</v>
      </c>
      <c r="AJ68" s="197">
        <f t="shared" si="152"/>
        <v>1810</v>
      </c>
      <c r="AK68" s="197">
        <f>'Arable NPV'!$G148</f>
        <v>684.46423508399835</v>
      </c>
      <c r="AL68" s="197">
        <f>'Arable NPV'!$H148</f>
        <v>841.31999999999994</v>
      </c>
      <c r="AM68" s="197">
        <f t="shared" si="153"/>
        <v>1525.7842350839983</v>
      </c>
      <c r="AN68" s="197">
        <f t="shared" si="154"/>
        <v>64.215764916001717</v>
      </c>
      <c r="AO68" s="197">
        <f t="shared" si="155"/>
        <v>284.21576491600172</v>
      </c>
      <c r="AP68" s="196">
        <f t="shared" si="156"/>
        <v>1188.1404948570305</v>
      </c>
      <c r="AQ68" s="197">
        <f t="shared" si="157"/>
        <v>164.39679803053252</v>
      </c>
      <c r="AR68" s="197">
        <f t="shared" si="158"/>
        <v>1140.1547396967028</v>
      </c>
      <c r="AS68" s="197">
        <f t="shared" si="159"/>
        <v>47.985755160327685</v>
      </c>
      <c r="AT68" s="199">
        <f t="shared" si="160"/>
        <v>212.38255319086019</v>
      </c>
      <c r="AU68" s="196">
        <f t="shared" si="161"/>
        <v>7879.5360052194528</v>
      </c>
      <c r="AV68" s="197">
        <f t="shared" si="161"/>
        <v>1146.7200328244567</v>
      </c>
      <c r="AW68" s="197">
        <f t="shared" si="161"/>
        <v>7091.2897747641655</v>
      </c>
      <c r="AX68" s="197">
        <f t="shared" si="161"/>
        <v>788.24623045528699</v>
      </c>
      <c r="AY68" s="199">
        <f t="shared" si="162"/>
        <v>1934.9662632797435</v>
      </c>
      <c r="BB68" s="204">
        <f t="shared" si="201"/>
        <v>6</v>
      </c>
      <c r="BC68" s="219" t="s">
        <v>4</v>
      </c>
      <c r="BD68" s="747">
        <f>'Arable Inputs'!$D$18</f>
        <v>8.25</v>
      </c>
      <c r="BE68" s="747">
        <f>'Arable Inputs'!$D$25</f>
        <v>162</v>
      </c>
      <c r="BF68" s="747">
        <f>'Arable Inputs'!$D$19</f>
        <v>3.9</v>
      </c>
      <c r="BG68" s="747">
        <f>'Arable Inputs'!$D$26</f>
        <v>65</v>
      </c>
      <c r="BH68" s="749">
        <f>BD68*BE68+BF68*BG68</f>
        <v>1590</v>
      </c>
      <c r="BI68" s="197">
        <f>'Arable NPV'!$E148</f>
        <v>220</v>
      </c>
      <c r="BJ68" s="197">
        <f t="shared" si="163"/>
        <v>1810</v>
      </c>
      <c r="BK68" s="197">
        <f>'Arable NPV'!$G148</f>
        <v>684.46423508399835</v>
      </c>
      <c r="BL68" s="197">
        <f>'Arable NPV'!$H148</f>
        <v>841.31999999999994</v>
      </c>
      <c r="BM68" s="197">
        <f t="shared" si="164"/>
        <v>1525.7842350839983</v>
      </c>
      <c r="BN68" s="197">
        <f t="shared" si="165"/>
        <v>64.215764916001717</v>
      </c>
      <c r="BO68" s="197">
        <f t="shared" si="166"/>
        <v>284.21576491600172</v>
      </c>
      <c r="BP68" s="196">
        <f t="shared" si="167"/>
        <v>1440.1119876295663</v>
      </c>
      <c r="BQ68" s="197">
        <f t="shared" si="168"/>
        <v>199.26077816258149</v>
      </c>
      <c r="BR68" s="197">
        <f t="shared" si="169"/>
        <v>1381.9497908683486</v>
      </c>
      <c r="BS68" s="197">
        <f t="shared" si="170"/>
        <v>58.162196761217736</v>
      </c>
      <c r="BT68" s="199">
        <f t="shared" si="171"/>
        <v>257.42297492379925</v>
      </c>
      <c r="BU68" s="196">
        <f t="shared" si="172"/>
        <v>8580.2704417538425</v>
      </c>
      <c r="BV68" s="197">
        <f t="shared" si="172"/>
        <v>1256.9610918709252</v>
      </c>
      <c r="BW68" s="197">
        <f t="shared" si="172"/>
        <v>7747.0426742212594</v>
      </c>
      <c r="BX68" s="197">
        <f t="shared" si="173"/>
        <v>833.22776753258267</v>
      </c>
      <c r="BY68" s="199">
        <f t="shared" si="174"/>
        <v>2090.1888594035076</v>
      </c>
      <c r="CB68" s="204">
        <f t="shared" si="202"/>
        <v>6</v>
      </c>
      <c r="CC68" s="219" t="s">
        <v>4</v>
      </c>
      <c r="CD68" s="747">
        <f>'Arable Inputs'!$D$18</f>
        <v>8.25</v>
      </c>
      <c r="CE68" s="747">
        <f>'Arable Inputs'!$D$25</f>
        <v>162</v>
      </c>
      <c r="CF68" s="747">
        <f>'Arable Inputs'!$D$19</f>
        <v>3.9</v>
      </c>
      <c r="CG68" s="747">
        <f>'Arable Inputs'!$D$26</f>
        <v>65</v>
      </c>
      <c r="CH68" s="749">
        <f>CD68*CE68+CF68*CG68</f>
        <v>1590</v>
      </c>
      <c r="CI68" s="197">
        <f>'Arable NPV'!$E148</f>
        <v>220</v>
      </c>
      <c r="CJ68" s="197">
        <f t="shared" si="175"/>
        <v>1810</v>
      </c>
      <c r="CK68" s="197">
        <f>'Arable NPV'!$G148</f>
        <v>684.46423508399835</v>
      </c>
      <c r="CL68" s="197">
        <f>'Arable NPV'!$H148</f>
        <v>841.31999999999994</v>
      </c>
      <c r="CM68" s="197">
        <f t="shared" si="176"/>
        <v>1525.7842350839983</v>
      </c>
      <c r="CN68" s="197">
        <f t="shared" si="177"/>
        <v>64.215764916001717</v>
      </c>
      <c r="CO68" s="197">
        <f t="shared" si="178"/>
        <v>284.21576491600172</v>
      </c>
      <c r="CP68" s="196">
        <f t="shared" si="179"/>
        <v>1082.1272832836673</v>
      </c>
      <c r="CQ68" s="197">
        <f t="shared" si="180"/>
        <v>149.72830334742565</v>
      </c>
      <c r="CR68" s="197">
        <f t="shared" si="181"/>
        <v>1038.423112697167</v>
      </c>
      <c r="CS68" s="197">
        <f t="shared" si="182"/>
        <v>43.704170586500361</v>
      </c>
      <c r="CT68" s="199">
        <f t="shared" si="183"/>
        <v>193.43247393392602</v>
      </c>
      <c r="CU68" s="196">
        <f t="shared" si="184"/>
        <v>7572.0802808882927</v>
      </c>
      <c r="CV68" s="197">
        <f t="shared" si="184"/>
        <v>1098.3962081571788</v>
      </c>
      <c r="CW68" s="197">
        <f t="shared" si="185"/>
        <v>6804.4034532272735</v>
      </c>
      <c r="CX68" s="197">
        <f t="shared" si="186"/>
        <v>767.67682766101893</v>
      </c>
      <c r="CY68" s="199">
        <f t="shared" si="187"/>
        <v>1866.0730358181977</v>
      </c>
      <c r="DB68" s="204">
        <f t="shared" si="188"/>
        <v>6</v>
      </c>
      <c r="DC68" s="219" t="s">
        <v>4</v>
      </c>
      <c r="DD68" s="747">
        <f>'Arable Inputs'!$D$18</f>
        <v>8.25</v>
      </c>
      <c r="DE68" s="747">
        <f>'Arable Inputs'!$D$25</f>
        <v>162</v>
      </c>
      <c r="DF68" s="747">
        <f>'Arable Inputs'!$D$19</f>
        <v>3.9</v>
      </c>
      <c r="DG68" s="747">
        <f>'Arable Inputs'!$D$26</f>
        <v>65</v>
      </c>
      <c r="DH68" s="749">
        <f>DD68*DE68+DF68*DG68</f>
        <v>1590</v>
      </c>
      <c r="DI68" s="197">
        <f>'Arable NPV'!$E148</f>
        <v>220</v>
      </c>
      <c r="DJ68" s="197">
        <f t="shared" si="189"/>
        <v>1810</v>
      </c>
      <c r="DK68" s="197">
        <f>'Arable NPV'!$G148</f>
        <v>684.46423508399835</v>
      </c>
      <c r="DL68" s="197">
        <f>'Arable NPV'!$H148</f>
        <v>841.31999999999994</v>
      </c>
      <c r="DM68" s="197">
        <f t="shared" si="190"/>
        <v>1525.7842350839983</v>
      </c>
      <c r="DN68" s="197">
        <f t="shared" si="191"/>
        <v>64.215764916001717</v>
      </c>
      <c r="DO68" s="197">
        <f t="shared" si="192"/>
        <v>284.21576491600172</v>
      </c>
      <c r="DP68" s="196">
        <f t="shared" si="193"/>
        <v>1590</v>
      </c>
      <c r="DQ68" s="197">
        <f t="shared" si="194"/>
        <v>220</v>
      </c>
      <c r="DR68" s="197">
        <f t="shared" si="195"/>
        <v>1525.7842350839983</v>
      </c>
      <c r="DS68" s="197">
        <f t="shared" si="196"/>
        <v>64.215764916001717</v>
      </c>
      <c r="DT68" s="199">
        <f t="shared" si="197"/>
        <v>284.21576491600172</v>
      </c>
      <c r="DU68" s="196">
        <f t="shared" si="198"/>
        <v>8980.68</v>
      </c>
      <c r="DV68" s="197">
        <f t="shared" si="198"/>
        <v>1320</v>
      </c>
      <c r="DW68" s="197">
        <f t="shared" si="198"/>
        <v>8122.7912890630596</v>
      </c>
      <c r="DX68" s="197">
        <f t="shared" si="198"/>
        <v>857.88871093693979</v>
      </c>
      <c r="DY68" s="199">
        <f t="shared" si="198"/>
        <v>2177.8887109369398</v>
      </c>
    </row>
    <row r="69" spans="2:129" x14ac:dyDescent="0.3">
      <c r="B69" s="204">
        <f t="shared" si="199"/>
        <v>7</v>
      </c>
      <c r="C69" s="219" t="s">
        <v>7</v>
      </c>
      <c r="D69" s="747">
        <f>'Arable Inputs'!$G$18</f>
        <v>78</v>
      </c>
      <c r="E69" s="747">
        <f>'Arable Inputs'!$G$25</f>
        <v>27.16</v>
      </c>
      <c r="H69" s="749">
        <f>D69*E69</f>
        <v>2118.48</v>
      </c>
      <c r="I69" s="197">
        <f>'Arable NPV'!$E149</f>
        <v>220</v>
      </c>
      <c r="J69" s="197">
        <f t="shared" si="147"/>
        <v>2338.48</v>
      </c>
      <c r="K69" s="197">
        <f>'Arable NPV'!$G149</f>
        <v>793.83573723279574</v>
      </c>
      <c r="L69" s="197">
        <f>'Arable NPV'!$H149</f>
        <v>841.03</v>
      </c>
      <c r="M69" s="197">
        <f t="shared" si="148"/>
        <v>1634.8657372327957</v>
      </c>
      <c r="N69" s="197">
        <f t="shared" si="149"/>
        <v>483.61426276720431</v>
      </c>
      <c r="O69" s="197">
        <f t="shared" si="150"/>
        <v>703.61426276720431</v>
      </c>
      <c r="P69" s="196">
        <f t="shared" si="142"/>
        <v>1674.2655164687992</v>
      </c>
      <c r="Q69" s="197">
        <f t="shared" si="143"/>
        <v>173.86919566063204</v>
      </c>
      <c r="R69" s="197">
        <f t="shared" si="144"/>
        <v>1292.0581397536021</v>
      </c>
      <c r="S69" s="197">
        <f t="shared" si="145"/>
        <v>382.20737671519714</v>
      </c>
      <c r="T69" s="199">
        <f t="shared" si="146"/>
        <v>556.07657237582919</v>
      </c>
      <c r="U69" s="196">
        <f t="shared" si="151"/>
        <v>9888.7589599891435</v>
      </c>
      <c r="V69" s="197">
        <f t="shared" si="151"/>
        <v>1373.2701084841974</v>
      </c>
      <c r="W69" s="197">
        <f t="shared" si="151"/>
        <v>8696.4939928389977</v>
      </c>
      <c r="X69" s="197">
        <f t="shared" si="151"/>
        <v>1192.2649671501474</v>
      </c>
      <c r="Y69" s="199">
        <f t="shared" si="151"/>
        <v>2565.5350756343446</v>
      </c>
      <c r="Z69" s="197"/>
      <c r="AB69" s="204">
        <f t="shared" si="200"/>
        <v>7</v>
      </c>
      <c r="AC69" s="219" t="s">
        <v>7</v>
      </c>
      <c r="AD69" s="747">
        <f>'Arable Inputs'!$G$18</f>
        <v>78</v>
      </c>
      <c r="AE69" s="747">
        <f>'Arable Inputs'!$G$25</f>
        <v>27.16</v>
      </c>
      <c r="AH69" s="749">
        <f>AD69*AE69</f>
        <v>2118.48</v>
      </c>
      <c r="AI69" s="197">
        <f>'Arable NPV'!$E149</f>
        <v>220</v>
      </c>
      <c r="AJ69" s="197">
        <f t="shared" si="152"/>
        <v>2338.48</v>
      </c>
      <c r="AK69" s="197">
        <f>'Arable NPV'!$G149</f>
        <v>793.83573723279574</v>
      </c>
      <c r="AL69" s="197">
        <f>'Arable NPV'!$H149</f>
        <v>841.03</v>
      </c>
      <c r="AM69" s="197">
        <f t="shared" si="153"/>
        <v>1634.8657372327957</v>
      </c>
      <c r="AN69" s="197">
        <f t="shared" si="154"/>
        <v>483.61426276720431</v>
      </c>
      <c r="AO69" s="197">
        <f t="shared" si="155"/>
        <v>703.61426276720431</v>
      </c>
      <c r="AP69" s="196">
        <f t="shared" si="156"/>
        <v>1493.4448057106454</v>
      </c>
      <c r="AQ69" s="197">
        <f t="shared" si="157"/>
        <v>155.09131889672878</v>
      </c>
      <c r="AR69" s="197">
        <f t="shared" si="158"/>
        <v>1152.5158336659415</v>
      </c>
      <c r="AS69" s="197">
        <f t="shared" si="159"/>
        <v>340.92897204470398</v>
      </c>
      <c r="AT69" s="199">
        <f t="shared" si="160"/>
        <v>496.02029094143273</v>
      </c>
      <c r="AU69" s="196">
        <f t="shared" si="161"/>
        <v>9372.9808109300975</v>
      </c>
      <c r="AV69" s="197">
        <f t="shared" si="161"/>
        <v>1301.8113517211855</v>
      </c>
      <c r="AW69" s="197">
        <f t="shared" si="161"/>
        <v>8243.8056084301061</v>
      </c>
      <c r="AX69" s="197">
        <f t="shared" si="161"/>
        <v>1129.175202499991</v>
      </c>
      <c r="AY69" s="199">
        <f t="shared" si="162"/>
        <v>2430.9865542211764</v>
      </c>
      <c r="BB69" s="204">
        <f t="shared" si="201"/>
        <v>7</v>
      </c>
      <c r="BC69" s="219" t="s">
        <v>7</v>
      </c>
      <c r="BD69" s="747">
        <f>'Arable Inputs'!$G$18</f>
        <v>78</v>
      </c>
      <c r="BE69" s="747">
        <f>'Arable Inputs'!$G$25</f>
        <v>27.16</v>
      </c>
      <c r="BH69" s="749">
        <f>BD69*BE69</f>
        <v>2118.48</v>
      </c>
      <c r="BI69" s="197">
        <f>'Arable NPV'!$E149</f>
        <v>220</v>
      </c>
      <c r="BJ69" s="197">
        <f t="shared" si="163"/>
        <v>2338.48</v>
      </c>
      <c r="BK69" s="197">
        <f>'Arable NPV'!$G149</f>
        <v>793.83573723279574</v>
      </c>
      <c r="BL69" s="197">
        <f>'Arable NPV'!$H149</f>
        <v>841.03</v>
      </c>
      <c r="BM69" s="197">
        <f t="shared" si="164"/>
        <v>1634.8657372327957</v>
      </c>
      <c r="BN69" s="197">
        <f t="shared" si="165"/>
        <v>483.61426276720431</v>
      </c>
      <c r="BO69" s="197">
        <f t="shared" si="166"/>
        <v>703.61426276720431</v>
      </c>
      <c r="BP69" s="196">
        <f t="shared" si="167"/>
        <v>1881.149613733804</v>
      </c>
      <c r="BQ69" s="197">
        <f t="shared" si="168"/>
        <v>195.35370408096225</v>
      </c>
      <c r="BR69" s="197">
        <f t="shared" si="169"/>
        <v>1451.7139883794534</v>
      </c>
      <c r="BS69" s="197">
        <f t="shared" si="170"/>
        <v>429.43562535435063</v>
      </c>
      <c r="BT69" s="199">
        <f t="shared" si="171"/>
        <v>624.78932943531288</v>
      </c>
      <c r="BU69" s="196">
        <f t="shared" si="172"/>
        <v>10461.420055487646</v>
      </c>
      <c r="BV69" s="197">
        <f t="shared" si="172"/>
        <v>1452.3147959518874</v>
      </c>
      <c r="BW69" s="197">
        <f t="shared" si="172"/>
        <v>9198.7566626007138</v>
      </c>
      <c r="BX69" s="197">
        <f t="shared" si="173"/>
        <v>1262.6633928869333</v>
      </c>
      <c r="BY69" s="199">
        <f t="shared" si="174"/>
        <v>2714.9781888388206</v>
      </c>
      <c r="CB69" s="204">
        <f t="shared" si="202"/>
        <v>7</v>
      </c>
      <c r="CC69" s="219" t="s">
        <v>7</v>
      </c>
      <c r="CD69" s="747">
        <f>'Arable Inputs'!$G$18</f>
        <v>78</v>
      </c>
      <c r="CE69" s="747">
        <f>'Arable Inputs'!$G$25</f>
        <v>27.16</v>
      </c>
      <c r="CH69" s="749">
        <f>CD69*CE69</f>
        <v>2118.48</v>
      </c>
      <c r="CI69" s="197">
        <f>'Arable NPV'!$E149</f>
        <v>220</v>
      </c>
      <c r="CJ69" s="197">
        <f t="shared" si="175"/>
        <v>2338.48</v>
      </c>
      <c r="CK69" s="197">
        <f>'Arable NPV'!$G149</f>
        <v>793.83573723279574</v>
      </c>
      <c r="CL69" s="197">
        <f>'Arable NPV'!$H149</f>
        <v>841.03</v>
      </c>
      <c r="CM69" s="197">
        <f t="shared" si="176"/>
        <v>1634.8657372327957</v>
      </c>
      <c r="CN69" s="197">
        <f t="shared" si="177"/>
        <v>483.61426276720431</v>
      </c>
      <c r="CO69" s="197">
        <f t="shared" si="178"/>
        <v>703.61426276720431</v>
      </c>
      <c r="CP69" s="196">
        <f t="shared" si="179"/>
        <v>1335.0017511593194</v>
      </c>
      <c r="CQ69" s="197">
        <f t="shared" si="180"/>
        <v>138.63731791428302</v>
      </c>
      <c r="CR69" s="197">
        <f t="shared" si="181"/>
        <v>1030.2427316359626</v>
      </c>
      <c r="CS69" s="197">
        <f t="shared" si="182"/>
        <v>304.75901952335681</v>
      </c>
      <c r="CT69" s="199">
        <f t="shared" si="183"/>
        <v>443.39633743763983</v>
      </c>
      <c r="CU69" s="196">
        <f t="shared" si="184"/>
        <v>8907.0820320476123</v>
      </c>
      <c r="CV69" s="197">
        <f t="shared" si="184"/>
        <v>1237.0335260714619</v>
      </c>
      <c r="CW69" s="197">
        <f t="shared" si="185"/>
        <v>7834.6461848632362</v>
      </c>
      <c r="CX69" s="197">
        <f t="shared" si="186"/>
        <v>1072.4358471843757</v>
      </c>
      <c r="CY69" s="199">
        <f t="shared" si="187"/>
        <v>2309.4693732558376</v>
      </c>
      <c r="DB69" s="204">
        <f t="shared" si="188"/>
        <v>7</v>
      </c>
      <c r="DC69" s="219" t="s">
        <v>7</v>
      </c>
      <c r="DD69" s="747">
        <f>'Arable Inputs'!$G$18</f>
        <v>78</v>
      </c>
      <c r="DE69" s="747">
        <f>'Arable Inputs'!$G$25</f>
        <v>27.16</v>
      </c>
      <c r="DH69" s="749">
        <f>DD69*DE69</f>
        <v>2118.48</v>
      </c>
      <c r="DI69" s="197">
        <f>'Arable NPV'!$E149</f>
        <v>220</v>
      </c>
      <c r="DJ69" s="197">
        <f t="shared" si="189"/>
        <v>2338.48</v>
      </c>
      <c r="DK69" s="197">
        <f>'Arable NPV'!$G149</f>
        <v>793.83573723279574</v>
      </c>
      <c r="DL69" s="197">
        <f>'Arable NPV'!$H149</f>
        <v>841.03</v>
      </c>
      <c r="DM69" s="197">
        <f t="shared" si="190"/>
        <v>1634.8657372327957</v>
      </c>
      <c r="DN69" s="197">
        <f t="shared" si="191"/>
        <v>483.61426276720431</v>
      </c>
      <c r="DO69" s="197">
        <f t="shared" si="192"/>
        <v>703.61426276720431</v>
      </c>
      <c r="DP69" s="196">
        <f t="shared" si="193"/>
        <v>2118.48</v>
      </c>
      <c r="DQ69" s="197">
        <f t="shared" si="194"/>
        <v>220</v>
      </c>
      <c r="DR69" s="197">
        <f t="shared" si="195"/>
        <v>1634.8657372327957</v>
      </c>
      <c r="DS69" s="197">
        <f t="shared" si="196"/>
        <v>483.61426276720431</v>
      </c>
      <c r="DT69" s="199">
        <f t="shared" si="197"/>
        <v>703.61426276720431</v>
      </c>
      <c r="DU69" s="196">
        <f t="shared" si="198"/>
        <v>11099.16</v>
      </c>
      <c r="DV69" s="197">
        <f t="shared" si="198"/>
        <v>1540</v>
      </c>
      <c r="DW69" s="197">
        <f t="shared" si="198"/>
        <v>9757.6570262958558</v>
      </c>
      <c r="DX69" s="197">
        <f t="shared" si="198"/>
        <v>1341.5029737041441</v>
      </c>
      <c r="DY69" s="199">
        <f t="shared" si="198"/>
        <v>2881.5029737041441</v>
      </c>
    </row>
    <row r="70" spans="2:129" x14ac:dyDescent="0.3">
      <c r="B70" s="204">
        <f t="shared" si="199"/>
        <v>8</v>
      </c>
      <c r="C70" s="219" t="s">
        <v>31</v>
      </c>
      <c r="D70" s="747">
        <f>'Arable Inputs'!$H$18</f>
        <v>12</v>
      </c>
      <c r="E70" s="747">
        <f>'Arable Inputs'!$H$25</f>
        <v>107.1</v>
      </c>
      <c r="H70" s="749">
        <f>D70*E70</f>
        <v>1285.1999999999998</v>
      </c>
      <c r="I70" s="197">
        <f>'Arable NPV'!$E150</f>
        <v>220</v>
      </c>
      <c r="J70" s="197">
        <f t="shared" si="147"/>
        <v>1505.1999999999998</v>
      </c>
      <c r="K70" s="197">
        <f>'Arable NPV'!$G150</f>
        <v>528.51499999999999</v>
      </c>
      <c r="L70" s="197">
        <f>'Arable NPV'!$H150</f>
        <v>552.40000000000009</v>
      </c>
      <c r="M70" s="197">
        <f t="shared" si="148"/>
        <v>1080.915</v>
      </c>
      <c r="N70" s="197">
        <f t="shared" si="149"/>
        <v>204.28499999999985</v>
      </c>
      <c r="O70" s="197">
        <f t="shared" si="150"/>
        <v>424.28499999999985</v>
      </c>
      <c r="P70" s="196">
        <f t="shared" si="142"/>
        <v>976.64637352729153</v>
      </c>
      <c r="Q70" s="197">
        <f t="shared" si="143"/>
        <v>167.18191890445391</v>
      </c>
      <c r="R70" s="197">
        <f t="shared" si="144"/>
        <v>821.40656305730818</v>
      </c>
      <c r="S70" s="197">
        <f t="shared" si="145"/>
        <v>155.23981046998338</v>
      </c>
      <c r="T70" s="199">
        <f t="shared" si="146"/>
        <v>322.42172937443729</v>
      </c>
      <c r="U70" s="196">
        <f t="shared" si="151"/>
        <v>10865.405333516435</v>
      </c>
      <c r="V70" s="197">
        <f t="shared" si="151"/>
        <v>1540.4520273886512</v>
      </c>
      <c r="W70" s="197">
        <f t="shared" si="151"/>
        <v>9517.9005558963054</v>
      </c>
      <c r="X70" s="197">
        <f t="shared" si="151"/>
        <v>1347.5047776201309</v>
      </c>
      <c r="Y70" s="199">
        <f t="shared" si="151"/>
        <v>2887.9568050087819</v>
      </c>
      <c r="Z70" s="197"/>
      <c r="AB70" s="204">
        <f t="shared" si="200"/>
        <v>8</v>
      </c>
      <c r="AC70" s="219" t="s">
        <v>31</v>
      </c>
      <c r="AD70" s="747">
        <f>'Arable Inputs'!$H$18</f>
        <v>12</v>
      </c>
      <c r="AE70" s="747">
        <f>'Arable Inputs'!$H$25</f>
        <v>107.1</v>
      </c>
      <c r="AH70" s="749">
        <f>AD70*AE70</f>
        <v>1285.1999999999998</v>
      </c>
      <c r="AI70" s="197">
        <f>'Arable NPV'!$E150</f>
        <v>220</v>
      </c>
      <c r="AJ70" s="197">
        <f t="shared" si="152"/>
        <v>1505.1999999999998</v>
      </c>
      <c r="AK70" s="197">
        <f>'Arable NPV'!$G150</f>
        <v>528.51499999999999</v>
      </c>
      <c r="AL70" s="197">
        <f>'Arable NPV'!$H150</f>
        <v>552.40000000000009</v>
      </c>
      <c r="AM70" s="197">
        <f t="shared" si="153"/>
        <v>1080.915</v>
      </c>
      <c r="AN70" s="197">
        <f t="shared" si="154"/>
        <v>204.28499999999985</v>
      </c>
      <c r="AO70" s="197">
        <f t="shared" si="155"/>
        <v>424.28499999999985</v>
      </c>
      <c r="AP70" s="196">
        <f t="shared" si="156"/>
        <v>854.73140242742613</v>
      </c>
      <c r="AQ70" s="197">
        <f t="shared" si="157"/>
        <v>146.31256499691392</v>
      </c>
      <c r="AR70" s="197">
        <f t="shared" si="158"/>
        <v>718.87020997108732</v>
      </c>
      <c r="AS70" s="197">
        <f t="shared" si="159"/>
        <v>135.86119245633881</v>
      </c>
      <c r="AT70" s="199">
        <f t="shared" si="160"/>
        <v>282.17375745325273</v>
      </c>
      <c r="AU70" s="196">
        <f t="shared" si="161"/>
        <v>10227.712213357523</v>
      </c>
      <c r="AV70" s="197">
        <f t="shared" si="161"/>
        <v>1448.1239167180993</v>
      </c>
      <c r="AW70" s="197">
        <f t="shared" si="161"/>
        <v>8962.6758184011942</v>
      </c>
      <c r="AX70" s="197">
        <f t="shared" si="161"/>
        <v>1265.0363949563298</v>
      </c>
      <c r="AY70" s="199">
        <f t="shared" si="162"/>
        <v>2713.1603116744291</v>
      </c>
      <c r="BB70" s="204">
        <f t="shared" si="201"/>
        <v>8</v>
      </c>
      <c r="BC70" s="219" t="s">
        <v>31</v>
      </c>
      <c r="BD70" s="747">
        <f>'Arable Inputs'!$H$18</f>
        <v>12</v>
      </c>
      <c r="BE70" s="747">
        <f>'Arable Inputs'!$H$25</f>
        <v>107.1</v>
      </c>
      <c r="BH70" s="749">
        <f>BD70*BE70</f>
        <v>1285.1999999999998</v>
      </c>
      <c r="BI70" s="197">
        <f>'Arable NPV'!$E150</f>
        <v>220</v>
      </c>
      <c r="BJ70" s="197">
        <f t="shared" si="163"/>
        <v>1505.1999999999998</v>
      </c>
      <c r="BK70" s="197">
        <f>'Arable NPV'!$G150</f>
        <v>528.51499999999999</v>
      </c>
      <c r="BL70" s="197">
        <f>'Arable NPV'!$H150</f>
        <v>552.40000000000009</v>
      </c>
      <c r="BM70" s="197">
        <f t="shared" si="164"/>
        <v>1080.915</v>
      </c>
      <c r="BN70" s="197">
        <f t="shared" si="165"/>
        <v>204.28499999999985</v>
      </c>
      <c r="BO70" s="197">
        <f t="shared" si="166"/>
        <v>424.28499999999985</v>
      </c>
      <c r="BP70" s="196">
        <f t="shared" si="167"/>
        <v>1118.843941554602</v>
      </c>
      <c r="BQ70" s="197">
        <f t="shared" si="168"/>
        <v>191.52323929506107</v>
      </c>
      <c r="BR70" s="197">
        <f t="shared" si="169"/>
        <v>941.00155546645874</v>
      </c>
      <c r="BS70" s="197">
        <f t="shared" si="170"/>
        <v>177.84238608814329</v>
      </c>
      <c r="BT70" s="199">
        <f t="shared" si="171"/>
        <v>369.36562538320436</v>
      </c>
      <c r="BU70" s="196">
        <f t="shared" si="172"/>
        <v>11580.263997042248</v>
      </c>
      <c r="BV70" s="197">
        <f t="shared" si="172"/>
        <v>1643.8380352469485</v>
      </c>
      <c r="BW70" s="197">
        <f t="shared" si="172"/>
        <v>10139.758218067172</v>
      </c>
      <c r="BX70" s="197">
        <f t="shared" si="173"/>
        <v>1440.5057789750765</v>
      </c>
      <c r="BY70" s="199">
        <f t="shared" si="174"/>
        <v>3084.3438142220248</v>
      </c>
      <c r="CB70" s="204">
        <f t="shared" si="202"/>
        <v>8</v>
      </c>
      <c r="CC70" s="219" t="s">
        <v>31</v>
      </c>
      <c r="CD70" s="747">
        <f>'Arable Inputs'!$H$18</f>
        <v>12</v>
      </c>
      <c r="CE70" s="747">
        <f>'Arable Inputs'!$H$25</f>
        <v>107.1</v>
      </c>
      <c r="CH70" s="749">
        <f>CD70*CE70</f>
        <v>1285.1999999999998</v>
      </c>
      <c r="CI70" s="197">
        <f>'Arable NPV'!$E150</f>
        <v>220</v>
      </c>
      <c r="CJ70" s="197">
        <f t="shared" si="175"/>
        <v>1505.1999999999998</v>
      </c>
      <c r="CK70" s="197">
        <f>'Arable NPV'!$G150</f>
        <v>528.51499999999999</v>
      </c>
      <c r="CL70" s="197">
        <f>'Arable NPV'!$H150</f>
        <v>552.40000000000009</v>
      </c>
      <c r="CM70" s="197">
        <f t="shared" si="176"/>
        <v>1080.915</v>
      </c>
      <c r="CN70" s="197">
        <f t="shared" si="177"/>
        <v>204.28499999999985</v>
      </c>
      <c r="CO70" s="197">
        <f t="shared" si="178"/>
        <v>424.28499999999985</v>
      </c>
      <c r="CP70" s="196">
        <f t="shared" si="179"/>
        <v>749.90185599089432</v>
      </c>
      <c r="CQ70" s="197">
        <f t="shared" si="180"/>
        <v>128.36788695766944</v>
      </c>
      <c r="CR70" s="197">
        <f t="shared" si="181"/>
        <v>630.70352059476932</v>
      </c>
      <c r="CS70" s="197">
        <f t="shared" si="182"/>
        <v>119.19833539612493</v>
      </c>
      <c r="CT70" s="199">
        <f t="shared" si="183"/>
        <v>247.56622235379436</v>
      </c>
      <c r="CU70" s="196">
        <f t="shared" si="184"/>
        <v>9656.9838880385068</v>
      </c>
      <c r="CV70" s="197">
        <f t="shared" si="184"/>
        <v>1365.4014130291314</v>
      </c>
      <c r="CW70" s="197">
        <f t="shared" si="185"/>
        <v>8465.3497054580057</v>
      </c>
      <c r="CX70" s="197">
        <f t="shared" si="186"/>
        <v>1191.6341825805007</v>
      </c>
      <c r="CY70" s="199">
        <f t="shared" si="187"/>
        <v>2557.0355956096319</v>
      </c>
      <c r="DB70" s="204">
        <f t="shared" si="188"/>
        <v>8</v>
      </c>
      <c r="DC70" s="219" t="s">
        <v>31</v>
      </c>
      <c r="DD70" s="747">
        <f>'Arable Inputs'!$H$18</f>
        <v>12</v>
      </c>
      <c r="DE70" s="747">
        <f>'Arable Inputs'!$H$25</f>
        <v>107.1</v>
      </c>
      <c r="DH70" s="749">
        <f>DD70*DE70</f>
        <v>1285.1999999999998</v>
      </c>
      <c r="DI70" s="197">
        <f>'Arable NPV'!$E150</f>
        <v>220</v>
      </c>
      <c r="DJ70" s="197">
        <f t="shared" si="189"/>
        <v>1505.1999999999998</v>
      </c>
      <c r="DK70" s="197">
        <f>'Arable NPV'!$G150</f>
        <v>528.51499999999999</v>
      </c>
      <c r="DL70" s="197">
        <f>'Arable NPV'!$H150</f>
        <v>552.40000000000009</v>
      </c>
      <c r="DM70" s="197">
        <f t="shared" si="190"/>
        <v>1080.915</v>
      </c>
      <c r="DN70" s="197">
        <f t="shared" si="191"/>
        <v>204.28499999999985</v>
      </c>
      <c r="DO70" s="197">
        <f t="shared" si="192"/>
        <v>424.28499999999985</v>
      </c>
      <c r="DP70" s="196">
        <f t="shared" si="193"/>
        <v>1285.1999999999998</v>
      </c>
      <c r="DQ70" s="197">
        <f t="shared" si="194"/>
        <v>220</v>
      </c>
      <c r="DR70" s="197">
        <f t="shared" si="195"/>
        <v>1080.915</v>
      </c>
      <c r="DS70" s="197">
        <f t="shared" si="196"/>
        <v>204.28499999999985</v>
      </c>
      <c r="DT70" s="199">
        <f t="shared" si="197"/>
        <v>424.28499999999985</v>
      </c>
      <c r="DU70" s="196">
        <f t="shared" si="198"/>
        <v>12384.36</v>
      </c>
      <c r="DV70" s="197">
        <f t="shared" si="198"/>
        <v>1760</v>
      </c>
      <c r="DW70" s="197">
        <f t="shared" si="198"/>
        <v>10838.572026295857</v>
      </c>
      <c r="DX70" s="197">
        <f t="shared" si="198"/>
        <v>1545.787973704144</v>
      </c>
      <c r="DY70" s="199">
        <f t="shared" si="198"/>
        <v>3305.787973704144</v>
      </c>
    </row>
    <row r="71" spans="2:129" x14ac:dyDescent="0.3">
      <c r="B71" s="204">
        <f t="shared" si="199"/>
        <v>9</v>
      </c>
      <c r="C71" s="219" t="s">
        <v>6</v>
      </c>
      <c r="D71" s="747">
        <f>'Arable Inputs'!$F$18</f>
        <v>3.5</v>
      </c>
      <c r="E71" s="747">
        <f>'Arable Inputs'!$F$25</f>
        <v>335</v>
      </c>
      <c r="F71" s="747">
        <f>'Arable Inputs'!$F$19</f>
        <v>2.6</v>
      </c>
      <c r="G71" s="747">
        <f>'Arable Inputs'!$F$26</f>
        <v>37.5</v>
      </c>
      <c r="H71" s="749">
        <f>D71*E71+F71*G71</f>
        <v>1270</v>
      </c>
      <c r="I71" s="197">
        <f>'Arable NPV'!$E151</f>
        <v>220</v>
      </c>
      <c r="J71" s="197">
        <f t="shared" si="147"/>
        <v>1490</v>
      </c>
      <c r="K71" s="197">
        <f>'Arable NPV'!$G151</f>
        <v>541.75901992521074</v>
      </c>
      <c r="L71" s="197">
        <f>'Arable NPV'!$H151</f>
        <v>621.47428571428577</v>
      </c>
      <c r="M71" s="197">
        <f t="shared" si="148"/>
        <v>1163.2333056394964</v>
      </c>
      <c r="N71" s="197">
        <f t="shared" si="149"/>
        <v>106.76669436050361</v>
      </c>
      <c r="O71" s="197">
        <f t="shared" si="150"/>
        <v>326.76669436050361</v>
      </c>
      <c r="P71" s="196">
        <f t="shared" si="142"/>
        <v>927.97656035251941</v>
      </c>
      <c r="Q71" s="197">
        <f t="shared" si="143"/>
        <v>160.75184510043644</v>
      </c>
      <c r="R71" s="197">
        <f t="shared" si="144"/>
        <v>849.96318256285883</v>
      </c>
      <c r="S71" s="197">
        <f t="shared" si="145"/>
        <v>78.013377789660524</v>
      </c>
      <c r="T71" s="199">
        <f t="shared" si="146"/>
        <v>238.76522289009696</v>
      </c>
      <c r="U71" s="196">
        <f t="shared" si="151"/>
        <v>11793.381893868955</v>
      </c>
      <c r="V71" s="197">
        <f t="shared" si="151"/>
        <v>1701.2038724890876</v>
      </c>
      <c r="W71" s="197">
        <f t="shared" si="151"/>
        <v>10367.863738459164</v>
      </c>
      <c r="X71" s="197">
        <f t="shared" si="151"/>
        <v>1425.5181554097915</v>
      </c>
      <c r="Y71" s="199">
        <f t="shared" si="151"/>
        <v>3126.7220278988789</v>
      </c>
      <c r="Z71" s="197"/>
      <c r="AB71" s="204">
        <f t="shared" si="200"/>
        <v>9</v>
      </c>
      <c r="AC71" s="219" t="s">
        <v>6</v>
      </c>
      <c r="AD71" s="747">
        <f>'Arable Inputs'!$F$18</f>
        <v>3.5</v>
      </c>
      <c r="AE71" s="747">
        <f>'Arable Inputs'!$F$25</f>
        <v>335</v>
      </c>
      <c r="AF71" s="747">
        <f>'Arable Inputs'!$F$19</f>
        <v>2.6</v>
      </c>
      <c r="AG71" s="747">
        <f>'Arable Inputs'!$F$26</f>
        <v>37.5</v>
      </c>
      <c r="AH71" s="749">
        <f>AD71*AE71+AF71*AG71</f>
        <v>1270</v>
      </c>
      <c r="AI71" s="197">
        <f>'Arable NPV'!$E151</f>
        <v>220</v>
      </c>
      <c r="AJ71" s="197">
        <f t="shared" si="152"/>
        <v>1490</v>
      </c>
      <c r="AK71" s="197">
        <f>'Arable NPV'!$G151</f>
        <v>541.75901992521074</v>
      </c>
      <c r="AL71" s="197">
        <f>'Arable NPV'!$H151</f>
        <v>621.47428571428577</v>
      </c>
      <c r="AM71" s="197">
        <f t="shared" si="153"/>
        <v>1163.2333056394964</v>
      </c>
      <c r="AN71" s="197">
        <f t="shared" si="154"/>
        <v>106.76669436050361</v>
      </c>
      <c r="AO71" s="197">
        <f t="shared" si="155"/>
        <v>326.76669436050361</v>
      </c>
      <c r="AP71" s="196">
        <f t="shared" si="156"/>
        <v>796.8137116041197</v>
      </c>
      <c r="AQ71" s="197">
        <f t="shared" si="157"/>
        <v>138.03072169520183</v>
      </c>
      <c r="AR71" s="197">
        <f t="shared" si="158"/>
        <v>729.82696671506812</v>
      </c>
      <c r="AS71" s="197">
        <f t="shared" si="159"/>
        <v>66.986744889051579</v>
      </c>
      <c r="AT71" s="199">
        <f t="shared" si="160"/>
        <v>205.01746658425341</v>
      </c>
      <c r="AU71" s="196">
        <f t="shared" si="161"/>
        <v>11024.525924961643</v>
      </c>
      <c r="AV71" s="197">
        <f t="shared" si="161"/>
        <v>1586.1546384133012</v>
      </c>
      <c r="AW71" s="197">
        <f t="shared" si="161"/>
        <v>9692.5027851162631</v>
      </c>
      <c r="AX71" s="197">
        <f t="shared" si="161"/>
        <v>1332.0231398453814</v>
      </c>
      <c r="AY71" s="199">
        <f t="shared" si="162"/>
        <v>2918.1777782586823</v>
      </c>
      <c r="BB71" s="204">
        <f t="shared" si="201"/>
        <v>9</v>
      </c>
      <c r="BC71" s="219" t="s">
        <v>6</v>
      </c>
      <c r="BD71" s="747">
        <f>'Arable Inputs'!$F$18</f>
        <v>3.5</v>
      </c>
      <c r="BE71" s="747">
        <f>'Arable Inputs'!$F$25</f>
        <v>335</v>
      </c>
      <c r="BF71" s="747">
        <f>'Arable Inputs'!$F$19</f>
        <v>2.6</v>
      </c>
      <c r="BG71" s="747">
        <f>'Arable Inputs'!$F$26</f>
        <v>37.5</v>
      </c>
      <c r="BH71" s="749">
        <f>BD71*BE71+BF71*BG71</f>
        <v>1270</v>
      </c>
      <c r="BI71" s="197">
        <f>'Arable NPV'!$E151</f>
        <v>220</v>
      </c>
      <c r="BJ71" s="197">
        <f t="shared" si="163"/>
        <v>1490</v>
      </c>
      <c r="BK71" s="197">
        <f>'Arable NPV'!$G151</f>
        <v>541.75901992521074</v>
      </c>
      <c r="BL71" s="197">
        <f>'Arable NPV'!$H151</f>
        <v>621.47428571428577</v>
      </c>
      <c r="BM71" s="197">
        <f t="shared" si="164"/>
        <v>1163.2333056394964</v>
      </c>
      <c r="BN71" s="197">
        <f t="shared" si="165"/>
        <v>106.76669436050361</v>
      </c>
      <c r="BO71" s="197">
        <f t="shared" si="166"/>
        <v>326.76669436050361</v>
      </c>
      <c r="BP71" s="196">
        <f t="shared" si="167"/>
        <v>1083.9327714114418</v>
      </c>
      <c r="BQ71" s="197">
        <f t="shared" si="168"/>
        <v>187.76788166182456</v>
      </c>
      <c r="BR71" s="197">
        <f t="shared" si="169"/>
        <v>992.8084258109543</v>
      </c>
      <c r="BS71" s="197">
        <f t="shared" si="170"/>
        <v>91.124345600487416</v>
      </c>
      <c r="BT71" s="199">
        <f t="shared" si="171"/>
        <v>278.89222726231196</v>
      </c>
      <c r="BU71" s="196">
        <f t="shared" si="172"/>
        <v>12664.19676845369</v>
      </c>
      <c r="BV71" s="197">
        <f t="shared" si="172"/>
        <v>1831.605916908773</v>
      </c>
      <c r="BW71" s="197">
        <f t="shared" si="172"/>
        <v>11132.566643878126</v>
      </c>
      <c r="BX71" s="197">
        <f t="shared" si="173"/>
        <v>1531.630124575564</v>
      </c>
      <c r="BY71" s="199">
        <f t="shared" si="174"/>
        <v>3363.236041484337</v>
      </c>
      <c r="CB71" s="204">
        <f t="shared" si="202"/>
        <v>9</v>
      </c>
      <c r="CC71" s="219" t="s">
        <v>6</v>
      </c>
      <c r="CD71" s="747">
        <f>'Arable Inputs'!$F$18</f>
        <v>3.5</v>
      </c>
      <c r="CE71" s="747">
        <f>'Arable Inputs'!$F$25</f>
        <v>335</v>
      </c>
      <c r="CF71" s="747">
        <f>'Arable Inputs'!$F$19</f>
        <v>2.6</v>
      </c>
      <c r="CG71" s="747">
        <f>'Arable Inputs'!$F$26</f>
        <v>37.5</v>
      </c>
      <c r="CH71" s="749">
        <f>CD71*CE71+CF71*CG71</f>
        <v>1270</v>
      </c>
      <c r="CI71" s="197">
        <f>'Arable NPV'!$E151</f>
        <v>220</v>
      </c>
      <c r="CJ71" s="197">
        <f t="shared" si="175"/>
        <v>1490</v>
      </c>
      <c r="CK71" s="197">
        <f>'Arable NPV'!$G151</f>
        <v>541.75901992521074</v>
      </c>
      <c r="CL71" s="197">
        <f>'Arable NPV'!$H151</f>
        <v>621.47428571428577</v>
      </c>
      <c r="CM71" s="197">
        <f t="shared" si="176"/>
        <v>1163.2333056394964</v>
      </c>
      <c r="CN71" s="197">
        <f t="shared" si="177"/>
        <v>106.76669436050361</v>
      </c>
      <c r="CO71" s="197">
        <f t="shared" si="178"/>
        <v>326.76669436050361</v>
      </c>
      <c r="CP71" s="196">
        <f t="shared" si="179"/>
        <v>686.14148331750926</v>
      </c>
      <c r="CQ71" s="197">
        <f t="shared" si="180"/>
        <v>118.85915459043467</v>
      </c>
      <c r="CR71" s="197">
        <f t="shared" si="181"/>
        <v>628.45876045339651</v>
      </c>
      <c r="CS71" s="197">
        <f t="shared" si="182"/>
        <v>57.682722864112669</v>
      </c>
      <c r="CT71" s="199">
        <f t="shared" si="183"/>
        <v>176.54187745454735</v>
      </c>
      <c r="CU71" s="196">
        <f t="shared" si="184"/>
        <v>10343.125371356016</v>
      </c>
      <c r="CV71" s="197">
        <f t="shared" si="184"/>
        <v>1484.260567619566</v>
      </c>
      <c r="CW71" s="197">
        <f t="shared" si="185"/>
        <v>9093.8084659114029</v>
      </c>
      <c r="CX71" s="197">
        <f t="shared" si="186"/>
        <v>1249.3169054446134</v>
      </c>
      <c r="CY71" s="199">
        <f t="shared" si="187"/>
        <v>2733.5774730641792</v>
      </c>
      <c r="DB71" s="204">
        <f t="shared" si="188"/>
        <v>9</v>
      </c>
      <c r="DC71" s="219" t="s">
        <v>6</v>
      </c>
      <c r="DD71" s="747">
        <f>'Arable Inputs'!$F$18</f>
        <v>3.5</v>
      </c>
      <c r="DE71" s="747">
        <f>'Arable Inputs'!$F$25</f>
        <v>335</v>
      </c>
      <c r="DF71" s="747">
        <f>'Arable Inputs'!$F$19</f>
        <v>2.6</v>
      </c>
      <c r="DG71" s="747">
        <f>'Arable Inputs'!$F$26</f>
        <v>37.5</v>
      </c>
      <c r="DH71" s="749">
        <f>DD71*DE71+DF71*DG71</f>
        <v>1270</v>
      </c>
      <c r="DI71" s="197">
        <f>'Arable NPV'!$E151</f>
        <v>220</v>
      </c>
      <c r="DJ71" s="197">
        <f t="shared" si="189"/>
        <v>1490</v>
      </c>
      <c r="DK71" s="197">
        <f>'Arable NPV'!$G151</f>
        <v>541.75901992521074</v>
      </c>
      <c r="DL71" s="197">
        <f>'Arable NPV'!$H151</f>
        <v>621.47428571428577</v>
      </c>
      <c r="DM71" s="197">
        <f t="shared" si="190"/>
        <v>1163.2333056394964</v>
      </c>
      <c r="DN71" s="197">
        <f t="shared" si="191"/>
        <v>106.76669436050361</v>
      </c>
      <c r="DO71" s="197">
        <f t="shared" si="192"/>
        <v>326.76669436050361</v>
      </c>
      <c r="DP71" s="196">
        <f t="shared" si="193"/>
        <v>1270</v>
      </c>
      <c r="DQ71" s="197">
        <f t="shared" si="194"/>
        <v>220</v>
      </c>
      <c r="DR71" s="197">
        <f t="shared" si="195"/>
        <v>1163.2333056394964</v>
      </c>
      <c r="DS71" s="197">
        <f t="shared" si="196"/>
        <v>106.76669436050361</v>
      </c>
      <c r="DT71" s="199">
        <f t="shared" si="197"/>
        <v>326.76669436050361</v>
      </c>
      <c r="DU71" s="196">
        <f t="shared" si="198"/>
        <v>13654.36</v>
      </c>
      <c r="DV71" s="197">
        <f t="shared" si="198"/>
        <v>1980</v>
      </c>
      <c r="DW71" s="197">
        <f t="shared" si="198"/>
        <v>12001.805331935353</v>
      </c>
      <c r="DX71" s="197">
        <f t="shared" si="198"/>
        <v>1652.5546680646476</v>
      </c>
      <c r="DY71" s="199">
        <f t="shared" si="198"/>
        <v>3632.5546680646476</v>
      </c>
    </row>
    <row r="72" spans="2:129" x14ac:dyDescent="0.3">
      <c r="B72" s="204">
        <f t="shared" si="199"/>
        <v>10</v>
      </c>
      <c r="C72" s="219" t="s">
        <v>5</v>
      </c>
      <c r="D72" s="747">
        <f>'Arable Inputs'!$E$18</f>
        <v>6.3</v>
      </c>
      <c r="E72" s="747">
        <f>'Arable Inputs'!$E$25</f>
        <v>140</v>
      </c>
      <c r="F72" s="747">
        <f>'Arable Inputs'!$E$19</f>
        <v>3.5</v>
      </c>
      <c r="G72" s="747">
        <f>'Arable Inputs'!$E$26</f>
        <v>70</v>
      </c>
      <c r="H72" s="749">
        <f>D72*E72+F72*G72</f>
        <v>1127</v>
      </c>
      <c r="I72" s="197">
        <f>'Arable NPV'!$E152</f>
        <v>220</v>
      </c>
      <c r="J72" s="197">
        <f t="shared" si="147"/>
        <v>1347</v>
      </c>
      <c r="K72" s="197">
        <f>'Arable NPV'!$G152</f>
        <v>418.54877602277168</v>
      </c>
      <c r="L72" s="197">
        <f>'Arable NPV'!$H152</f>
        <v>773.65999999999985</v>
      </c>
      <c r="M72" s="197">
        <f t="shared" si="148"/>
        <v>1192.2087760227714</v>
      </c>
      <c r="N72" s="197">
        <f t="shared" si="149"/>
        <v>-65.208776022771417</v>
      </c>
      <c r="O72" s="197">
        <f t="shared" si="150"/>
        <v>154.79122397722858</v>
      </c>
      <c r="P72" s="196">
        <f t="shared" si="142"/>
        <v>791.81525099734199</v>
      </c>
      <c r="Q72" s="197">
        <f t="shared" si="143"/>
        <v>154.5690818273427</v>
      </c>
      <c r="R72" s="197">
        <f t="shared" si="144"/>
        <v>837.63007207427199</v>
      </c>
      <c r="S72" s="197">
        <f t="shared" si="145"/>
        <v>-45.81482107693008</v>
      </c>
      <c r="T72" s="199">
        <f t="shared" si="146"/>
        <v>108.75426075041263</v>
      </c>
      <c r="U72" s="196">
        <f t="shared" si="151"/>
        <v>12585.197144866297</v>
      </c>
      <c r="V72" s="197">
        <f t="shared" si="151"/>
        <v>1855.7729543164303</v>
      </c>
      <c r="W72" s="197">
        <f t="shared" si="151"/>
        <v>11205.493810533437</v>
      </c>
      <c r="X72" s="197">
        <f t="shared" si="151"/>
        <v>1379.7033343328615</v>
      </c>
      <c r="Y72" s="199">
        <f t="shared" si="151"/>
        <v>3235.4762886492913</v>
      </c>
      <c r="Z72" s="197"/>
      <c r="AB72" s="204">
        <f t="shared" si="200"/>
        <v>10</v>
      </c>
      <c r="AC72" s="219" t="s">
        <v>5</v>
      </c>
      <c r="AD72" s="747">
        <f>'Arable Inputs'!$E$18</f>
        <v>6.3</v>
      </c>
      <c r="AE72" s="747">
        <f>'Arable Inputs'!$E$25</f>
        <v>140</v>
      </c>
      <c r="AF72" s="747">
        <f>'Arable Inputs'!$E$19</f>
        <v>3.5</v>
      </c>
      <c r="AG72" s="747">
        <f>'Arable Inputs'!$E$26</f>
        <v>70</v>
      </c>
      <c r="AH72" s="749">
        <f>AD72*AE72+AF72*AG72</f>
        <v>1127</v>
      </c>
      <c r="AI72" s="197">
        <f>'Arable NPV'!$E152</f>
        <v>220</v>
      </c>
      <c r="AJ72" s="197">
        <f t="shared" si="152"/>
        <v>1347</v>
      </c>
      <c r="AK72" s="197">
        <f>'Arable NPV'!$G152</f>
        <v>418.54877602277168</v>
      </c>
      <c r="AL72" s="197">
        <f>'Arable NPV'!$H152</f>
        <v>773.65999999999985</v>
      </c>
      <c r="AM72" s="197">
        <f t="shared" si="153"/>
        <v>1192.2087760227714</v>
      </c>
      <c r="AN72" s="197">
        <f t="shared" si="154"/>
        <v>-65.208776022771417</v>
      </c>
      <c r="AO72" s="197">
        <f t="shared" si="155"/>
        <v>154.79122397722858</v>
      </c>
      <c r="AP72" s="196">
        <f t="shared" si="156"/>
        <v>667.06956839833822</v>
      </c>
      <c r="AQ72" s="197">
        <f t="shared" si="157"/>
        <v>130.21766197660551</v>
      </c>
      <c r="AR72" s="197">
        <f t="shared" si="158"/>
        <v>705.66654273489007</v>
      </c>
      <c r="AS72" s="197">
        <f t="shared" si="159"/>
        <v>-38.596974336551938</v>
      </c>
      <c r="AT72" s="199">
        <f t="shared" si="160"/>
        <v>91.620687640053561</v>
      </c>
      <c r="AU72" s="196">
        <f t="shared" si="161"/>
        <v>11691.595493359981</v>
      </c>
      <c r="AV72" s="197">
        <f t="shared" si="161"/>
        <v>1716.3723003899067</v>
      </c>
      <c r="AW72" s="197">
        <f t="shared" si="161"/>
        <v>10398.169327851154</v>
      </c>
      <c r="AX72" s="197">
        <f t="shared" si="161"/>
        <v>1293.4261655088294</v>
      </c>
      <c r="AY72" s="199">
        <f t="shared" si="162"/>
        <v>3009.7984658987357</v>
      </c>
      <c r="BB72" s="204">
        <f t="shared" si="201"/>
        <v>10</v>
      </c>
      <c r="BC72" s="219" t="s">
        <v>5</v>
      </c>
      <c r="BD72" s="747">
        <f>'Arable Inputs'!$E$18</f>
        <v>6.3</v>
      </c>
      <c r="BE72" s="747">
        <f>'Arable Inputs'!$E$25</f>
        <v>140</v>
      </c>
      <c r="BF72" s="747">
        <f>'Arable Inputs'!$E$19</f>
        <v>3.5</v>
      </c>
      <c r="BG72" s="747">
        <f>'Arable Inputs'!$E$26</f>
        <v>70</v>
      </c>
      <c r="BH72" s="749">
        <f>BD72*BE72+BF72*BG72</f>
        <v>1127</v>
      </c>
      <c r="BI72" s="197">
        <f>'Arable NPV'!$E152</f>
        <v>220</v>
      </c>
      <c r="BJ72" s="197">
        <f t="shared" si="163"/>
        <v>1347</v>
      </c>
      <c r="BK72" s="197">
        <f>'Arable NPV'!$G152</f>
        <v>418.54877602277168</v>
      </c>
      <c r="BL72" s="197">
        <f>'Arable NPV'!$H152</f>
        <v>773.65999999999985</v>
      </c>
      <c r="BM72" s="197">
        <f t="shared" si="164"/>
        <v>1192.2087760227714</v>
      </c>
      <c r="BN72" s="197">
        <f t="shared" si="165"/>
        <v>-65.208776022771417</v>
      </c>
      <c r="BO72" s="197">
        <f t="shared" si="166"/>
        <v>154.79122397722858</v>
      </c>
      <c r="BP72" s="196">
        <f t="shared" si="167"/>
        <v>943.0231846384861</v>
      </c>
      <c r="BQ72" s="197">
        <f t="shared" si="168"/>
        <v>184.08615849198486</v>
      </c>
      <c r="BR72" s="197">
        <f t="shared" si="169"/>
        <v>997.58697135665079</v>
      </c>
      <c r="BS72" s="197">
        <f t="shared" si="170"/>
        <v>-54.563786718164735</v>
      </c>
      <c r="BT72" s="199">
        <f t="shared" si="171"/>
        <v>129.52237177382011</v>
      </c>
      <c r="BU72" s="196">
        <f t="shared" si="172"/>
        <v>13607.219953092177</v>
      </c>
      <c r="BV72" s="197">
        <f t="shared" si="172"/>
        <v>2015.6920754007579</v>
      </c>
      <c r="BW72" s="197">
        <f t="shared" si="172"/>
        <v>12130.153615234776</v>
      </c>
      <c r="BX72" s="197">
        <f t="shared" si="173"/>
        <v>1477.0663378573993</v>
      </c>
      <c r="BY72" s="199">
        <f t="shared" si="174"/>
        <v>3492.7584132581569</v>
      </c>
      <c r="CB72" s="204">
        <f t="shared" si="202"/>
        <v>10</v>
      </c>
      <c r="CC72" s="219" t="s">
        <v>5</v>
      </c>
      <c r="CD72" s="747">
        <f>'Arable Inputs'!$E$18</f>
        <v>6.3</v>
      </c>
      <c r="CE72" s="747">
        <f>'Arable Inputs'!$E$25</f>
        <v>140</v>
      </c>
      <c r="CF72" s="747">
        <f>'Arable Inputs'!$E$19</f>
        <v>3.5</v>
      </c>
      <c r="CG72" s="747">
        <f>'Arable Inputs'!$E$26</f>
        <v>70</v>
      </c>
      <c r="CH72" s="749">
        <f>CD72*CE72+CF72*CG72</f>
        <v>1127</v>
      </c>
      <c r="CI72" s="197">
        <f>'Arable NPV'!$E152</f>
        <v>220</v>
      </c>
      <c r="CJ72" s="197">
        <f t="shared" si="175"/>
        <v>1347</v>
      </c>
      <c r="CK72" s="197">
        <f>'Arable NPV'!$G152</f>
        <v>418.54877602277168</v>
      </c>
      <c r="CL72" s="197">
        <f>'Arable NPV'!$H152</f>
        <v>773.65999999999985</v>
      </c>
      <c r="CM72" s="197">
        <f t="shared" si="176"/>
        <v>1192.2087760227714</v>
      </c>
      <c r="CN72" s="197">
        <f t="shared" si="177"/>
        <v>-65.208776022771417</v>
      </c>
      <c r="CO72" s="197">
        <f t="shared" si="178"/>
        <v>154.79122397722858</v>
      </c>
      <c r="CP72" s="196">
        <f t="shared" si="179"/>
        <v>563.78058595715436</v>
      </c>
      <c r="CQ72" s="197">
        <f t="shared" si="180"/>
        <v>110.05477276892098</v>
      </c>
      <c r="CR72" s="197">
        <f t="shared" si="181"/>
        <v>596.40120881045232</v>
      </c>
      <c r="CS72" s="197">
        <f t="shared" si="182"/>
        <v>-32.620622853298052</v>
      </c>
      <c r="CT72" s="199">
        <f t="shared" si="183"/>
        <v>77.434149915622925</v>
      </c>
      <c r="CU72" s="196">
        <f t="shared" si="184"/>
        <v>10906.905957313171</v>
      </c>
      <c r="CV72" s="197">
        <f t="shared" si="184"/>
        <v>1594.3153403884869</v>
      </c>
      <c r="CW72" s="197">
        <f t="shared" si="185"/>
        <v>9690.2096747218548</v>
      </c>
      <c r="CX72" s="197">
        <f t="shared" si="186"/>
        <v>1216.6962825913154</v>
      </c>
      <c r="CY72" s="199">
        <f t="shared" si="187"/>
        <v>2811.0116229798023</v>
      </c>
      <c r="DB72" s="204">
        <f t="shared" si="188"/>
        <v>10</v>
      </c>
      <c r="DC72" s="219" t="s">
        <v>5</v>
      </c>
      <c r="DD72" s="747">
        <f>'Arable Inputs'!$E$18</f>
        <v>6.3</v>
      </c>
      <c r="DE72" s="747">
        <f>'Arable Inputs'!$E$25</f>
        <v>140</v>
      </c>
      <c r="DF72" s="747">
        <f>'Arable Inputs'!$E$19</f>
        <v>3.5</v>
      </c>
      <c r="DG72" s="747">
        <f>'Arable Inputs'!$E$26</f>
        <v>70</v>
      </c>
      <c r="DH72" s="749">
        <f>DD72*DE72+DF72*DG72</f>
        <v>1127</v>
      </c>
      <c r="DI72" s="197">
        <f>'Arable NPV'!$E152</f>
        <v>220</v>
      </c>
      <c r="DJ72" s="197">
        <f t="shared" si="189"/>
        <v>1347</v>
      </c>
      <c r="DK72" s="197">
        <f>'Arable NPV'!$G152</f>
        <v>418.54877602277168</v>
      </c>
      <c r="DL72" s="197">
        <f>'Arable NPV'!$H152</f>
        <v>773.65999999999985</v>
      </c>
      <c r="DM72" s="197">
        <f t="shared" si="190"/>
        <v>1192.2087760227714</v>
      </c>
      <c r="DN72" s="197">
        <f t="shared" si="191"/>
        <v>-65.208776022771417</v>
      </c>
      <c r="DO72" s="197">
        <f t="shared" si="192"/>
        <v>154.79122397722858</v>
      </c>
      <c r="DP72" s="196">
        <f t="shared" si="193"/>
        <v>1127</v>
      </c>
      <c r="DQ72" s="197">
        <f t="shared" si="194"/>
        <v>220</v>
      </c>
      <c r="DR72" s="197">
        <f t="shared" si="195"/>
        <v>1192.2087760227714</v>
      </c>
      <c r="DS72" s="197">
        <f t="shared" si="196"/>
        <v>-65.208776022771417</v>
      </c>
      <c r="DT72" s="199">
        <f t="shared" si="197"/>
        <v>154.79122397722858</v>
      </c>
      <c r="DU72" s="196">
        <f t="shared" si="198"/>
        <v>14781.36</v>
      </c>
      <c r="DV72" s="197">
        <f t="shared" si="198"/>
        <v>2200</v>
      </c>
      <c r="DW72" s="197">
        <f t="shared" si="198"/>
        <v>13194.014107958124</v>
      </c>
      <c r="DX72" s="197">
        <f t="shared" si="198"/>
        <v>1587.3458920418761</v>
      </c>
      <c r="DY72" s="199">
        <f t="shared" si="198"/>
        <v>3787.3458920418761</v>
      </c>
    </row>
    <row r="73" spans="2:129" x14ac:dyDescent="0.3">
      <c r="B73" s="204">
        <f t="shared" si="199"/>
        <v>11</v>
      </c>
      <c r="C73" s="219" t="s">
        <v>4</v>
      </c>
      <c r="D73" s="747">
        <f>'Arable Inputs'!$D$18</f>
        <v>8.25</v>
      </c>
      <c r="E73" s="747">
        <f>'Arable Inputs'!$D$25</f>
        <v>162</v>
      </c>
      <c r="F73" s="747">
        <f>'Arable Inputs'!$D$19</f>
        <v>3.9</v>
      </c>
      <c r="G73" s="747">
        <f>'Arable Inputs'!$D$26</f>
        <v>65</v>
      </c>
      <c r="H73" s="749">
        <f>D73*E73+F73*G73</f>
        <v>1590</v>
      </c>
      <c r="I73" s="197">
        <f>'Arable NPV'!$E153</f>
        <v>220</v>
      </c>
      <c r="J73" s="197">
        <f t="shared" si="147"/>
        <v>1810</v>
      </c>
      <c r="K73" s="197">
        <f>'Arable NPV'!$G153</f>
        <v>684.46423508399835</v>
      </c>
      <c r="L73" s="197">
        <f>'Arable NPV'!$H153</f>
        <v>841.31999999999994</v>
      </c>
      <c r="M73" s="197">
        <f t="shared" si="148"/>
        <v>1525.7842350839983</v>
      </c>
      <c r="N73" s="197">
        <f t="shared" si="149"/>
        <v>64.215764916001717</v>
      </c>
      <c r="O73" s="197">
        <f t="shared" si="150"/>
        <v>284.21576491600172</v>
      </c>
      <c r="P73" s="196">
        <f t="shared" si="142"/>
        <v>1074.1470284330196</v>
      </c>
      <c r="Q73" s="197">
        <f t="shared" si="143"/>
        <v>148.62411714167567</v>
      </c>
      <c r="R73" s="197">
        <f t="shared" si="144"/>
        <v>1030.7651585820281</v>
      </c>
      <c r="S73" s="197">
        <f t="shared" si="145"/>
        <v>43.381869850991578</v>
      </c>
      <c r="T73" s="199">
        <f t="shared" si="146"/>
        <v>192.00598699266726</v>
      </c>
      <c r="U73" s="196">
        <f t="shared" si="151"/>
        <v>13659.344173299316</v>
      </c>
      <c r="V73" s="197">
        <f t="shared" si="151"/>
        <v>2004.397071458106</v>
      </c>
      <c r="W73" s="197">
        <f t="shared" si="151"/>
        <v>12236.258969115464</v>
      </c>
      <c r="X73" s="197">
        <f t="shared" si="151"/>
        <v>1423.085204183853</v>
      </c>
      <c r="Y73" s="199">
        <f t="shared" si="151"/>
        <v>3427.4822756419585</v>
      </c>
      <c r="Z73" s="197"/>
      <c r="AB73" s="204">
        <f t="shared" si="200"/>
        <v>11</v>
      </c>
      <c r="AC73" s="219" t="s">
        <v>4</v>
      </c>
      <c r="AD73" s="747">
        <f>'Arable Inputs'!$D$18</f>
        <v>8.25</v>
      </c>
      <c r="AE73" s="747">
        <f>'Arable Inputs'!$D$25</f>
        <v>162</v>
      </c>
      <c r="AF73" s="747">
        <f>'Arable Inputs'!$D$19</f>
        <v>3.9</v>
      </c>
      <c r="AG73" s="747">
        <f>'Arable Inputs'!$D$26</f>
        <v>65</v>
      </c>
      <c r="AH73" s="749">
        <f>AD73*AE73+AF73*AG73</f>
        <v>1590</v>
      </c>
      <c r="AI73" s="197">
        <f>'Arable NPV'!$E153</f>
        <v>220</v>
      </c>
      <c r="AJ73" s="197">
        <f t="shared" si="152"/>
        <v>1810</v>
      </c>
      <c r="AK73" s="197">
        <f>'Arable NPV'!$G153</f>
        <v>684.46423508399835</v>
      </c>
      <c r="AL73" s="197">
        <f>'Arable NPV'!$H153</f>
        <v>841.31999999999994</v>
      </c>
      <c r="AM73" s="197">
        <f t="shared" si="153"/>
        <v>1525.7842350839983</v>
      </c>
      <c r="AN73" s="197">
        <f t="shared" si="154"/>
        <v>64.215764916001717</v>
      </c>
      <c r="AO73" s="197">
        <f t="shared" si="155"/>
        <v>284.21576491600172</v>
      </c>
      <c r="AP73" s="196">
        <f t="shared" si="156"/>
        <v>887.8476952950374</v>
      </c>
      <c r="AQ73" s="197">
        <f t="shared" si="157"/>
        <v>122.84685092132594</v>
      </c>
      <c r="AR73" s="197">
        <f t="shared" si="158"/>
        <v>851.98994757033302</v>
      </c>
      <c r="AS73" s="197">
        <f t="shared" si="159"/>
        <v>35.857747724704431</v>
      </c>
      <c r="AT73" s="199">
        <f t="shared" si="160"/>
        <v>158.70459864603038</v>
      </c>
      <c r="AU73" s="196">
        <f t="shared" si="161"/>
        <v>12579.443188655017</v>
      </c>
      <c r="AV73" s="197">
        <f t="shared" si="161"/>
        <v>1839.2191513112327</v>
      </c>
      <c r="AW73" s="197">
        <f t="shared" si="161"/>
        <v>11250.159275421487</v>
      </c>
      <c r="AX73" s="197">
        <f t="shared" si="161"/>
        <v>1329.2839132335339</v>
      </c>
      <c r="AY73" s="199">
        <f t="shared" si="162"/>
        <v>3168.5030645447659</v>
      </c>
      <c r="BB73" s="204">
        <f t="shared" si="201"/>
        <v>11</v>
      </c>
      <c r="BC73" s="219" t="s">
        <v>4</v>
      </c>
      <c r="BD73" s="747">
        <f>'Arable Inputs'!$D$18</f>
        <v>8.25</v>
      </c>
      <c r="BE73" s="747">
        <f>'Arable Inputs'!$D$25</f>
        <v>162</v>
      </c>
      <c r="BF73" s="747">
        <f>'Arable Inputs'!$D$19</f>
        <v>3.9</v>
      </c>
      <c r="BG73" s="747">
        <f>'Arable Inputs'!$D$26</f>
        <v>65</v>
      </c>
      <c r="BH73" s="749">
        <f>BD73*BE73+BF73*BG73</f>
        <v>1590</v>
      </c>
      <c r="BI73" s="197">
        <f>'Arable NPV'!$E153</f>
        <v>220</v>
      </c>
      <c r="BJ73" s="197">
        <f t="shared" si="163"/>
        <v>1810</v>
      </c>
      <c r="BK73" s="197">
        <f>'Arable NPV'!$G153</f>
        <v>684.46423508399835</v>
      </c>
      <c r="BL73" s="197">
        <f>'Arable NPV'!$H153</f>
        <v>841.31999999999994</v>
      </c>
      <c r="BM73" s="197">
        <f t="shared" si="164"/>
        <v>1525.7842350839983</v>
      </c>
      <c r="BN73" s="197">
        <f t="shared" si="165"/>
        <v>64.215764916001717</v>
      </c>
      <c r="BO73" s="197">
        <f t="shared" si="166"/>
        <v>284.21576491600172</v>
      </c>
      <c r="BP73" s="196">
        <f t="shared" si="167"/>
        <v>1304.3537968014969</v>
      </c>
      <c r="BQ73" s="197">
        <f t="shared" si="168"/>
        <v>180.47662597253415</v>
      </c>
      <c r="BR73" s="197">
        <f t="shared" si="169"/>
        <v>1251.6745032274723</v>
      </c>
      <c r="BS73" s="197">
        <f t="shared" si="170"/>
        <v>52.679293574024655</v>
      </c>
      <c r="BT73" s="199">
        <f t="shared" si="171"/>
        <v>233.15591954655881</v>
      </c>
      <c r="BU73" s="196">
        <f t="shared" si="172"/>
        <v>14911.573749893674</v>
      </c>
      <c r="BV73" s="197">
        <f t="shared" si="172"/>
        <v>2196.1687013732922</v>
      </c>
      <c r="BW73" s="197">
        <f t="shared" si="172"/>
        <v>13381.828118462248</v>
      </c>
      <c r="BX73" s="197">
        <f t="shared" si="173"/>
        <v>1529.745631431424</v>
      </c>
      <c r="BY73" s="199">
        <f t="shared" si="174"/>
        <v>3725.9143328047157</v>
      </c>
      <c r="CB73" s="204">
        <f t="shared" si="202"/>
        <v>11</v>
      </c>
      <c r="CC73" s="219" t="s">
        <v>4</v>
      </c>
      <c r="CD73" s="747">
        <f>'Arable Inputs'!$D$18</f>
        <v>8.25</v>
      </c>
      <c r="CE73" s="747">
        <f>'Arable Inputs'!$D$25</f>
        <v>162</v>
      </c>
      <c r="CF73" s="747">
        <f>'Arable Inputs'!$D$19</f>
        <v>3.9</v>
      </c>
      <c r="CG73" s="747">
        <f>'Arable Inputs'!$D$26</f>
        <v>65</v>
      </c>
      <c r="CH73" s="749">
        <f>CD73*CE73+CF73*CG73</f>
        <v>1590</v>
      </c>
      <c r="CI73" s="197">
        <f>'Arable NPV'!$E153</f>
        <v>220</v>
      </c>
      <c r="CJ73" s="197">
        <f t="shared" si="175"/>
        <v>1810</v>
      </c>
      <c r="CK73" s="197">
        <f>'Arable NPV'!$G153</f>
        <v>684.46423508399835</v>
      </c>
      <c r="CL73" s="197">
        <f>'Arable NPV'!$H153</f>
        <v>841.31999999999994</v>
      </c>
      <c r="CM73" s="197">
        <f t="shared" si="176"/>
        <v>1525.7842350839983</v>
      </c>
      <c r="CN73" s="197">
        <f t="shared" si="177"/>
        <v>64.215764916001717</v>
      </c>
      <c r="CO73" s="197">
        <f t="shared" si="178"/>
        <v>284.21576491600172</v>
      </c>
      <c r="CP73" s="196">
        <f t="shared" si="179"/>
        <v>736.47764605464795</v>
      </c>
      <c r="CQ73" s="197">
        <f t="shared" si="180"/>
        <v>101.90256737863054</v>
      </c>
      <c r="CR73" s="197">
        <f t="shared" si="181"/>
        <v>706.733321913179</v>
      </c>
      <c r="CS73" s="197">
        <f t="shared" si="182"/>
        <v>29.744324141468926</v>
      </c>
      <c r="CT73" s="199">
        <f t="shared" si="183"/>
        <v>131.64689152009947</v>
      </c>
      <c r="CU73" s="196">
        <f t="shared" si="184"/>
        <v>11643.383603367818</v>
      </c>
      <c r="CV73" s="197">
        <f t="shared" si="184"/>
        <v>1696.2179077671174</v>
      </c>
      <c r="CW73" s="197">
        <f t="shared" si="185"/>
        <v>10396.942996635034</v>
      </c>
      <c r="CX73" s="197">
        <f t="shared" si="186"/>
        <v>1246.4406067327843</v>
      </c>
      <c r="CY73" s="199">
        <f t="shared" si="187"/>
        <v>2942.6585144999017</v>
      </c>
      <c r="DB73" s="204">
        <f t="shared" si="188"/>
        <v>11</v>
      </c>
      <c r="DC73" s="219" t="s">
        <v>4</v>
      </c>
      <c r="DD73" s="747">
        <f>'Arable Inputs'!$D$18</f>
        <v>8.25</v>
      </c>
      <c r="DE73" s="747">
        <f>'Arable Inputs'!$D$25</f>
        <v>162</v>
      </c>
      <c r="DF73" s="747">
        <f>'Arable Inputs'!$D$19</f>
        <v>3.9</v>
      </c>
      <c r="DG73" s="747">
        <f>'Arable Inputs'!$D$26</f>
        <v>65</v>
      </c>
      <c r="DH73" s="749">
        <f>DD73*DE73+DF73*DG73</f>
        <v>1590</v>
      </c>
      <c r="DI73" s="197">
        <f>'Arable NPV'!$E153</f>
        <v>220</v>
      </c>
      <c r="DJ73" s="197">
        <f t="shared" si="189"/>
        <v>1810</v>
      </c>
      <c r="DK73" s="197">
        <f>'Arable NPV'!$G153</f>
        <v>684.46423508399835</v>
      </c>
      <c r="DL73" s="197">
        <f>'Arable NPV'!$H153</f>
        <v>841.31999999999994</v>
      </c>
      <c r="DM73" s="197">
        <f t="shared" si="190"/>
        <v>1525.7842350839983</v>
      </c>
      <c r="DN73" s="197">
        <f t="shared" si="191"/>
        <v>64.215764916001717</v>
      </c>
      <c r="DO73" s="197">
        <f t="shared" si="192"/>
        <v>284.21576491600172</v>
      </c>
      <c r="DP73" s="196">
        <f t="shared" si="193"/>
        <v>1590</v>
      </c>
      <c r="DQ73" s="197">
        <f t="shared" si="194"/>
        <v>220</v>
      </c>
      <c r="DR73" s="197">
        <f t="shared" si="195"/>
        <v>1525.7842350839983</v>
      </c>
      <c r="DS73" s="197">
        <f t="shared" si="196"/>
        <v>64.215764916001717</v>
      </c>
      <c r="DT73" s="199">
        <f t="shared" si="197"/>
        <v>284.21576491600172</v>
      </c>
      <c r="DU73" s="196">
        <f t="shared" si="198"/>
        <v>16371.36</v>
      </c>
      <c r="DV73" s="197">
        <f t="shared" si="198"/>
        <v>2420</v>
      </c>
      <c r="DW73" s="197">
        <f t="shared" si="198"/>
        <v>14719.798343042123</v>
      </c>
      <c r="DX73" s="197">
        <f t="shared" si="198"/>
        <v>1651.5616569578779</v>
      </c>
      <c r="DY73" s="199">
        <f t="shared" si="198"/>
        <v>4071.5616569578779</v>
      </c>
    </row>
    <row r="74" spans="2:129" x14ac:dyDescent="0.3">
      <c r="B74" s="204">
        <f t="shared" si="199"/>
        <v>12</v>
      </c>
      <c r="C74" s="219" t="s">
        <v>7</v>
      </c>
      <c r="D74" s="747">
        <f>'Arable Inputs'!$G$18</f>
        <v>78</v>
      </c>
      <c r="E74" s="747">
        <f>'Arable Inputs'!$G$25</f>
        <v>27.16</v>
      </c>
      <c r="H74" s="749">
        <f>D74*E74</f>
        <v>2118.48</v>
      </c>
      <c r="I74" s="197">
        <f>'Arable NPV'!$E154</f>
        <v>220</v>
      </c>
      <c r="J74" s="197">
        <f t="shared" si="147"/>
        <v>2338.48</v>
      </c>
      <c r="K74" s="197">
        <f>'Arable NPV'!$G154</f>
        <v>793.83573723279574</v>
      </c>
      <c r="L74" s="197">
        <f>'Arable NPV'!$H154</f>
        <v>841.03</v>
      </c>
      <c r="M74" s="197">
        <f t="shared" si="148"/>
        <v>1634.8657372327957</v>
      </c>
      <c r="N74" s="197">
        <f t="shared" si="149"/>
        <v>483.61426276720431</v>
      </c>
      <c r="O74" s="197">
        <f t="shared" si="150"/>
        <v>703.61426276720431</v>
      </c>
      <c r="P74" s="196">
        <f t="shared" si="142"/>
        <v>1376.1242118981518</v>
      </c>
      <c r="Q74" s="197">
        <f t="shared" si="143"/>
        <v>142.90780494391893</v>
      </c>
      <c r="R74" s="197">
        <f t="shared" si="144"/>
        <v>1061.9776085725482</v>
      </c>
      <c r="S74" s="197">
        <f t="shared" si="145"/>
        <v>314.14660332560362</v>
      </c>
      <c r="T74" s="199">
        <f t="shared" si="146"/>
        <v>457.05440826952253</v>
      </c>
      <c r="U74" s="196">
        <f t="shared" si="151"/>
        <v>15035.468385197468</v>
      </c>
      <c r="V74" s="197">
        <f t="shared" si="151"/>
        <v>2147.304876402025</v>
      </c>
      <c r="W74" s="197">
        <f t="shared" si="151"/>
        <v>13298.236577688012</v>
      </c>
      <c r="X74" s="197">
        <f t="shared" si="151"/>
        <v>1737.2318075094565</v>
      </c>
      <c r="Y74" s="199">
        <f t="shared" si="151"/>
        <v>3884.5366839114808</v>
      </c>
      <c r="Z74" s="197"/>
      <c r="AB74" s="204">
        <f t="shared" si="200"/>
        <v>12</v>
      </c>
      <c r="AC74" s="219" t="s">
        <v>7</v>
      </c>
      <c r="AD74" s="747">
        <f>'Arable Inputs'!$G$18</f>
        <v>78</v>
      </c>
      <c r="AE74" s="747">
        <f>'Arable Inputs'!$G$25</f>
        <v>27.16</v>
      </c>
      <c r="AH74" s="749">
        <f>AD74*AE74</f>
        <v>2118.48</v>
      </c>
      <c r="AI74" s="197">
        <f>'Arable NPV'!$E154</f>
        <v>220</v>
      </c>
      <c r="AJ74" s="197">
        <f t="shared" si="152"/>
        <v>2338.48</v>
      </c>
      <c r="AK74" s="197">
        <f>'Arable NPV'!$G154</f>
        <v>793.83573723279574</v>
      </c>
      <c r="AL74" s="197">
        <f>'Arable NPV'!$H154</f>
        <v>841.03</v>
      </c>
      <c r="AM74" s="197">
        <f t="shared" si="153"/>
        <v>1634.8657372327957</v>
      </c>
      <c r="AN74" s="197">
        <f t="shared" si="154"/>
        <v>483.61426276720431</v>
      </c>
      <c r="AO74" s="197">
        <f t="shared" si="155"/>
        <v>703.61426276720431</v>
      </c>
      <c r="AP74" s="196">
        <f t="shared" si="156"/>
        <v>1115.9888367916403</v>
      </c>
      <c r="AQ74" s="197">
        <f t="shared" si="157"/>
        <v>115.89325558615653</v>
      </c>
      <c r="AR74" s="197">
        <f t="shared" si="158"/>
        <v>861.22687606441184</v>
      </c>
      <c r="AS74" s="197">
        <f t="shared" si="159"/>
        <v>254.76196072722848</v>
      </c>
      <c r="AT74" s="199">
        <f t="shared" si="160"/>
        <v>370.65521631338504</v>
      </c>
      <c r="AU74" s="196">
        <f t="shared" si="161"/>
        <v>13695.432025446658</v>
      </c>
      <c r="AV74" s="197">
        <f t="shared" si="161"/>
        <v>1955.1124068973893</v>
      </c>
      <c r="AW74" s="197">
        <f t="shared" si="161"/>
        <v>12111.386151485898</v>
      </c>
      <c r="AX74" s="197">
        <f t="shared" si="161"/>
        <v>1584.0458739607625</v>
      </c>
      <c r="AY74" s="199">
        <f t="shared" si="162"/>
        <v>3539.1582808581511</v>
      </c>
      <c r="BB74" s="204">
        <f t="shared" si="201"/>
        <v>12</v>
      </c>
      <c r="BC74" s="219" t="s">
        <v>7</v>
      </c>
      <c r="BD74" s="747">
        <f>'Arable Inputs'!$G$18</f>
        <v>78</v>
      </c>
      <c r="BE74" s="747">
        <f>'Arable Inputs'!$G$25</f>
        <v>27.16</v>
      </c>
      <c r="BH74" s="749">
        <f>BD74*BE74</f>
        <v>2118.48</v>
      </c>
      <c r="BI74" s="197">
        <f>'Arable NPV'!$E154</f>
        <v>220</v>
      </c>
      <c r="BJ74" s="197">
        <f t="shared" si="163"/>
        <v>2338.48</v>
      </c>
      <c r="BK74" s="197">
        <f>'Arable NPV'!$G154</f>
        <v>793.83573723279574</v>
      </c>
      <c r="BL74" s="197">
        <f>'Arable NPV'!$H154</f>
        <v>841.03</v>
      </c>
      <c r="BM74" s="197">
        <f t="shared" si="164"/>
        <v>1634.8657372327957</v>
      </c>
      <c r="BN74" s="197">
        <f t="shared" si="165"/>
        <v>483.61426276720431</v>
      </c>
      <c r="BO74" s="197">
        <f t="shared" si="166"/>
        <v>703.61426276720431</v>
      </c>
      <c r="BP74" s="196">
        <f t="shared" si="167"/>
        <v>1703.8151630583523</v>
      </c>
      <c r="BQ74" s="197">
        <f t="shared" si="168"/>
        <v>176.93786860052373</v>
      </c>
      <c r="BR74" s="197">
        <f t="shared" si="169"/>
        <v>1314.8620863363399</v>
      </c>
      <c r="BS74" s="197">
        <f t="shared" si="170"/>
        <v>388.9530767220125</v>
      </c>
      <c r="BT74" s="199">
        <f t="shared" si="171"/>
        <v>565.89094532253625</v>
      </c>
      <c r="BU74" s="196">
        <f t="shared" si="172"/>
        <v>16615.388912952025</v>
      </c>
      <c r="BV74" s="197">
        <f t="shared" si="172"/>
        <v>2373.106569973816</v>
      </c>
      <c r="BW74" s="197">
        <f t="shared" si="172"/>
        <v>14696.690204798588</v>
      </c>
      <c r="BX74" s="197">
        <f t="shared" si="173"/>
        <v>1918.6987081534367</v>
      </c>
      <c r="BY74" s="199">
        <f t="shared" si="174"/>
        <v>4291.8052781272518</v>
      </c>
      <c r="CB74" s="204">
        <f t="shared" si="202"/>
        <v>12</v>
      </c>
      <c r="CC74" s="219" t="s">
        <v>7</v>
      </c>
      <c r="CD74" s="747">
        <f>'Arable Inputs'!$G$18</f>
        <v>78</v>
      </c>
      <c r="CE74" s="747">
        <f>'Arable Inputs'!$G$25</f>
        <v>27.16</v>
      </c>
      <c r="CH74" s="749">
        <f>CD74*CE74</f>
        <v>2118.48</v>
      </c>
      <c r="CI74" s="197">
        <f>'Arable NPV'!$E154</f>
        <v>220</v>
      </c>
      <c r="CJ74" s="197">
        <f t="shared" si="175"/>
        <v>2338.48</v>
      </c>
      <c r="CK74" s="197">
        <f>'Arable NPV'!$G154</f>
        <v>793.83573723279574</v>
      </c>
      <c r="CL74" s="197">
        <f>'Arable NPV'!$H154</f>
        <v>841.03</v>
      </c>
      <c r="CM74" s="197">
        <f t="shared" si="176"/>
        <v>1634.8657372327957</v>
      </c>
      <c r="CN74" s="197">
        <f t="shared" si="177"/>
        <v>483.61426276720431</v>
      </c>
      <c r="CO74" s="197">
        <f t="shared" si="178"/>
        <v>703.61426276720431</v>
      </c>
      <c r="CP74" s="196">
        <f t="shared" si="179"/>
        <v>908.57975984966845</v>
      </c>
      <c r="CQ74" s="197">
        <f t="shared" si="180"/>
        <v>94.354229054287529</v>
      </c>
      <c r="CR74" s="197">
        <f t="shared" si="181"/>
        <v>701.16589201759029</v>
      </c>
      <c r="CS74" s="197">
        <f t="shared" si="182"/>
        <v>207.41386783207815</v>
      </c>
      <c r="CT74" s="199">
        <f t="shared" si="183"/>
        <v>301.7680968863657</v>
      </c>
      <c r="CU74" s="196">
        <f t="shared" si="184"/>
        <v>12551.963363217486</v>
      </c>
      <c r="CV74" s="197">
        <f t="shared" si="184"/>
        <v>1790.5721368214049</v>
      </c>
      <c r="CW74" s="197">
        <f t="shared" si="185"/>
        <v>11098.108888652625</v>
      </c>
      <c r="CX74" s="197">
        <f t="shared" si="186"/>
        <v>1453.8544745648624</v>
      </c>
      <c r="CY74" s="199">
        <f t="shared" si="187"/>
        <v>3244.4266113862673</v>
      </c>
      <c r="DB74" s="204">
        <f t="shared" si="188"/>
        <v>12</v>
      </c>
      <c r="DC74" s="219" t="s">
        <v>7</v>
      </c>
      <c r="DD74" s="747">
        <f>'Arable Inputs'!$G$18</f>
        <v>78</v>
      </c>
      <c r="DE74" s="747">
        <f>'Arable Inputs'!$G$25</f>
        <v>27.16</v>
      </c>
      <c r="DH74" s="749">
        <f>DD74*DE74</f>
        <v>2118.48</v>
      </c>
      <c r="DI74" s="197">
        <f>'Arable NPV'!$E154</f>
        <v>220</v>
      </c>
      <c r="DJ74" s="197">
        <f t="shared" si="189"/>
        <v>2338.48</v>
      </c>
      <c r="DK74" s="197">
        <f>'Arable NPV'!$G154</f>
        <v>793.83573723279574</v>
      </c>
      <c r="DL74" s="197">
        <f>'Arable NPV'!$H154</f>
        <v>841.03</v>
      </c>
      <c r="DM74" s="197">
        <f t="shared" si="190"/>
        <v>1634.8657372327957</v>
      </c>
      <c r="DN74" s="197">
        <f t="shared" si="191"/>
        <v>483.61426276720431</v>
      </c>
      <c r="DO74" s="197">
        <f t="shared" si="192"/>
        <v>703.61426276720431</v>
      </c>
      <c r="DP74" s="196">
        <f t="shared" si="193"/>
        <v>2118.48</v>
      </c>
      <c r="DQ74" s="197">
        <f t="shared" si="194"/>
        <v>220</v>
      </c>
      <c r="DR74" s="197">
        <f t="shared" si="195"/>
        <v>1634.8657372327957</v>
      </c>
      <c r="DS74" s="197">
        <f t="shared" si="196"/>
        <v>483.61426276720431</v>
      </c>
      <c r="DT74" s="199">
        <f t="shared" si="197"/>
        <v>703.61426276720431</v>
      </c>
      <c r="DU74" s="196">
        <f t="shared" si="198"/>
        <v>18489.84</v>
      </c>
      <c r="DV74" s="197">
        <f t="shared" si="198"/>
        <v>2640</v>
      </c>
      <c r="DW74" s="197">
        <f t="shared" si="198"/>
        <v>16354.664080274919</v>
      </c>
      <c r="DX74" s="197">
        <f t="shared" si="198"/>
        <v>2135.1759197250822</v>
      </c>
      <c r="DY74" s="199">
        <f t="shared" si="198"/>
        <v>4775.1759197250822</v>
      </c>
    </row>
    <row r="75" spans="2:129" x14ac:dyDescent="0.3">
      <c r="B75" s="204">
        <f t="shared" si="199"/>
        <v>13</v>
      </c>
      <c r="C75" s="219" t="s">
        <v>31</v>
      </c>
      <c r="D75" s="747">
        <f>'Arable Inputs'!$H$18</f>
        <v>12</v>
      </c>
      <c r="E75" s="747">
        <f>'Arable Inputs'!$H$25</f>
        <v>107.1</v>
      </c>
      <c r="H75" s="749">
        <f>D75*E75</f>
        <v>1285.1999999999998</v>
      </c>
      <c r="I75" s="197">
        <f>'Arable NPV'!$E155</f>
        <v>220</v>
      </c>
      <c r="J75" s="197">
        <f t="shared" si="147"/>
        <v>1505.1999999999998</v>
      </c>
      <c r="K75" s="197">
        <f>'Arable NPV'!$G155</f>
        <v>528.51499999999999</v>
      </c>
      <c r="L75" s="197">
        <f>'Arable NPV'!$H155</f>
        <v>552.40000000000009</v>
      </c>
      <c r="M75" s="197">
        <f t="shared" si="148"/>
        <v>1080.915</v>
      </c>
      <c r="N75" s="197">
        <f t="shared" si="149"/>
        <v>204.28499999999985</v>
      </c>
      <c r="O75" s="197">
        <f t="shared" si="150"/>
        <v>424.28499999999985</v>
      </c>
      <c r="P75" s="196">
        <f t="shared" si="142"/>
        <v>802.73212812029965</v>
      </c>
      <c r="Q75" s="197">
        <f t="shared" si="143"/>
        <v>137.41135090761432</v>
      </c>
      <c r="R75" s="197">
        <f t="shared" si="144"/>
        <v>675.13631984683605</v>
      </c>
      <c r="S75" s="197">
        <f t="shared" si="145"/>
        <v>127.59580827346352</v>
      </c>
      <c r="T75" s="199">
        <f t="shared" si="146"/>
        <v>265.00715918107784</v>
      </c>
      <c r="U75" s="196">
        <f t="shared" si="151"/>
        <v>15838.200513317768</v>
      </c>
      <c r="V75" s="197">
        <f t="shared" si="151"/>
        <v>2284.7162273096392</v>
      </c>
      <c r="W75" s="197">
        <f t="shared" si="151"/>
        <v>13973.372897534848</v>
      </c>
      <c r="X75" s="197">
        <f t="shared" si="151"/>
        <v>1864.82761578292</v>
      </c>
      <c r="Y75" s="199">
        <f t="shared" si="151"/>
        <v>4149.5438430925587</v>
      </c>
      <c r="Z75" s="197"/>
      <c r="AB75" s="204">
        <f t="shared" si="200"/>
        <v>13</v>
      </c>
      <c r="AC75" s="219" t="s">
        <v>31</v>
      </c>
      <c r="AD75" s="747">
        <f>'Arable Inputs'!$H$18</f>
        <v>12</v>
      </c>
      <c r="AE75" s="747">
        <f>'Arable Inputs'!$H$25</f>
        <v>107.1</v>
      </c>
      <c r="AH75" s="749">
        <f>AD75*AE75</f>
        <v>1285.1999999999998</v>
      </c>
      <c r="AI75" s="197">
        <f>'Arable NPV'!$E155</f>
        <v>220</v>
      </c>
      <c r="AJ75" s="197">
        <f t="shared" si="152"/>
        <v>1505.1999999999998</v>
      </c>
      <c r="AK75" s="197">
        <f>'Arable NPV'!$G155</f>
        <v>528.51499999999999</v>
      </c>
      <c r="AL75" s="197">
        <f>'Arable NPV'!$H155</f>
        <v>552.40000000000009</v>
      </c>
      <c r="AM75" s="197">
        <f t="shared" si="153"/>
        <v>1080.915</v>
      </c>
      <c r="AN75" s="197">
        <f t="shared" si="154"/>
        <v>204.28499999999985</v>
      </c>
      <c r="AO75" s="197">
        <f t="shared" si="155"/>
        <v>424.28499999999985</v>
      </c>
      <c r="AP75" s="196">
        <f t="shared" si="156"/>
        <v>638.70502606916091</v>
      </c>
      <c r="AQ75" s="197">
        <f t="shared" si="157"/>
        <v>109.33325998694011</v>
      </c>
      <c r="AR75" s="197">
        <f t="shared" si="158"/>
        <v>537.1816396308335</v>
      </c>
      <c r="AS75" s="197">
        <f t="shared" si="159"/>
        <v>101.52338643832748</v>
      </c>
      <c r="AT75" s="199">
        <f t="shared" si="160"/>
        <v>210.85664642526757</v>
      </c>
      <c r="AU75" s="196">
        <f t="shared" si="161"/>
        <v>14334.13705151582</v>
      </c>
      <c r="AV75" s="197">
        <f t="shared" si="161"/>
        <v>2064.4456668843295</v>
      </c>
      <c r="AW75" s="197">
        <f t="shared" si="161"/>
        <v>12648.567791116731</v>
      </c>
      <c r="AX75" s="197">
        <f t="shared" si="161"/>
        <v>1685.5692603990899</v>
      </c>
      <c r="AY75" s="199">
        <f t="shared" si="162"/>
        <v>3750.0149272834187</v>
      </c>
      <c r="BB75" s="204">
        <f t="shared" si="201"/>
        <v>13</v>
      </c>
      <c r="BC75" s="219" t="s">
        <v>31</v>
      </c>
      <c r="BD75" s="747">
        <f>'Arable Inputs'!$H$18</f>
        <v>12</v>
      </c>
      <c r="BE75" s="747">
        <f>'Arable Inputs'!$H$25</f>
        <v>107.1</v>
      </c>
      <c r="BH75" s="749">
        <f>BD75*BE75</f>
        <v>1285.1999999999998</v>
      </c>
      <c r="BI75" s="197">
        <f>'Arable NPV'!$E155</f>
        <v>220</v>
      </c>
      <c r="BJ75" s="197">
        <f t="shared" si="163"/>
        <v>1505.1999999999998</v>
      </c>
      <c r="BK75" s="197">
        <f>'Arable NPV'!$G155</f>
        <v>528.51499999999999</v>
      </c>
      <c r="BL75" s="197">
        <f>'Arable NPV'!$H155</f>
        <v>552.40000000000009</v>
      </c>
      <c r="BM75" s="197">
        <f t="shared" si="164"/>
        <v>1080.915</v>
      </c>
      <c r="BN75" s="197">
        <f t="shared" si="165"/>
        <v>204.28499999999985</v>
      </c>
      <c r="BO75" s="197">
        <f t="shared" si="166"/>
        <v>424.28499999999985</v>
      </c>
      <c r="BP75" s="196">
        <f t="shared" si="167"/>
        <v>1013.3714292575446</v>
      </c>
      <c r="BQ75" s="197">
        <f t="shared" si="168"/>
        <v>173.46849862796441</v>
      </c>
      <c r="BR75" s="197">
        <f t="shared" si="169"/>
        <v>852.29410088384611</v>
      </c>
      <c r="BS75" s="197">
        <f t="shared" si="170"/>
        <v>161.07732837369855</v>
      </c>
      <c r="BT75" s="199">
        <f t="shared" si="171"/>
        <v>334.54582700166299</v>
      </c>
      <c r="BU75" s="196">
        <f t="shared" si="172"/>
        <v>17628.760342209571</v>
      </c>
      <c r="BV75" s="197">
        <f t="shared" si="172"/>
        <v>2546.5750686017805</v>
      </c>
      <c r="BW75" s="197">
        <f t="shared" si="172"/>
        <v>15548.984305682434</v>
      </c>
      <c r="BX75" s="197">
        <f t="shared" si="173"/>
        <v>2079.7760365271351</v>
      </c>
      <c r="BY75" s="199">
        <f t="shared" si="174"/>
        <v>4626.3511051289152</v>
      </c>
      <c r="CB75" s="204">
        <f t="shared" si="202"/>
        <v>13</v>
      </c>
      <c r="CC75" s="219" t="s">
        <v>31</v>
      </c>
      <c r="CD75" s="747">
        <f>'Arable Inputs'!$H$18</f>
        <v>12</v>
      </c>
      <c r="CE75" s="747">
        <f>'Arable Inputs'!$H$25</f>
        <v>107.1</v>
      </c>
      <c r="CH75" s="749">
        <f>CD75*CE75</f>
        <v>1285.1999999999998</v>
      </c>
      <c r="CI75" s="197">
        <f>'Arable NPV'!$E155</f>
        <v>220</v>
      </c>
      <c r="CJ75" s="197">
        <f t="shared" si="175"/>
        <v>1505.1999999999998</v>
      </c>
      <c r="CK75" s="197">
        <f>'Arable NPV'!$G155</f>
        <v>528.51499999999999</v>
      </c>
      <c r="CL75" s="197">
        <f>'Arable NPV'!$H155</f>
        <v>552.40000000000009</v>
      </c>
      <c r="CM75" s="197">
        <f t="shared" si="176"/>
        <v>1080.915</v>
      </c>
      <c r="CN75" s="197">
        <f t="shared" si="177"/>
        <v>204.28499999999985</v>
      </c>
      <c r="CO75" s="197">
        <f t="shared" si="178"/>
        <v>424.28499999999985</v>
      </c>
      <c r="CP75" s="196">
        <f t="shared" si="179"/>
        <v>510.37060261182791</v>
      </c>
      <c r="CQ75" s="197">
        <f t="shared" si="180"/>
        <v>87.365026902118075</v>
      </c>
      <c r="CR75" s="197">
        <f t="shared" si="181"/>
        <v>429.24621842683166</v>
      </c>
      <c r="CS75" s="197">
        <f t="shared" si="182"/>
        <v>81.124384184996273</v>
      </c>
      <c r="CT75" s="199">
        <f t="shared" si="183"/>
        <v>168.48941108711435</v>
      </c>
      <c r="CU75" s="196">
        <f t="shared" si="184"/>
        <v>13062.333965829313</v>
      </c>
      <c r="CV75" s="197">
        <f t="shared" si="184"/>
        <v>1877.9371637235231</v>
      </c>
      <c r="CW75" s="197">
        <f t="shared" si="185"/>
        <v>11527.355107079457</v>
      </c>
      <c r="CX75" s="197">
        <f t="shared" si="186"/>
        <v>1534.9788587498585</v>
      </c>
      <c r="CY75" s="199">
        <f t="shared" si="187"/>
        <v>3412.9160224733814</v>
      </c>
      <c r="DB75" s="204">
        <f t="shared" si="188"/>
        <v>13</v>
      </c>
      <c r="DC75" s="219" t="s">
        <v>31</v>
      </c>
      <c r="DD75" s="747">
        <f>'Arable Inputs'!$H$18</f>
        <v>12</v>
      </c>
      <c r="DE75" s="747">
        <f>'Arable Inputs'!$H$25</f>
        <v>107.1</v>
      </c>
      <c r="DH75" s="749">
        <f>DD75*DE75</f>
        <v>1285.1999999999998</v>
      </c>
      <c r="DI75" s="197">
        <f>'Arable NPV'!$E155</f>
        <v>220</v>
      </c>
      <c r="DJ75" s="197">
        <f t="shared" si="189"/>
        <v>1505.1999999999998</v>
      </c>
      <c r="DK75" s="197">
        <f>'Arable NPV'!$G155</f>
        <v>528.51499999999999</v>
      </c>
      <c r="DL75" s="197">
        <f>'Arable NPV'!$H155</f>
        <v>552.40000000000009</v>
      </c>
      <c r="DM75" s="197">
        <f t="shared" si="190"/>
        <v>1080.915</v>
      </c>
      <c r="DN75" s="197">
        <f t="shared" si="191"/>
        <v>204.28499999999985</v>
      </c>
      <c r="DO75" s="197">
        <f t="shared" si="192"/>
        <v>424.28499999999985</v>
      </c>
      <c r="DP75" s="196">
        <f t="shared" si="193"/>
        <v>1285.1999999999998</v>
      </c>
      <c r="DQ75" s="197">
        <f t="shared" si="194"/>
        <v>220</v>
      </c>
      <c r="DR75" s="197">
        <f t="shared" si="195"/>
        <v>1080.915</v>
      </c>
      <c r="DS75" s="197">
        <f t="shared" si="196"/>
        <v>204.28499999999985</v>
      </c>
      <c r="DT75" s="199">
        <f t="shared" si="197"/>
        <v>424.28499999999985</v>
      </c>
      <c r="DU75" s="196">
        <f t="shared" si="198"/>
        <v>19775.04</v>
      </c>
      <c r="DV75" s="197">
        <f t="shared" si="198"/>
        <v>2860</v>
      </c>
      <c r="DW75" s="197">
        <f t="shared" si="198"/>
        <v>17435.579080274918</v>
      </c>
      <c r="DX75" s="197">
        <f t="shared" si="198"/>
        <v>2339.460919725082</v>
      </c>
      <c r="DY75" s="199">
        <f t="shared" si="198"/>
        <v>5199.460919725082</v>
      </c>
    </row>
    <row r="76" spans="2:129" x14ac:dyDescent="0.3">
      <c r="B76" s="204">
        <f t="shared" si="199"/>
        <v>14</v>
      </c>
      <c r="C76" s="219" t="s">
        <v>6</v>
      </c>
      <c r="D76" s="747">
        <f>'Arable Inputs'!$F$18</f>
        <v>3.5</v>
      </c>
      <c r="E76" s="747">
        <f>'Arable Inputs'!$F$25</f>
        <v>335</v>
      </c>
      <c r="F76" s="747">
        <f>'Arable Inputs'!$F$19</f>
        <v>2.6</v>
      </c>
      <c r="G76" s="747">
        <f>'Arable Inputs'!$F$26</f>
        <v>37.5</v>
      </c>
      <c r="H76" s="749">
        <f>D76*E76+F76*G76</f>
        <v>1270</v>
      </c>
      <c r="I76" s="197">
        <f>'Arable NPV'!$E156</f>
        <v>220</v>
      </c>
      <c r="J76" s="197">
        <f t="shared" si="147"/>
        <v>1490</v>
      </c>
      <c r="K76" s="197">
        <f>'Arable NPV'!$G156</f>
        <v>541.75901992521074</v>
      </c>
      <c r="L76" s="197">
        <f>'Arable NPV'!$H156</f>
        <v>621.47428571428577</v>
      </c>
      <c r="M76" s="197">
        <f t="shared" si="148"/>
        <v>1163.2333056394964</v>
      </c>
      <c r="N76" s="197">
        <f t="shared" si="149"/>
        <v>106.76669436050361</v>
      </c>
      <c r="O76" s="197">
        <f t="shared" si="150"/>
        <v>326.76669436050361</v>
      </c>
      <c r="P76" s="196">
        <f t="shared" si="142"/>
        <v>762.72908939104104</v>
      </c>
      <c r="Q76" s="197">
        <f t="shared" si="143"/>
        <v>132.12629894962916</v>
      </c>
      <c r="R76" s="197">
        <f t="shared" si="144"/>
        <v>698.60777949586111</v>
      </c>
      <c r="S76" s="197">
        <f t="shared" si="145"/>
        <v>64.121309895179934</v>
      </c>
      <c r="T76" s="199">
        <f t="shared" si="146"/>
        <v>196.24760884480909</v>
      </c>
      <c r="U76" s="196">
        <f t="shared" si="151"/>
        <v>16600.929602708809</v>
      </c>
      <c r="V76" s="197">
        <f t="shared" si="151"/>
        <v>2416.8425262592682</v>
      </c>
      <c r="W76" s="197">
        <f t="shared" si="151"/>
        <v>14671.98067703071</v>
      </c>
      <c r="X76" s="197">
        <f t="shared" si="151"/>
        <v>1928.9489256780998</v>
      </c>
      <c r="Y76" s="199">
        <f t="shared" si="151"/>
        <v>4345.791451937368</v>
      </c>
      <c r="Z76" s="197"/>
      <c r="AB76" s="204">
        <f t="shared" si="200"/>
        <v>14</v>
      </c>
      <c r="AC76" s="219" t="s">
        <v>6</v>
      </c>
      <c r="AD76" s="747">
        <f>'Arable Inputs'!$F$18</f>
        <v>3.5</v>
      </c>
      <c r="AE76" s="747">
        <f>'Arable Inputs'!$F$25</f>
        <v>335</v>
      </c>
      <c r="AF76" s="747">
        <f>'Arable Inputs'!$F$19</f>
        <v>2.6</v>
      </c>
      <c r="AG76" s="747">
        <f>'Arable Inputs'!$F$26</f>
        <v>37.5</v>
      </c>
      <c r="AH76" s="749">
        <f>AD76*AE76+AF76*AG76</f>
        <v>1270</v>
      </c>
      <c r="AI76" s="197">
        <f>'Arable NPV'!$E156</f>
        <v>220</v>
      </c>
      <c r="AJ76" s="197">
        <f t="shared" si="152"/>
        <v>1490</v>
      </c>
      <c r="AK76" s="197">
        <f>'Arable NPV'!$G156</f>
        <v>541.75901992521074</v>
      </c>
      <c r="AL76" s="197">
        <f>'Arable NPV'!$H156</f>
        <v>621.47428571428577</v>
      </c>
      <c r="AM76" s="197">
        <f t="shared" si="153"/>
        <v>1163.2333056394964</v>
      </c>
      <c r="AN76" s="197">
        <f t="shared" si="154"/>
        <v>106.76669436050361</v>
      </c>
      <c r="AO76" s="197">
        <f t="shared" si="155"/>
        <v>326.76669436050361</v>
      </c>
      <c r="AP76" s="196">
        <f t="shared" si="156"/>
        <v>595.42555824791566</v>
      </c>
      <c r="AQ76" s="197">
        <f t="shared" si="157"/>
        <v>103.14458489333971</v>
      </c>
      <c r="AR76" s="197">
        <f t="shared" si="158"/>
        <v>545.36916565587831</v>
      </c>
      <c r="AS76" s="197">
        <f t="shared" si="159"/>
        <v>50.056392592037362</v>
      </c>
      <c r="AT76" s="199">
        <f t="shared" si="160"/>
        <v>153.20097748537708</v>
      </c>
      <c r="AU76" s="196">
        <f t="shared" si="161"/>
        <v>14929.562609763736</v>
      </c>
      <c r="AV76" s="197">
        <f t="shared" si="161"/>
        <v>2167.5902517776694</v>
      </c>
      <c r="AW76" s="197">
        <f t="shared" si="161"/>
        <v>13193.93695677261</v>
      </c>
      <c r="AX76" s="197">
        <f t="shared" si="161"/>
        <v>1735.6256529911273</v>
      </c>
      <c r="AY76" s="199">
        <f t="shared" si="162"/>
        <v>3903.215904768796</v>
      </c>
      <c r="BB76" s="204">
        <f t="shared" si="201"/>
        <v>14</v>
      </c>
      <c r="BC76" s="219" t="s">
        <v>6</v>
      </c>
      <c r="BD76" s="747">
        <f>'Arable Inputs'!$F$18</f>
        <v>3.5</v>
      </c>
      <c r="BE76" s="747">
        <f>'Arable Inputs'!$F$25</f>
        <v>335</v>
      </c>
      <c r="BF76" s="747">
        <f>'Arable Inputs'!$F$19</f>
        <v>2.6</v>
      </c>
      <c r="BG76" s="747">
        <f>'Arable Inputs'!$F$26</f>
        <v>37.5</v>
      </c>
      <c r="BH76" s="749">
        <f>BD76*BE76+BF76*BG76</f>
        <v>1270</v>
      </c>
      <c r="BI76" s="197">
        <f>'Arable NPV'!$E156</f>
        <v>220</v>
      </c>
      <c r="BJ76" s="197">
        <f t="shared" si="163"/>
        <v>1490</v>
      </c>
      <c r="BK76" s="197">
        <f>'Arable NPV'!$G156</f>
        <v>541.75901992521074</v>
      </c>
      <c r="BL76" s="197">
        <f>'Arable NPV'!$H156</f>
        <v>621.47428571428577</v>
      </c>
      <c r="BM76" s="197">
        <f t="shared" si="164"/>
        <v>1163.2333056394964</v>
      </c>
      <c r="BN76" s="197">
        <f t="shared" si="165"/>
        <v>106.76669436050361</v>
      </c>
      <c r="BO76" s="197">
        <f t="shared" si="166"/>
        <v>326.76669436050361</v>
      </c>
      <c r="BP76" s="196">
        <f t="shared" si="167"/>
        <v>981.75130685167028</v>
      </c>
      <c r="BQ76" s="197">
        <f t="shared" si="168"/>
        <v>170.06715551761218</v>
      </c>
      <c r="BR76" s="197">
        <f t="shared" si="169"/>
        <v>899.21717951571964</v>
      </c>
      <c r="BS76" s="197">
        <f t="shared" si="170"/>
        <v>82.5341273359506</v>
      </c>
      <c r="BT76" s="199">
        <f t="shared" si="171"/>
        <v>252.60128285356279</v>
      </c>
      <c r="BU76" s="196">
        <f t="shared" si="172"/>
        <v>18610.511649061242</v>
      </c>
      <c r="BV76" s="197">
        <f t="shared" si="172"/>
        <v>2716.6422241193927</v>
      </c>
      <c r="BW76" s="197">
        <f t="shared" si="172"/>
        <v>16448.201485198155</v>
      </c>
      <c r="BX76" s="197">
        <f t="shared" si="173"/>
        <v>2162.3101638630856</v>
      </c>
      <c r="BY76" s="199">
        <f t="shared" si="174"/>
        <v>4878.9523879824783</v>
      </c>
      <c r="CB76" s="204">
        <f t="shared" si="202"/>
        <v>14</v>
      </c>
      <c r="CC76" s="219" t="s">
        <v>6</v>
      </c>
      <c r="CD76" s="747">
        <f>'Arable Inputs'!$F$18</f>
        <v>3.5</v>
      </c>
      <c r="CE76" s="747">
        <f>'Arable Inputs'!$F$25</f>
        <v>335</v>
      </c>
      <c r="CF76" s="747">
        <f>'Arable Inputs'!$F$19</f>
        <v>2.6</v>
      </c>
      <c r="CG76" s="747">
        <f>'Arable Inputs'!$F$26</f>
        <v>37.5</v>
      </c>
      <c r="CH76" s="749">
        <f>CD76*CE76+CF76*CG76</f>
        <v>1270</v>
      </c>
      <c r="CI76" s="197">
        <f>'Arable NPV'!$E156</f>
        <v>220</v>
      </c>
      <c r="CJ76" s="197">
        <f t="shared" si="175"/>
        <v>1490</v>
      </c>
      <c r="CK76" s="197">
        <f>'Arable NPV'!$G156</f>
        <v>541.75901992521074</v>
      </c>
      <c r="CL76" s="197">
        <f>'Arable NPV'!$H156</f>
        <v>621.47428571428577</v>
      </c>
      <c r="CM76" s="197">
        <f t="shared" si="176"/>
        <v>1163.2333056394964</v>
      </c>
      <c r="CN76" s="197">
        <f t="shared" si="177"/>
        <v>106.76669436050361</v>
      </c>
      <c r="CO76" s="197">
        <f t="shared" si="178"/>
        <v>326.76669436050361</v>
      </c>
      <c r="CP76" s="196">
        <f t="shared" si="179"/>
        <v>466.97636433371196</v>
      </c>
      <c r="CQ76" s="197">
        <f t="shared" si="180"/>
        <v>80.89354342788711</v>
      </c>
      <c r="CR76" s="197">
        <f t="shared" si="181"/>
        <v>427.71847239324217</v>
      </c>
      <c r="CS76" s="197">
        <f t="shared" si="182"/>
        <v>39.257891940469769</v>
      </c>
      <c r="CT76" s="199">
        <f t="shared" si="183"/>
        <v>120.15143536835687</v>
      </c>
      <c r="CU76" s="196">
        <f t="shared" si="184"/>
        <v>13529.310330163025</v>
      </c>
      <c r="CV76" s="197">
        <f t="shared" si="184"/>
        <v>1958.8307071514103</v>
      </c>
      <c r="CW76" s="197">
        <f t="shared" si="185"/>
        <v>11955.073579472699</v>
      </c>
      <c r="CX76" s="197">
        <f t="shared" si="186"/>
        <v>1574.2367506903283</v>
      </c>
      <c r="CY76" s="199">
        <f t="shared" si="187"/>
        <v>3533.0674578417384</v>
      </c>
      <c r="DB76" s="204">
        <f t="shared" si="188"/>
        <v>14</v>
      </c>
      <c r="DC76" s="219" t="s">
        <v>6</v>
      </c>
      <c r="DD76" s="747">
        <f>'Arable Inputs'!$F$18</f>
        <v>3.5</v>
      </c>
      <c r="DE76" s="747">
        <f>'Arable Inputs'!$F$25</f>
        <v>335</v>
      </c>
      <c r="DF76" s="747">
        <f>'Arable Inputs'!$F$19</f>
        <v>2.6</v>
      </c>
      <c r="DG76" s="747">
        <f>'Arable Inputs'!$F$26</f>
        <v>37.5</v>
      </c>
      <c r="DH76" s="749">
        <f>DD76*DE76+DF76*DG76</f>
        <v>1270</v>
      </c>
      <c r="DI76" s="197">
        <f>'Arable NPV'!$E156</f>
        <v>220</v>
      </c>
      <c r="DJ76" s="197">
        <f t="shared" si="189"/>
        <v>1490</v>
      </c>
      <c r="DK76" s="197">
        <f>'Arable NPV'!$G156</f>
        <v>541.75901992521074</v>
      </c>
      <c r="DL76" s="197">
        <f>'Arable NPV'!$H156</f>
        <v>621.47428571428577</v>
      </c>
      <c r="DM76" s="197">
        <f t="shared" si="190"/>
        <v>1163.2333056394964</v>
      </c>
      <c r="DN76" s="197">
        <f t="shared" si="191"/>
        <v>106.76669436050361</v>
      </c>
      <c r="DO76" s="197">
        <f t="shared" si="192"/>
        <v>326.76669436050361</v>
      </c>
      <c r="DP76" s="196">
        <f t="shared" si="193"/>
        <v>1270</v>
      </c>
      <c r="DQ76" s="197">
        <f t="shared" si="194"/>
        <v>220</v>
      </c>
      <c r="DR76" s="197">
        <f t="shared" si="195"/>
        <v>1163.2333056394964</v>
      </c>
      <c r="DS76" s="197">
        <f t="shared" si="196"/>
        <v>106.76669436050361</v>
      </c>
      <c r="DT76" s="199">
        <f t="shared" si="197"/>
        <v>326.76669436050361</v>
      </c>
      <c r="DU76" s="196">
        <f t="shared" si="198"/>
        <v>21045.040000000001</v>
      </c>
      <c r="DV76" s="197">
        <f t="shared" si="198"/>
        <v>3080</v>
      </c>
      <c r="DW76" s="197">
        <f t="shared" si="198"/>
        <v>18598.812385914414</v>
      </c>
      <c r="DX76" s="197">
        <f t="shared" si="198"/>
        <v>2446.2276140855856</v>
      </c>
      <c r="DY76" s="199">
        <f t="shared" si="198"/>
        <v>5526.2276140855856</v>
      </c>
    </row>
    <row r="77" spans="2:129" x14ac:dyDescent="0.3">
      <c r="B77" s="204">
        <f t="shared" si="199"/>
        <v>15</v>
      </c>
      <c r="C77" s="219" t="s">
        <v>5</v>
      </c>
      <c r="D77" s="747">
        <f>'Arable Inputs'!$E$18</f>
        <v>6.3</v>
      </c>
      <c r="E77" s="747">
        <f>'Arable Inputs'!$E$25</f>
        <v>140</v>
      </c>
      <c r="F77" s="747">
        <f>'Arable Inputs'!$E$19</f>
        <v>3.5</v>
      </c>
      <c r="G77" s="747">
        <f>'Arable Inputs'!$E$26</f>
        <v>70</v>
      </c>
      <c r="H77" s="749">
        <f>D77*E77+F77*G77</f>
        <v>1127</v>
      </c>
      <c r="I77" s="197">
        <f>'Arable NPV'!$E157</f>
        <v>220</v>
      </c>
      <c r="J77" s="197">
        <f t="shared" si="147"/>
        <v>1347</v>
      </c>
      <c r="K77" s="197">
        <f>'Arable NPV'!$G157</f>
        <v>418.54877602277168</v>
      </c>
      <c r="L77" s="197">
        <f>'Arable NPV'!$H157</f>
        <v>773.65999999999985</v>
      </c>
      <c r="M77" s="197">
        <f t="shared" si="148"/>
        <v>1192.2087760227714</v>
      </c>
      <c r="N77" s="197">
        <f t="shared" si="149"/>
        <v>-65.208776022771417</v>
      </c>
      <c r="O77" s="197">
        <f t="shared" si="150"/>
        <v>154.79122397722858</v>
      </c>
      <c r="P77" s="196">
        <f t="shared" si="142"/>
        <v>650.81441834017517</v>
      </c>
      <c r="Q77" s="197">
        <f t="shared" si="143"/>
        <v>127.04451822079727</v>
      </c>
      <c r="R77" s="197">
        <f t="shared" si="144"/>
        <v>688.47086167463362</v>
      </c>
      <c r="S77" s="197">
        <f t="shared" si="145"/>
        <v>-37.656443334458508</v>
      </c>
      <c r="T77" s="199">
        <f t="shared" si="146"/>
        <v>89.388074886338771</v>
      </c>
      <c r="U77" s="196">
        <f t="shared" si="151"/>
        <v>17251.744021048984</v>
      </c>
      <c r="V77" s="197">
        <f t="shared" si="151"/>
        <v>2543.8870444800655</v>
      </c>
      <c r="W77" s="197">
        <f t="shared" si="151"/>
        <v>15360.451538705343</v>
      </c>
      <c r="X77" s="197">
        <f t="shared" si="151"/>
        <v>1891.2924823436413</v>
      </c>
      <c r="Y77" s="199">
        <f t="shared" si="151"/>
        <v>4435.1795268237065</v>
      </c>
      <c r="Z77" s="197"/>
      <c r="AB77" s="204">
        <f t="shared" si="200"/>
        <v>15</v>
      </c>
      <c r="AC77" s="219" t="s">
        <v>5</v>
      </c>
      <c r="AD77" s="747">
        <f>'Arable Inputs'!$E$18</f>
        <v>6.3</v>
      </c>
      <c r="AE77" s="747">
        <f>'Arable Inputs'!$E$25</f>
        <v>140</v>
      </c>
      <c r="AF77" s="747">
        <f>'Arable Inputs'!$E$19</f>
        <v>3.5</v>
      </c>
      <c r="AG77" s="747">
        <f>'Arable Inputs'!$E$26</f>
        <v>70</v>
      </c>
      <c r="AH77" s="749">
        <f>AD77*AE77+AF77*AG77</f>
        <v>1127</v>
      </c>
      <c r="AI77" s="197">
        <f>'Arable NPV'!$E157</f>
        <v>220</v>
      </c>
      <c r="AJ77" s="197">
        <f t="shared" si="152"/>
        <v>1347</v>
      </c>
      <c r="AK77" s="197">
        <f>'Arable NPV'!$G157</f>
        <v>418.54877602277168</v>
      </c>
      <c r="AL77" s="197">
        <f>'Arable NPV'!$H157</f>
        <v>773.65999999999985</v>
      </c>
      <c r="AM77" s="197">
        <f t="shared" si="153"/>
        <v>1192.2087760227714</v>
      </c>
      <c r="AN77" s="197">
        <f t="shared" si="154"/>
        <v>-65.208776022771417</v>
      </c>
      <c r="AO77" s="197">
        <f t="shared" si="155"/>
        <v>154.79122397722858</v>
      </c>
      <c r="AP77" s="196">
        <f t="shared" si="156"/>
        <v>498.47318685589136</v>
      </c>
      <c r="AQ77" s="197">
        <f t="shared" si="157"/>
        <v>97.306212163528045</v>
      </c>
      <c r="AR77" s="197">
        <f t="shared" si="158"/>
        <v>527.3150913767812</v>
      </c>
      <c r="AS77" s="197">
        <f t="shared" si="159"/>
        <v>-28.841904520889887</v>
      </c>
      <c r="AT77" s="199">
        <f t="shared" si="160"/>
        <v>68.464307642638147</v>
      </c>
      <c r="AU77" s="196">
        <f t="shared" si="161"/>
        <v>15428.035796619628</v>
      </c>
      <c r="AV77" s="197">
        <f t="shared" si="161"/>
        <v>2264.8964639411975</v>
      </c>
      <c r="AW77" s="197">
        <f t="shared" si="161"/>
        <v>13721.25204814939</v>
      </c>
      <c r="AX77" s="197">
        <f t="shared" si="161"/>
        <v>1706.7837484702375</v>
      </c>
      <c r="AY77" s="199">
        <f t="shared" si="162"/>
        <v>3971.6802124114342</v>
      </c>
      <c r="BB77" s="204">
        <f t="shared" si="201"/>
        <v>15</v>
      </c>
      <c r="BC77" s="219" t="s">
        <v>5</v>
      </c>
      <c r="BD77" s="747">
        <f>'Arable Inputs'!$E$18</f>
        <v>6.3</v>
      </c>
      <c r="BE77" s="747">
        <f>'Arable Inputs'!$E$25</f>
        <v>140</v>
      </c>
      <c r="BF77" s="747">
        <f>'Arable Inputs'!$E$19</f>
        <v>3.5</v>
      </c>
      <c r="BG77" s="747">
        <f>'Arable Inputs'!$E$26</f>
        <v>70</v>
      </c>
      <c r="BH77" s="749">
        <f>BD77*BE77+BF77*BG77</f>
        <v>1127</v>
      </c>
      <c r="BI77" s="197">
        <f>'Arable NPV'!$E157</f>
        <v>220</v>
      </c>
      <c r="BJ77" s="197">
        <f t="shared" si="163"/>
        <v>1347</v>
      </c>
      <c r="BK77" s="197">
        <f>'Arable NPV'!$G157</f>
        <v>418.54877602277168</v>
      </c>
      <c r="BL77" s="197">
        <f>'Arable NPV'!$H157</f>
        <v>773.65999999999985</v>
      </c>
      <c r="BM77" s="197">
        <f t="shared" si="164"/>
        <v>1192.2087760227714</v>
      </c>
      <c r="BN77" s="197">
        <f t="shared" si="165"/>
        <v>-65.208776022771417</v>
      </c>
      <c r="BO77" s="197">
        <f t="shared" si="166"/>
        <v>154.79122397722858</v>
      </c>
      <c r="BP77" s="196">
        <f t="shared" si="167"/>
        <v>854.12515271100222</v>
      </c>
      <c r="BQ77" s="197">
        <f t="shared" si="168"/>
        <v>166.73250540942368</v>
      </c>
      <c r="BR77" s="197">
        <f t="shared" si="169"/>
        <v>903.54525544263242</v>
      </c>
      <c r="BS77" s="197">
        <f t="shared" si="170"/>
        <v>-49.420102731630145</v>
      </c>
      <c r="BT77" s="199">
        <f t="shared" si="171"/>
        <v>117.31240267779353</v>
      </c>
      <c r="BU77" s="196">
        <f t="shared" si="172"/>
        <v>19464.636801772245</v>
      </c>
      <c r="BV77" s="197">
        <f t="shared" si="172"/>
        <v>2883.3747295288163</v>
      </c>
      <c r="BW77" s="197">
        <f t="shared" si="172"/>
        <v>17351.746740640789</v>
      </c>
      <c r="BX77" s="197">
        <f t="shared" si="173"/>
        <v>2112.8900611314552</v>
      </c>
      <c r="BY77" s="199">
        <f t="shared" si="174"/>
        <v>4996.2647906602715</v>
      </c>
      <c r="CB77" s="204">
        <f t="shared" si="202"/>
        <v>15</v>
      </c>
      <c r="CC77" s="219" t="s">
        <v>5</v>
      </c>
      <c r="CD77" s="747">
        <f>'Arable Inputs'!$E$18</f>
        <v>6.3</v>
      </c>
      <c r="CE77" s="747">
        <f>'Arable Inputs'!$E$25</f>
        <v>140</v>
      </c>
      <c r="CF77" s="747">
        <f>'Arable Inputs'!$E$19</f>
        <v>3.5</v>
      </c>
      <c r="CG77" s="747">
        <f>'Arable Inputs'!$E$26</f>
        <v>70</v>
      </c>
      <c r="CH77" s="749">
        <f>CD77*CE77+CF77*CG77</f>
        <v>1127</v>
      </c>
      <c r="CI77" s="197">
        <f>'Arable NPV'!$E157</f>
        <v>220</v>
      </c>
      <c r="CJ77" s="197">
        <f t="shared" si="175"/>
        <v>1347</v>
      </c>
      <c r="CK77" s="197">
        <f>'Arable NPV'!$G157</f>
        <v>418.54877602277168</v>
      </c>
      <c r="CL77" s="197">
        <f>'Arable NPV'!$H157</f>
        <v>773.65999999999985</v>
      </c>
      <c r="CM77" s="197">
        <f t="shared" si="176"/>
        <v>1192.2087760227714</v>
      </c>
      <c r="CN77" s="197">
        <f t="shared" si="177"/>
        <v>-65.208776022771417</v>
      </c>
      <c r="CO77" s="197">
        <f t="shared" si="178"/>
        <v>154.79122397722858</v>
      </c>
      <c r="CP77" s="196">
        <f t="shared" si="179"/>
        <v>383.69959361628264</v>
      </c>
      <c r="CQ77" s="197">
        <f t="shared" si="180"/>
        <v>74.901429099895452</v>
      </c>
      <c r="CR77" s="197">
        <f t="shared" si="181"/>
        <v>405.90064140701253</v>
      </c>
      <c r="CS77" s="197">
        <f t="shared" si="182"/>
        <v>-22.201047790729891</v>
      </c>
      <c r="CT77" s="199">
        <f t="shared" si="183"/>
        <v>52.700381309165564</v>
      </c>
      <c r="CU77" s="196">
        <f t="shared" si="184"/>
        <v>13913.009923779307</v>
      </c>
      <c r="CV77" s="197">
        <f t="shared" si="184"/>
        <v>2033.7321362513057</v>
      </c>
      <c r="CW77" s="197">
        <f t="shared" si="185"/>
        <v>12360.974220879711</v>
      </c>
      <c r="CX77" s="197">
        <f t="shared" si="186"/>
        <v>1552.0357028995984</v>
      </c>
      <c r="CY77" s="199">
        <f t="shared" si="187"/>
        <v>3585.7678391509039</v>
      </c>
      <c r="DB77" s="204">
        <f t="shared" si="188"/>
        <v>15</v>
      </c>
      <c r="DC77" s="219" t="s">
        <v>5</v>
      </c>
      <c r="DD77" s="747">
        <f>'Arable Inputs'!$E$18</f>
        <v>6.3</v>
      </c>
      <c r="DE77" s="747">
        <f>'Arable Inputs'!$E$25</f>
        <v>140</v>
      </c>
      <c r="DF77" s="747">
        <f>'Arable Inputs'!$E$19</f>
        <v>3.5</v>
      </c>
      <c r="DG77" s="747">
        <f>'Arable Inputs'!$E$26</f>
        <v>70</v>
      </c>
      <c r="DH77" s="749">
        <f>DD77*DE77+DF77*DG77</f>
        <v>1127</v>
      </c>
      <c r="DI77" s="197">
        <f>'Arable NPV'!$E157</f>
        <v>220</v>
      </c>
      <c r="DJ77" s="197">
        <f t="shared" si="189"/>
        <v>1347</v>
      </c>
      <c r="DK77" s="197">
        <f>'Arable NPV'!$G157</f>
        <v>418.54877602277168</v>
      </c>
      <c r="DL77" s="197">
        <f>'Arable NPV'!$H157</f>
        <v>773.65999999999985</v>
      </c>
      <c r="DM77" s="197">
        <f t="shared" si="190"/>
        <v>1192.2087760227714</v>
      </c>
      <c r="DN77" s="197">
        <f t="shared" si="191"/>
        <v>-65.208776022771417</v>
      </c>
      <c r="DO77" s="197">
        <f t="shared" si="192"/>
        <v>154.79122397722858</v>
      </c>
      <c r="DP77" s="196">
        <f t="shared" si="193"/>
        <v>1127</v>
      </c>
      <c r="DQ77" s="197">
        <f t="shared" si="194"/>
        <v>220</v>
      </c>
      <c r="DR77" s="197">
        <f t="shared" si="195"/>
        <v>1192.2087760227714</v>
      </c>
      <c r="DS77" s="197">
        <f t="shared" si="196"/>
        <v>-65.208776022771417</v>
      </c>
      <c r="DT77" s="199">
        <f t="shared" si="197"/>
        <v>154.79122397722858</v>
      </c>
      <c r="DU77" s="196">
        <f t="shared" si="198"/>
        <v>22172.04</v>
      </c>
      <c r="DV77" s="197">
        <f t="shared" si="198"/>
        <v>3300</v>
      </c>
      <c r="DW77" s="197">
        <f t="shared" si="198"/>
        <v>19791.021161937184</v>
      </c>
      <c r="DX77" s="197">
        <f t="shared" si="198"/>
        <v>2381.0188380628142</v>
      </c>
      <c r="DY77" s="199">
        <f t="shared" si="198"/>
        <v>5681.0188380628142</v>
      </c>
    </row>
    <row r="78" spans="2:129" x14ac:dyDescent="0.3">
      <c r="B78" s="206">
        <f t="shared" si="199"/>
        <v>16</v>
      </c>
      <c r="C78" s="220" t="s">
        <v>4</v>
      </c>
      <c r="D78" s="748">
        <f>'Arable Inputs'!$D$18</f>
        <v>8.25</v>
      </c>
      <c r="E78" s="748">
        <f>'Arable Inputs'!$D$25</f>
        <v>162</v>
      </c>
      <c r="F78" s="748">
        <f>'Arable Inputs'!$D$19</f>
        <v>3.9</v>
      </c>
      <c r="G78" s="748">
        <f>'Arable Inputs'!$D$26</f>
        <v>65</v>
      </c>
      <c r="H78" s="207">
        <f>D78*E78+F78*G78</f>
        <v>1590</v>
      </c>
      <c r="I78" s="207">
        <f>'Arable NPV'!$E158</f>
        <v>220</v>
      </c>
      <c r="J78" s="207">
        <f t="shared" si="147"/>
        <v>1810</v>
      </c>
      <c r="K78" s="207">
        <f>'Arable NPV'!$G158</f>
        <v>684.46423508399835</v>
      </c>
      <c r="L78" s="207">
        <f>'Arable NPV'!$H158</f>
        <v>841.31999999999994</v>
      </c>
      <c r="M78" s="207">
        <f t="shared" si="148"/>
        <v>1525.7842350839983</v>
      </c>
      <c r="N78" s="207">
        <f t="shared" si="149"/>
        <v>64.215764916001717</v>
      </c>
      <c r="O78" s="207">
        <f t="shared" si="150"/>
        <v>284.21576491600172</v>
      </c>
      <c r="P78" s="208">
        <f t="shared" si="142"/>
        <v>882.87055931410691</v>
      </c>
      <c r="Q78" s="207">
        <f t="shared" si="143"/>
        <v>122.15819059692046</v>
      </c>
      <c r="R78" s="207">
        <f t="shared" si="144"/>
        <v>847.21382454167065</v>
      </c>
      <c r="S78" s="207">
        <f t="shared" si="145"/>
        <v>35.656734772436252</v>
      </c>
      <c r="T78" s="209">
        <f t="shared" si="146"/>
        <v>157.8149253693567</v>
      </c>
      <c r="U78" s="208">
        <f t="shared" si="151"/>
        <v>18134.61458036309</v>
      </c>
      <c r="V78" s="207">
        <f t="shared" si="151"/>
        <v>2666.045235076986</v>
      </c>
      <c r="W78" s="207">
        <f t="shared" si="151"/>
        <v>16207.665363247013</v>
      </c>
      <c r="X78" s="207">
        <f t="shared" si="151"/>
        <v>1926.9492171160775</v>
      </c>
      <c r="Y78" s="209">
        <f t="shared" si="151"/>
        <v>4592.9944521930629</v>
      </c>
      <c r="Z78" s="197"/>
      <c r="AB78" s="206">
        <f t="shared" si="200"/>
        <v>16</v>
      </c>
      <c r="AC78" s="220" t="s">
        <v>4</v>
      </c>
      <c r="AD78" s="748">
        <f>'Arable Inputs'!$D$18</f>
        <v>8.25</v>
      </c>
      <c r="AE78" s="748">
        <f>'Arable Inputs'!$D$25</f>
        <v>162</v>
      </c>
      <c r="AF78" s="748">
        <f>'Arable Inputs'!$D$19</f>
        <v>3.9</v>
      </c>
      <c r="AG78" s="748">
        <f>'Arable Inputs'!$D$26</f>
        <v>65</v>
      </c>
      <c r="AH78" s="207">
        <f>AD78*AE78+AF78*AG78</f>
        <v>1590</v>
      </c>
      <c r="AI78" s="207">
        <f>'Arable NPV'!$E158</f>
        <v>220</v>
      </c>
      <c r="AJ78" s="207">
        <f t="shared" si="152"/>
        <v>1810</v>
      </c>
      <c r="AK78" s="207">
        <f>'Arable NPV'!$G158</f>
        <v>684.46423508399835</v>
      </c>
      <c r="AL78" s="207">
        <f>'Arable NPV'!$H158</f>
        <v>841.31999999999994</v>
      </c>
      <c r="AM78" s="207">
        <f t="shared" si="153"/>
        <v>1525.7842350839983</v>
      </c>
      <c r="AN78" s="207">
        <f t="shared" si="154"/>
        <v>64.215764916001717</v>
      </c>
      <c r="AO78" s="207">
        <f t="shared" si="155"/>
        <v>284.21576491600172</v>
      </c>
      <c r="AP78" s="208">
        <f t="shared" si="156"/>
        <v>663.45144656950913</v>
      </c>
      <c r="AQ78" s="207">
        <f t="shared" si="157"/>
        <v>91.79831336181887</v>
      </c>
      <c r="AR78" s="207">
        <f t="shared" si="158"/>
        <v>636.6564515216545</v>
      </c>
      <c r="AS78" s="207">
        <f t="shared" si="159"/>
        <v>26.794995047854638</v>
      </c>
      <c r="AT78" s="209">
        <f>AO78/(1+$C$4)^(AB78-1)</f>
        <v>118.59330840967351</v>
      </c>
      <c r="AU78" s="208">
        <f t="shared" si="161"/>
        <v>16091.487243189136</v>
      </c>
      <c r="AV78" s="207">
        <f t="shared" si="161"/>
        <v>2356.6947773030165</v>
      </c>
      <c r="AW78" s="207">
        <f t="shared" si="161"/>
        <v>14357.908499671044</v>
      </c>
      <c r="AX78" s="207">
        <f t="shared" si="161"/>
        <v>1733.5787435180921</v>
      </c>
      <c r="AY78" s="209">
        <f t="shared" si="162"/>
        <v>4090.2735208211079</v>
      </c>
      <c r="BB78" s="206">
        <f t="shared" si="201"/>
        <v>16</v>
      </c>
      <c r="BC78" s="220" t="s">
        <v>4</v>
      </c>
      <c r="BD78" s="748">
        <f>'Arable Inputs'!$D$18</f>
        <v>8.25</v>
      </c>
      <c r="BE78" s="748">
        <f>'Arable Inputs'!$D$25</f>
        <v>162</v>
      </c>
      <c r="BF78" s="748">
        <f>'Arable Inputs'!$D$19</f>
        <v>3.9</v>
      </c>
      <c r="BG78" s="748">
        <f>'Arable Inputs'!$D$26</f>
        <v>65</v>
      </c>
      <c r="BH78" s="207">
        <f>BD78*BE78+BF78*BG78</f>
        <v>1590</v>
      </c>
      <c r="BI78" s="207">
        <f>'Arable NPV'!$E158</f>
        <v>220</v>
      </c>
      <c r="BJ78" s="207">
        <f t="shared" si="163"/>
        <v>1810</v>
      </c>
      <c r="BK78" s="207">
        <f>'Arable NPV'!$G158</f>
        <v>684.46423508399835</v>
      </c>
      <c r="BL78" s="207">
        <f>'Arable NPV'!$H158</f>
        <v>841.31999999999994</v>
      </c>
      <c r="BM78" s="207">
        <f t="shared" si="164"/>
        <v>1525.7842350839983</v>
      </c>
      <c r="BN78" s="207">
        <f t="shared" si="165"/>
        <v>64.215764916001717</v>
      </c>
      <c r="BO78" s="207">
        <f t="shared" si="166"/>
        <v>284.21576491600172</v>
      </c>
      <c r="BP78" s="208">
        <f t="shared" si="167"/>
        <v>1181.3934206817457</v>
      </c>
      <c r="BQ78" s="207">
        <f t="shared" si="168"/>
        <v>163.46324059747425</v>
      </c>
      <c r="BR78" s="207">
        <f t="shared" si="169"/>
        <v>1133.6801614516764</v>
      </c>
      <c r="BS78" s="207">
        <f t="shared" si="170"/>
        <v>47.713259230069248</v>
      </c>
      <c r="BT78" s="209">
        <f>BO78/(1+$D$4)^(BB78-1)</f>
        <v>211.17649982754349</v>
      </c>
      <c r="BU78" s="208">
        <f t="shared" si="172"/>
        <v>20646.030222453992</v>
      </c>
      <c r="BV78" s="207">
        <f t="shared" si="172"/>
        <v>3046.8379701262907</v>
      </c>
      <c r="BW78" s="207">
        <f t="shared" si="172"/>
        <v>18485.426902092466</v>
      </c>
      <c r="BX78" s="207">
        <f t="shared" si="173"/>
        <v>2160.6033203615243</v>
      </c>
      <c r="BY78" s="209">
        <f t="shared" si="174"/>
        <v>5207.4412904878154</v>
      </c>
      <c r="CB78" s="206">
        <f t="shared" si="202"/>
        <v>16</v>
      </c>
      <c r="CC78" s="220" t="s">
        <v>4</v>
      </c>
      <c r="CD78" s="748">
        <f>'Arable Inputs'!$D$18</f>
        <v>8.25</v>
      </c>
      <c r="CE78" s="748">
        <f>'Arable Inputs'!$D$25</f>
        <v>162</v>
      </c>
      <c r="CF78" s="748">
        <f>'Arable Inputs'!$D$19</f>
        <v>3.9</v>
      </c>
      <c r="CG78" s="748">
        <f>'Arable Inputs'!$D$26</f>
        <v>65</v>
      </c>
      <c r="CH78" s="207">
        <f>CD78*CE78+CF78*CG78</f>
        <v>1590</v>
      </c>
      <c r="CI78" s="207">
        <f>'Arable NPV'!$E158</f>
        <v>220</v>
      </c>
      <c r="CJ78" s="207">
        <f t="shared" si="175"/>
        <v>1810</v>
      </c>
      <c r="CK78" s="207">
        <f>'Arable NPV'!$G158</f>
        <v>684.46423508399835</v>
      </c>
      <c r="CL78" s="207">
        <f>'Arable NPV'!$H158</f>
        <v>841.31999999999994</v>
      </c>
      <c r="CM78" s="207">
        <f t="shared" si="176"/>
        <v>1525.7842350839983</v>
      </c>
      <c r="CN78" s="207">
        <f t="shared" si="177"/>
        <v>64.215764916001717</v>
      </c>
      <c r="CO78" s="207">
        <f t="shared" si="178"/>
        <v>284.21576491600172</v>
      </c>
      <c r="CP78" s="208">
        <f t="shared" si="179"/>
        <v>501.23431089576502</v>
      </c>
      <c r="CQ78" s="207">
        <f t="shared" si="180"/>
        <v>69.353175092495789</v>
      </c>
      <c r="CR78" s="207">
        <f t="shared" si="181"/>
        <v>480.99082367795586</v>
      </c>
      <c r="CS78" s="207">
        <f t="shared" si="182"/>
        <v>20.243487217809161</v>
      </c>
      <c r="CT78" s="209">
        <f>CO78/(1+$E$4)^(CB78-1)</f>
        <v>89.59666231030495</v>
      </c>
      <c r="CU78" s="208">
        <f t="shared" si="184"/>
        <v>14414.244234675072</v>
      </c>
      <c r="CV78" s="207">
        <f t="shared" si="184"/>
        <v>2103.0853113438015</v>
      </c>
      <c r="CW78" s="207">
        <f t="shared" si="185"/>
        <v>12841.965044557666</v>
      </c>
      <c r="CX78" s="207">
        <f t="shared" si="186"/>
        <v>1572.2791901174076</v>
      </c>
      <c r="CY78" s="209">
        <f t="shared" si="187"/>
        <v>3675.3645014612089</v>
      </c>
      <c r="DB78" s="206">
        <f t="shared" si="188"/>
        <v>16</v>
      </c>
      <c r="DC78" s="220" t="s">
        <v>4</v>
      </c>
      <c r="DD78" s="748">
        <f>'Arable Inputs'!$D$18</f>
        <v>8.25</v>
      </c>
      <c r="DE78" s="748">
        <f>'Arable Inputs'!$D$25</f>
        <v>162</v>
      </c>
      <c r="DF78" s="748">
        <f>'Arable Inputs'!$D$19</f>
        <v>3.9</v>
      </c>
      <c r="DG78" s="748">
        <f>'Arable Inputs'!$D$26</f>
        <v>65</v>
      </c>
      <c r="DH78" s="207">
        <f>DD78*DE78+DF78*DG78</f>
        <v>1590</v>
      </c>
      <c r="DI78" s="207">
        <f>'Arable NPV'!$E158</f>
        <v>220</v>
      </c>
      <c r="DJ78" s="207">
        <f t="shared" si="189"/>
        <v>1810</v>
      </c>
      <c r="DK78" s="207">
        <f>'Arable NPV'!$G158</f>
        <v>684.46423508399835</v>
      </c>
      <c r="DL78" s="207">
        <f>'Arable NPV'!$H158</f>
        <v>841.31999999999994</v>
      </c>
      <c r="DM78" s="207">
        <f t="shared" si="190"/>
        <v>1525.7842350839983</v>
      </c>
      <c r="DN78" s="207">
        <f t="shared" si="191"/>
        <v>64.215764916001717</v>
      </c>
      <c r="DO78" s="207">
        <f t="shared" si="192"/>
        <v>284.21576491600172</v>
      </c>
      <c r="DP78" s="208">
        <f t="shared" si="193"/>
        <v>1590</v>
      </c>
      <c r="DQ78" s="207">
        <f t="shared" si="194"/>
        <v>220</v>
      </c>
      <c r="DR78" s="207">
        <f t="shared" si="195"/>
        <v>1525.7842350839983</v>
      </c>
      <c r="DS78" s="207">
        <f t="shared" si="196"/>
        <v>64.215764916001717</v>
      </c>
      <c r="DT78" s="209">
        <f t="shared" si="197"/>
        <v>284.21576491600172</v>
      </c>
      <c r="DU78" s="208">
        <f t="shared" si="198"/>
        <v>23762.04</v>
      </c>
      <c r="DV78" s="207">
        <f t="shared" si="198"/>
        <v>3520</v>
      </c>
      <c r="DW78" s="207">
        <f t="shared" si="198"/>
        <v>21316.805397021184</v>
      </c>
      <c r="DX78" s="207">
        <f t="shared" si="198"/>
        <v>2445.2346029788159</v>
      </c>
      <c r="DY78" s="209">
        <f t="shared" si="198"/>
        <v>5965.2346029788159</v>
      </c>
    </row>
    <row r="84" spans="2:119" x14ac:dyDescent="0.3">
      <c r="B84" s="211" t="s">
        <v>94</v>
      </c>
      <c r="C84" s="750" t="s">
        <v>433</v>
      </c>
      <c r="D84" s="269" t="s">
        <v>418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Z84" s="211" t="s">
        <v>94</v>
      </c>
      <c r="AA84" s="211" t="s">
        <v>441</v>
      </c>
      <c r="AB84" s="756"/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X84" s="211" t="s">
        <v>94</v>
      </c>
      <c r="AY84" s="211" t="s">
        <v>440</v>
      </c>
      <c r="AZ84" s="231"/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V84" s="211" t="s">
        <v>94</v>
      </c>
      <c r="BW84" s="211" t="s">
        <v>439</v>
      </c>
      <c r="BX84" s="231"/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T84" s="211" t="s">
        <v>94</v>
      </c>
      <c r="CU84" s="211" t="s">
        <v>438</v>
      </c>
      <c r="CV84" s="231"/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124"/>
      <c r="F85" s="1124"/>
      <c r="G85" s="1124"/>
      <c r="H85" s="148"/>
      <c r="I85" s="910"/>
      <c r="J85" s="1124"/>
      <c r="K85" s="1124"/>
      <c r="L85" s="148"/>
      <c r="M85" s="148"/>
      <c r="N85" s="1125" t="s">
        <v>279</v>
      </c>
      <c r="O85" s="1126"/>
      <c r="P85" s="1126"/>
      <c r="Q85" s="1126"/>
      <c r="R85" s="1127"/>
      <c r="S85" s="1125" t="s">
        <v>280</v>
      </c>
      <c r="T85" s="1126"/>
      <c r="U85" s="1126"/>
      <c r="V85" s="1126"/>
      <c r="W85" s="1127"/>
      <c r="X85" s="984"/>
      <c r="Z85" s="203"/>
      <c r="AA85" s="148"/>
      <c r="AB85" s="148"/>
      <c r="AC85" s="1124"/>
      <c r="AD85" s="1124"/>
      <c r="AE85" s="1124"/>
      <c r="AF85" s="148"/>
      <c r="AG85" s="910"/>
      <c r="AH85" s="1124"/>
      <c r="AI85" s="1124"/>
      <c r="AJ85" s="148"/>
      <c r="AK85" s="148"/>
      <c r="AL85" s="1125" t="s">
        <v>279</v>
      </c>
      <c r="AM85" s="1126"/>
      <c r="AN85" s="1126"/>
      <c r="AO85" s="1126"/>
      <c r="AP85" s="1127"/>
      <c r="AQ85" s="1125" t="s">
        <v>280</v>
      </c>
      <c r="AR85" s="1126"/>
      <c r="AS85" s="1126"/>
      <c r="AT85" s="1126"/>
      <c r="AU85" s="1127"/>
      <c r="AV85" s="984"/>
      <c r="AX85" s="203"/>
      <c r="AY85" s="148"/>
      <c r="AZ85" s="148"/>
      <c r="BA85" s="1124"/>
      <c r="BB85" s="1124"/>
      <c r="BC85" s="1124"/>
      <c r="BD85" s="148"/>
      <c r="BE85" s="910"/>
      <c r="BF85" s="1124"/>
      <c r="BG85" s="1124"/>
      <c r="BH85" s="148"/>
      <c r="BI85" s="148"/>
      <c r="BJ85" s="1125" t="s">
        <v>279</v>
      </c>
      <c r="BK85" s="1126"/>
      <c r="BL85" s="1126"/>
      <c r="BM85" s="1126"/>
      <c r="BN85" s="1127"/>
      <c r="BO85" s="1125" t="s">
        <v>280</v>
      </c>
      <c r="BP85" s="1126"/>
      <c r="BQ85" s="1126"/>
      <c r="BR85" s="1126"/>
      <c r="BS85" s="1127"/>
      <c r="BT85" s="984"/>
      <c r="BV85" s="203"/>
      <c r="BW85" s="148"/>
      <c r="BX85" s="148"/>
      <c r="BY85" s="1124"/>
      <c r="BZ85" s="1124"/>
      <c r="CA85" s="1124"/>
      <c r="CB85" s="148"/>
      <c r="CC85" s="910"/>
      <c r="CD85" s="1124"/>
      <c r="CE85" s="1124"/>
      <c r="CF85" s="148"/>
      <c r="CG85" s="148"/>
      <c r="CH85" s="1125" t="s">
        <v>279</v>
      </c>
      <c r="CI85" s="1126"/>
      <c r="CJ85" s="1126"/>
      <c r="CK85" s="1126"/>
      <c r="CL85" s="1127"/>
      <c r="CM85" s="1125" t="s">
        <v>280</v>
      </c>
      <c r="CN85" s="1126"/>
      <c r="CO85" s="1126"/>
      <c r="CP85" s="1126"/>
      <c r="CQ85" s="1127"/>
      <c r="CR85" s="984"/>
      <c r="CT85" s="203"/>
      <c r="CU85" s="148"/>
      <c r="CV85" s="148"/>
      <c r="CW85" s="1124"/>
      <c r="CX85" s="1124"/>
      <c r="CY85" s="1124"/>
      <c r="CZ85" s="148"/>
      <c r="DA85" s="910"/>
      <c r="DB85" s="1124"/>
      <c r="DC85" s="1124"/>
      <c r="DD85" s="148"/>
      <c r="DE85" s="148"/>
      <c r="DF85" s="1125" t="s">
        <v>279</v>
      </c>
      <c r="DG85" s="1126"/>
      <c r="DH85" s="1126"/>
      <c r="DI85" s="1126"/>
      <c r="DJ85" s="1127"/>
      <c r="DK85" s="1125" t="s">
        <v>280</v>
      </c>
      <c r="DL85" s="1126"/>
      <c r="DM85" s="1126"/>
      <c r="DN85" s="1126"/>
      <c r="DO85" s="1127"/>
    </row>
    <row r="86" spans="2:119" ht="51" x14ac:dyDescent="0.3">
      <c r="B86" s="204" t="s">
        <v>281</v>
      </c>
      <c r="C86" s="205" t="s">
        <v>307</v>
      </c>
      <c r="D86" s="205" t="s">
        <v>308</v>
      </c>
      <c r="E86" s="171" t="s">
        <v>283</v>
      </c>
      <c r="F86" s="171" t="s">
        <v>10</v>
      </c>
      <c r="G86" s="171" t="s">
        <v>284</v>
      </c>
      <c r="H86" s="205" t="s">
        <v>305</v>
      </c>
      <c r="I86" s="914" t="s">
        <v>306</v>
      </c>
      <c r="J86" s="205" t="s">
        <v>309</v>
      </c>
      <c r="K86" s="171" t="s">
        <v>287</v>
      </c>
      <c r="L86" s="171" t="s">
        <v>288</v>
      </c>
      <c r="M86" s="171" t="s">
        <v>289</v>
      </c>
      <c r="N86" s="195" t="s">
        <v>290</v>
      </c>
      <c r="O86" s="171" t="s">
        <v>291</v>
      </c>
      <c r="P86" s="171" t="s">
        <v>292</v>
      </c>
      <c r="Q86" s="171" t="s">
        <v>293</v>
      </c>
      <c r="R86" s="198" t="s">
        <v>294</v>
      </c>
      <c r="S86" s="195" t="s">
        <v>295</v>
      </c>
      <c r="T86" s="171" t="s">
        <v>296</v>
      </c>
      <c r="U86" s="171" t="s">
        <v>297</v>
      </c>
      <c r="V86" s="171" t="s">
        <v>298</v>
      </c>
      <c r="W86" s="198" t="s">
        <v>299</v>
      </c>
      <c r="X86" s="171"/>
      <c r="Z86" s="204" t="s">
        <v>281</v>
      </c>
      <c r="AA86" s="205" t="s">
        <v>307</v>
      </c>
      <c r="AB86" s="205" t="s">
        <v>308</v>
      </c>
      <c r="AC86" s="171" t="s">
        <v>283</v>
      </c>
      <c r="AD86" s="171" t="s">
        <v>10</v>
      </c>
      <c r="AE86" s="171" t="s">
        <v>284</v>
      </c>
      <c r="AF86" s="205" t="s">
        <v>305</v>
      </c>
      <c r="AG86" s="914" t="s">
        <v>306</v>
      </c>
      <c r="AH86" s="205" t="s">
        <v>309</v>
      </c>
      <c r="AI86" s="171" t="s">
        <v>287</v>
      </c>
      <c r="AJ86" s="171" t="s">
        <v>288</v>
      </c>
      <c r="AK86" s="171" t="s">
        <v>289</v>
      </c>
      <c r="AL86" s="195" t="s">
        <v>290</v>
      </c>
      <c r="AM86" s="171" t="s">
        <v>291</v>
      </c>
      <c r="AN86" s="171" t="s">
        <v>292</v>
      </c>
      <c r="AO86" s="171" t="s">
        <v>293</v>
      </c>
      <c r="AP86" s="198" t="s">
        <v>294</v>
      </c>
      <c r="AQ86" s="195" t="s">
        <v>295</v>
      </c>
      <c r="AR86" s="171" t="s">
        <v>296</v>
      </c>
      <c r="AS86" s="171" t="s">
        <v>297</v>
      </c>
      <c r="AT86" s="171" t="s">
        <v>298</v>
      </c>
      <c r="AU86" s="198" t="s">
        <v>299</v>
      </c>
      <c r="AV86" s="171"/>
      <c r="AX86" s="204" t="s">
        <v>281</v>
      </c>
      <c r="AY86" s="205" t="s">
        <v>307</v>
      </c>
      <c r="AZ86" s="205" t="s">
        <v>308</v>
      </c>
      <c r="BA86" s="171" t="s">
        <v>283</v>
      </c>
      <c r="BB86" s="171" t="s">
        <v>10</v>
      </c>
      <c r="BC86" s="171" t="s">
        <v>284</v>
      </c>
      <c r="BD86" s="205" t="s">
        <v>305</v>
      </c>
      <c r="BE86" s="914" t="s">
        <v>306</v>
      </c>
      <c r="BF86" s="205" t="s">
        <v>309</v>
      </c>
      <c r="BG86" s="171" t="s">
        <v>287</v>
      </c>
      <c r="BH86" s="171" t="s">
        <v>288</v>
      </c>
      <c r="BI86" s="171" t="s">
        <v>289</v>
      </c>
      <c r="BJ86" s="195" t="s">
        <v>290</v>
      </c>
      <c r="BK86" s="171" t="s">
        <v>291</v>
      </c>
      <c r="BL86" s="171" t="s">
        <v>292</v>
      </c>
      <c r="BM86" s="171" t="s">
        <v>293</v>
      </c>
      <c r="BN86" s="198" t="s">
        <v>294</v>
      </c>
      <c r="BO86" s="195" t="s">
        <v>295</v>
      </c>
      <c r="BP86" s="171" t="s">
        <v>296</v>
      </c>
      <c r="BQ86" s="171" t="s">
        <v>297</v>
      </c>
      <c r="BR86" s="171" t="s">
        <v>298</v>
      </c>
      <c r="BS86" s="198" t="s">
        <v>299</v>
      </c>
      <c r="BT86" s="171"/>
      <c r="BV86" s="204" t="s">
        <v>281</v>
      </c>
      <c r="BW86" s="205" t="s">
        <v>307</v>
      </c>
      <c r="BX86" s="205" t="s">
        <v>308</v>
      </c>
      <c r="BY86" s="171" t="s">
        <v>283</v>
      </c>
      <c r="BZ86" s="171" t="s">
        <v>10</v>
      </c>
      <c r="CA86" s="171" t="s">
        <v>284</v>
      </c>
      <c r="CB86" s="205" t="s">
        <v>305</v>
      </c>
      <c r="CC86" s="914" t="s">
        <v>306</v>
      </c>
      <c r="CD86" s="205" t="s">
        <v>309</v>
      </c>
      <c r="CE86" s="171" t="s">
        <v>287</v>
      </c>
      <c r="CF86" s="171" t="s">
        <v>288</v>
      </c>
      <c r="CG86" s="171" t="s">
        <v>289</v>
      </c>
      <c r="CH86" s="195" t="s">
        <v>290</v>
      </c>
      <c r="CI86" s="171" t="s">
        <v>291</v>
      </c>
      <c r="CJ86" s="171" t="s">
        <v>292</v>
      </c>
      <c r="CK86" s="171" t="s">
        <v>293</v>
      </c>
      <c r="CL86" s="198" t="s">
        <v>294</v>
      </c>
      <c r="CM86" s="195" t="s">
        <v>295</v>
      </c>
      <c r="CN86" s="171" t="s">
        <v>296</v>
      </c>
      <c r="CO86" s="171" t="s">
        <v>297</v>
      </c>
      <c r="CP86" s="171" t="s">
        <v>298</v>
      </c>
      <c r="CQ86" s="198" t="s">
        <v>299</v>
      </c>
      <c r="CR86" s="171"/>
      <c r="CT86" s="204" t="s">
        <v>281</v>
      </c>
      <c r="CU86" s="205" t="s">
        <v>307</v>
      </c>
      <c r="CV86" s="205" t="s">
        <v>308</v>
      </c>
      <c r="CW86" s="171" t="s">
        <v>283</v>
      </c>
      <c r="CX86" s="171" t="s">
        <v>10</v>
      </c>
      <c r="CY86" s="171" t="s">
        <v>284</v>
      </c>
      <c r="CZ86" s="205" t="s">
        <v>305</v>
      </c>
      <c r="DA86" s="914" t="s">
        <v>306</v>
      </c>
      <c r="DB86" s="205" t="s">
        <v>309</v>
      </c>
      <c r="DC86" s="171" t="s">
        <v>287</v>
      </c>
      <c r="DD86" s="171" t="s">
        <v>288</v>
      </c>
      <c r="DE86" s="171" t="s">
        <v>289</v>
      </c>
      <c r="DF86" s="195" t="s">
        <v>290</v>
      </c>
      <c r="DG86" s="171" t="s">
        <v>291</v>
      </c>
      <c r="DH86" s="171" t="s">
        <v>292</v>
      </c>
      <c r="DI86" s="171" t="s">
        <v>293</v>
      </c>
      <c r="DJ86" s="198" t="s">
        <v>294</v>
      </c>
      <c r="DK86" s="195" t="s">
        <v>295</v>
      </c>
      <c r="DL86" s="171" t="s">
        <v>296</v>
      </c>
      <c r="DM86" s="171" t="s">
        <v>297</v>
      </c>
      <c r="DN86" s="171" t="s">
        <v>298</v>
      </c>
      <c r="DO86" s="198" t="s">
        <v>299</v>
      </c>
    </row>
    <row r="87" spans="2:119" x14ac:dyDescent="0.3">
      <c r="B87" s="173"/>
      <c r="C87" s="226" t="s">
        <v>356</v>
      </c>
      <c r="D87" s="226" t="s">
        <v>476</v>
      </c>
      <c r="E87" s="201" t="s">
        <v>474</v>
      </c>
      <c r="F87" s="201" t="s">
        <v>474</v>
      </c>
      <c r="G87" s="201" t="s">
        <v>474</v>
      </c>
      <c r="H87" s="201" t="s">
        <v>474</v>
      </c>
      <c r="I87" s="948" t="s">
        <v>474</v>
      </c>
      <c r="J87" s="201" t="s">
        <v>474</v>
      </c>
      <c r="K87" s="201" t="s">
        <v>474</v>
      </c>
      <c r="L87" s="201" t="s">
        <v>474</v>
      </c>
      <c r="M87" s="202" t="s">
        <v>474</v>
      </c>
      <c r="N87" s="201" t="s">
        <v>474</v>
      </c>
      <c r="O87" s="201" t="s">
        <v>474</v>
      </c>
      <c r="P87" s="201" t="s">
        <v>474</v>
      </c>
      <c r="Q87" s="201" t="s">
        <v>474</v>
      </c>
      <c r="R87" s="202" t="s">
        <v>474</v>
      </c>
      <c r="S87" s="201" t="s">
        <v>474</v>
      </c>
      <c r="T87" s="201" t="s">
        <v>474</v>
      </c>
      <c r="U87" s="201" t="s">
        <v>474</v>
      </c>
      <c r="V87" s="201" t="s">
        <v>474</v>
      </c>
      <c r="W87" s="202" t="s">
        <v>474</v>
      </c>
      <c r="X87" s="985"/>
      <c r="Z87" s="173"/>
      <c r="AA87" s="226" t="s">
        <v>356</v>
      </c>
      <c r="AB87" s="226" t="s">
        <v>476</v>
      </c>
      <c r="AC87" s="201" t="s">
        <v>474</v>
      </c>
      <c r="AD87" s="201" t="s">
        <v>474</v>
      </c>
      <c r="AE87" s="201" t="s">
        <v>474</v>
      </c>
      <c r="AF87" s="201" t="s">
        <v>474</v>
      </c>
      <c r="AG87" s="948" t="s">
        <v>474</v>
      </c>
      <c r="AH87" s="201" t="s">
        <v>474</v>
      </c>
      <c r="AI87" s="201" t="s">
        <v>474</v>
      </c>
      <c r="AJ87" s="201" t="s">
        <v>474</v>
      </c>
      <c r="AK87" s="202" t="s">
        <v>474</v>
      </c>
      <c r="AL87" s="201" t="s">
        <v>474</v>
      </c>
      <c r="AM87" s="201" t="s">
        <v>474</v>
      </c>
      <c r="AN87" s="201" t="s">
        <v>474</v>
      </c>
      <c r="AO87" s="201" t="s">
        <v>474</v>
      </c>
      <c r="AP87" s="202" t="s">
        <v>474</v>
      </c>
      <c r="AQ87" s="201" t="s">
        <v>474</v>
      </c>
      <c r="AR87" s="201" t="s">
        <v>474</v>
      </c>
      <c r="AS87" s="201" t="s">
        <v>474</v>
      </c>
      <c r="AT87" s="201" t="s">
        <v>474</v>
      </c>
      <c r="AU87" s="202" t="s">
        <v>474</v>
      </c>
      <c r="AV87" s="985"/>
      <c r="AX87" s="173"/>
      <c r="AY87" s="226" t="s">
        <v>356</v>
      </c>
      <c r="AZ87" s="226" t="s">
        <v>476</v>
      </c>
      <c r="BA87" s="201" t="s">
        <v>474</v>
      </c>
      <c r="BB87" s="201" t="s">
        <v>474</v>
      </c>
      <c r="BC87" s="201" t="s">
        <v>474</v>
      </c>
      <c r="BD87" s="201" t="s">
        <v>474</v>
      </c>
      <c r="BE87" s="948" t="s">
        <v>474</v>
      </c>
      <c r="BF87" s="201" t="s">
        <v>474</v>
      </c>
      <c r="BG87" s="201" t="s">
        <v>474</v>
      </c>
      <c r="BH87" s="201" t="s">
        <v>474</v>
      </c>
      <c r="BI87" s="202" t="s">
        <v>474</v>
      </c>
      <c r="BJ87" s="201" t="s">
        <v>474</v>
      </c>
      <c r="BK87" s="201" t="s">
        <v>474</v>
      </c>
      <c r="BL87" s="201" t="s">
        <v>474</v>
      </c>
      <c r="BM87" s="201" t="s">
        <v>474</v>
      </c>
      <c r="BN87" s="202" t="s">
        <v>474</v>
      </c>
      <c r="BO87" s="201" t="s">
        <v>474</v>
      </c>
      <c r="BP87" s="201" t="s">
        <v>474</v>
      </c>
      <c r="BQ87" s="201" t="s">
        <v>474</v>
      </c>
      <c r="BR87" s="201" t="s">
        <v>474</v>
      </c>
      <c r="BS87" s="202" t="s">
        <v>474</v>
      </c>
      <c r="BT87" s="985"/>
      <c r="BV87" s="173"/>
      <c r="BW87" s="226" t="s">
        <v>356</v>
      </c>
      <c r="BX87" s="226" t="s">
        <v>476</v>
      </c>
      <c r="BY87" s="201" t="s">
        <v>474</v>
      </c>
      <c r="BZ87" s="201" t="s">
        <v>474</v>
      </c>
      <c r="CA87" s="201" t="s">
        <v>474</v>
      </c>
      <c r="CB87" s="201" t="s">
        <v>474</v>
      </c>
      <c r="CC87" s="948" t="s">
        <v>474</v>
      </c>
      <c r="CD87" s="201" t="s">
        <v>474</v>
      </c>
      <c r="CE87" s="201" t="s">
        <v>474</v>
      </c>
      <c r="CF87" s="201" t="s">
        <v>474</v>
      </c>
      <c r="CG87" s="202" t="s">
        <v>474</v>
      </c>
      <c r="CH87" s="201" t="s">
        <v>474</v>
      </c>
      <c r="CI87" s="201" t="s">
        <v>474</v>
      </c>
      <c r="CJ87" s="201" t="s">
        <v>474</v>
      </c>
      <c r="CK87" s="201" t="s">
        <v>474</v>
      </c>
      <c r="CL87" s="202" t="s">
        <v>474</v>
      </c>
      <c r="CM87" s="201" t="s">
        <v>474</v>
      </c>
      <c r="CN87" s="201" t="s">
        <v>474</v>
      </c>
      <c r="CO87" s="201" t="s">
        <v>474</v>
      </c>
      <c r="CP87" s="201" t="s">
        <v>474</v>
      </c>
      <c r="CQ87" s="202" t="s">
        <v>474</v>
      </c>
      <c r="CR87" s="985"/>
      <c r="CT87" s="173"/>
      <c r="CU87" s="226" t="s">
        <v>356</v>
      </c>
      <c r="CV87" s="226" t="s">
        <v>476</v>
      </c>
      <c r="CW87" s="201" t="s">
        <v>474</v>
      </c>
      <c r="CX87" s="201" t="s">
        <v>474</v>
      </c>
      <c r="CY87" s="201" t="s">
        <v>474</v>
      </c>
      <c r="CZ87" s="201" t="s">
        <v>474</v>
      </c>
      <c r="DA87" s="948" t="s">
        <v>474</v>
      </c>
      <c r="DB87" s="201" t="s">
        <v>474</v>
      </c>
      <c r="DC87" s="201" t="s">
        <v>474</v>
      </c>
      <c r="DD87" s="201" t="s">
        <v>474</v>
      </c>
      <c r="DE87" s="202" t="s">
        <v>474</v>
      </c>
      <c r="DF87" s="201" t="s">
        <v>474</v>
      </c>
      <c r="DG87" s="201" t="s">
        <v>474</v>
      </c>
      <c r="DH87" s="201" t="s">
        <v>474</v>
      </c>
      <c r="DI87" s="201" t="s">
        <v>474</v>
      </c>
      <c r="DJ87" s="202" t="s">
        <v>474</v>
      </c>
      <c r="DK87" s="201" t="s">
        <v>474</v>
      </c>
      <c r="DL87" s="201" t="s">
        <v>474</v>
      </c>
      <c r="DM87" s="201" t="s">
        <v>474</v>
      </c>
      <c r="DN87" s="201" t="s">
        <v>474</v>
      </c>
      <c r="DO87" s="202" t="s">
        <v>474</v>
      </c>
    </row>
    <row r="88" spans="2:119" x14ac:dyDescent="0.3">
      <c r="B88" s="204">
        <v>1</v>
      </c>
      <c r="C88" s="746">
        <f>'Energy NPV'!$D13</f>
        <v>0</v>
      </c>
      <c r="D88" s="197">
        <f>'Energy margins'!$E$12</f>
        <v>55</v>
      </c>
      <c r="E88" s="197">
        <f>C88*D88</f>
        <v>0</v>
      </c>
      <c r="F88" s="197">
        <f>'Margins summary'!$Q$14</f>
        <v>220</v>
      </c>
      <c r="G88" s="197">
        <f>E88+F88</f>
        <v>220</v>
      </c>
      <c r="H88" s="197">
        <f>'Margins summary'!$P$20</f>
        <v>1642.4049999999997</v>
      </c>
      <c r="I88" s="901">
        <f>'Energy NPV'!$U13</f>
        <v>0</v>
      </c>
      <c r="J88" s="197"/>
      <c r="K88" s="197">
        <f>H88+I88+J88</f>
        <v>1642.4049999999997</v>
      </c>
      <c r="L88" s="197">
        <f t="shared" ref="L88:L103" si="203">E88-K88</f>
        <v>-1642.4049999999997</v>
      </c>
      <c r="M88" s="197">
        <f t="shared" ref="M88:M103" si="204">G88-K88</f>
        <v>-1422.4049999999997</v>
      </c>
      <c r="N88" s="1007">
        <f>E88/((1+$B$4)^($B88-1))</f>
        <v>0</v>
      </c>
      <c r="O88" s="1010">
        <f>F88/((1+$B$4)^($B88-1))</f>
        <v>220</v>
      </c>
      <c r="P88" s="1010">
        <f>K88/((1+$B$4)^($B88-1))</f>
        <v>1642.4049999999997</v>
      </c>
      <c r="Q88" s="1010">
        <f>L88/((1+$B$4)^($B88-1))</f>
        <v>-1642.4049999999997</v>
      </c>
      <c r="R88" s="1012">
        <f>M88/((1+$B$4)^($B88-1))</f>
        <v>-1422.4049999999997</v>
      </c>
      <c r="S88" s="196">
        <f>N88</f>
        <v>0</v>
      </c>
      <c r="T88" s="197">
        <f>O88</f>
        <v>220</v>
      </c>
      <c r="U88" s="197">
        <f>P88</f>
        <v>1642.4049999999997</v>
      </c>
      <c r="V88" s="197">
        <f>Q88</f>
        <v>-1642.4049999999997</v>
      </c>
      <c r="W88" s="199">
        <f>R88</f>
        <v>-1422.4049999999997</v>
      </c>
      <c r="X88" s="197"/>
      <c r="Z88" s="204">
        <v>1</v>
      </c>
      <c r="AA88" s="746">
        <f>'Energy NPV'!$D13</f>
        <v>0</v>
      </c>
      <c r="AB88" s="197">
        <f>'Energy margins'!$E$12</f>
        <v>55</v>
      </c>
      <c r="AC88" s="197">
        <f>AA88*AB88</f>
        <v>0</v>
      </c>
      <c r="AD88" s="197">
        <f>'Margins summary'!$Q$14</f>
        <v>220</v>
      </c>
      <c r="AE88" s="197">
        <f>AC88+AD88</f>
        <v>220</v>
      </c>
      <c r="AF88" s="197">
        <f>'Margins summary'!$P$20</f>
        <v>1642.4049999999997</v>
      </c>
      <c r="AG88" s="897">
        <f>'Energy NPV'!$U13</f>
        <v>0</v>
      </c>
      <c r="AH88" s="197"/>
      <c r="AI88" s="197">
        <f>AF88+AG88+AH88</f>
        <v>1642.4049999999997</v>
      </c>
      <c r="AJ88" s="197">
        <f t="shared" ref="AJ88:AJ103" si="205">AC88-AI88</f>
        <v>-1642.4049999999997</v>
      </c>
      <c r="AK88" s="197">
        <f t="shared" ref="AK88:AK103" si="206">AE88-AI88</f>
        <v>-1422.4049999999997</v>
      </c>
      <c r="AL88" s="1007">
        <f>AC88/((1+$C$4)^($Z88-1))</f>
        <v>0</v>
      </c>
      <c r="AM88" s="1010">
        <f>AD88/((1+$C$4)^($Z88-1))</f>
        <v>220</v>
      </c>
      <c r="AN88" s="1010">
        <f>AI88/((1+$C$4)^($Z88-1))</f>
        <v>1642.4049999999997</v>
      </c>
      <c r="AO88" s="1010">
        <f>AJ88/((1+$C$4)^($Z88-1))</f>
        <v>-1642.4049999999997</v>
      </c>
      <c r="AP88" s="1012">
        <f>AK88/((1+$C$4)^($Z88-1))</f>
        <v>-1422.4049999999997</v>
      </c>
      <c r="AQ88" s="196">
        <f>AL88</f>
        <v>0</v>
      </c>
      <c r="AR88" s="197">
        <f>AM88</f>
        <v>220</v>
      </c>
      <c r="AS88" s="197">
        <f>AN88</f>
        <v>1642.4049999999997</v>
      </c>
      <c r="AT88" s="197">
        <f>AO88</f>
        <v>-1642.4049999999997</v>
      </c>
      <c r="AU88" s="199">
        <f>AP88</f>
        <v>-1422.4049999999997</v>
      </c>
      <c r="AV88" s="197"/>
      <c r="AX88" s="204">
        <v>1</v>
      </c>
      <c r="AY88" s="746">
        <f>'Energy NPV'!$D13</f>
        <v>0</v>
      </c>
      <c r="AZ88" s="197">
        <f>'Energy margins'!$E$12</f>
        <v>55</v>
      </c>
      <c r="BA88" s="197">
        <f>AY88*AZ88</f>
        <v>0</v>
      </c>
      <c r="BB88" s="197">
        <f>'Margins summary'!$Q$14</f>
        <v>220</v>
      </c>
      <c r="BC88" s="197">
        <f>BA88+BB88</f>
        <v>220</v>
      </c>
      <c r="BD88" s="197">
        <f>'Margins summary'!$P$20</f>
        <v>1642.4049999999997</v>
      </c>
      <c r="BE88" s="897">
        <f>'Energy NPV'!$U13</f>
        <v>0</v>
      </c>
      <c r="BF88" s="197"/>
      <c r="BG88" s="197">
        <f>BD88+BE88+BF88</f>
        <v>1642.4049999999997</v>
      </c>
      <c r="BH88" s="197">
        <f t="shared" ref="BH88:BH103" si="207">BA88-BG88</f>
        <v>-1642.4049999999997</v>
      </c>
      <c r="BI88" s="197">
        <f t="shared" ref="BI88:BI103" si="208">BC88-BG88</f>
        <v>-1422.4049999999997</v>
      </c>
      <c r="BJ88" s="1007">
        <f>BA88/((1+$D$4)^($AX88-1))</f>
        <v>0</v>
      </c>
      <c r="BK88" s="1010">
        <f>BB88/((1+$D$4)^($AX88-1))</f>
        <v>220</v>
      </c>
      <c r="BL88" s="1010">
        <f>BG88/((1+$D$4)^($AX88-1))</f>
        <v>1642.4049999999997</v>
      </c>
      <c r="BM88" s="1010">
        <f>BH88/((1+$D$4)^($AX88-1))</f>
        <v>-1642.4049999999997</v>
      </c>
      <c r="BN88" s="1012">
        <f>BI88/((1+$D$4)^($AX88-1))</f>
        <v>-1422.4049999999997</v>
      </c>
      <c r="BO88" s="196">
        <f>BJ88</f>
        <v>0</v>
      </c>
      <c r="BP88" s="197">
        <f>BK88</f>
        <v>220</v>
      </c>
      <c r="BQ88" s="197">
        <f>BL88</f>
        <v>1642.4049999999997</v>
      </c>
      <c r="BR88" s="197">
        <f>BM88</f>
        <v>-1642.4049999999997</v>
      </c>
      <c r="BS88" s="199">
        <f>BN88</f>
        <v>-1422.4049999999997</v>
      </c>
      <c r="BT88" s="197"/>
      <c r="BV88" s="204">
        <v>1</v>
      </c>
      <c r="BW88" s="746">
        <f>'Energy NPV'!$D13</f>
        <v>0</v>
      </c>
      <c r="BX88" s="197">
        <f>'Energy margins'!$E$12</f>
        <v>55</v>
      </c>
      <c r="BY88" s="197">
        <f>BW88*BX88</f>
        <v>0</v>
      </c>
      <c r="BZ88" s="197">
        <f>'Margins summary'!$Q$14</f>
        <v>220</v>
      </c>
      <c r="CA88" s="197">
        <f>BY88+BZ88</f>
        <v>220</v>
      </c>
      <c r="CB88" s="197">
        <f>'Margins summary'!$P$20</f>
        <v>1642.4049999999997</v>
      </c>
      <c r="CC88" s="897">
        <f>'Energy NPV'!$U13</f>
        <v>0</v>
      </c>
      <c r="CD88" s="197"/>
      <c r="CE88" s="197">
        <f>CB88+CC88+CD88</f>
        <v>1642.4049999999997</v>
      </c>
      <c r="CF88" s="197">
        <f t="shared" ref="CF88:CF103" si="209">BY88-CE88</f>
        <v>-1642.4049999999997</v>
      </c>
      <c r="CG88" s="197">
        <f t="shared" ref="CG88:CG103" si="210">CA88-CE88</f>
        <v>-1422.4049999999997</v>
      </c>
      <c r="CH88" s="1007">
        <f>BY88/((1+$E$4)^($BV88-1))</f>
        <v>0</v>
      </c>
      <c r="CI88" s="1010">
        <f>BZ88/((1+$E$4)^($BV88-1))</f>
        <v>220</v>
      </c>
      <c r="CJ88" s="1010">
        <f>CE88/((1+$E$4)^($BV88-1))</f>
        <v>1642.4049999999997</v>
      </c>
      <c r="CK88" s="1010">
        <f>CF88/((1+$E$4)^($BV88-1))</f>
        <v>-1642.4049999999997</v>
      </c>
      <c r="CL88" s="1012">
        <f>CG88/((1+$E$4)^($BV88-1))</f>
        <v>-1422.4049999999997</v>
      </c>
      <c r="CM88" s="196">
        <f>CH88</f>
        <v>0</v>
      </c>
      <c r="CN88" s="197">
        <f>CI88</f>
        <v>220</v>
      </c>
      <c r="CO88" s="197">
        <f>CJ88</f>
        <v>1642.4049999999997</v>
      </c>
      <c r="CP88" s="197">
        <f>CK88</f>
        <v>-1642.4049999999997</v>
      </c>
      <c r="CQ88" s="199">
        <f>CL88</f>
        <v>-1422.4049999999997</v>
      </c>
      <c r="CR88" s="197"/>
      <c r="CT88" s="204">
        <v>1</v>
      </c>
      <c r="CU88" s="746">
        <f>'Energy NPV'!$D13</f>
        <v>0</v>
      </c>
      <c r="CV88" s="197">
        <f>'Energy margins'!$E$12</f>
        <v>55</v>
      </c>
      <c r="CW88" s="197">
        <f>CU88*CV88</f>
        <v>0</v>
      </c>
      <c r="CX88" s="197">
        <f>'Margins summary'!$Q$14</f>
        <v>220</v>
      </c>
      <c r="CY88" s="197">
        <f>CW88+CX88</f>
        <v>220</v>
      </c>
      <c r="CZ88" s="197">
        <f>'Margins summary'!$P$20</f>
        <v>1642.4049999999997</v>
      </c>
      <c r="DA88" s="897">
        <f>'Energy NPV'!$U13</f>
        <v>0</v>
      </c>
      <c r="DB88" s="197"/>
      <c r="DC88" s="197">
        <f>CZ88+DA88+DB88</f>
        <v>1642.4049999999997</v>
      </c>
      <c r="DD88" s="197">
        <f t="shared" ref="DD88:DD103" si="211">CW88-DC88</f>
        <v>-1642.4049999999997</v>
      </c>
      <c r="DE88" s="197">
        <f t="shared" ref="DE88:DE103" si="212">CY88-DC88</f>
        <v>-1422.4049999999997</v>
      </c>
      <c r="DF88" s="1007">
        <f>CW88/((1+$F$4)^($CT88-1))</f>
        <v>0</v>
      </c>
      <c r="DG88" s="1010">
        <f>CX88/((1+$F$4)^($CT88-1))</f>
        <v>220</v>
      </c>
      <c r="DH88" s="1010">
        <f>DC88/((1+$F$4)^($CT88-1))</f>
        <v>1642.4049999999997</v>
      </c>
      <c r="DI88" s="1010">
        <f>DD88/((1+$F$4)^($CT88-1))</f>
        <v>-1642.4049999999997</v>
      </c>
      <c r="DJ88" s="1012">
        <f>DE88/((1+$F$4)^($CT88-1))</f>
        <v>-1422.4049999999997</v>
      </c>
      <c r="DK88" s="196">
        <f>DF88</f>
        <v>0</v>
      </c>
      <c r="DL88" s="197">
        <f>DG88</f>
        <v>220</v>
      </c>
      <c r="DM88" s="197">
        <f>DH88</f>
        <v>1642.4049999999997</v>
      </c>
      <c r="DN88" s="197">
        <f>DI88</f>
        <v>-1642.4049999999997</v>
      </c>
      <c r="DO88" s="199">
        <f>DJ88</f>
        <v>-1422.4049999999997</v>
      </c>
    </row>
    <row r="89" spans="2:119" x14ac:dyDescent="0.3">
      <c r="B89" s="204">
        <v>2</v>
      </c>
      <c r="C89" s="746">
        <f>'Energy NPV'!$D14</f>
        <v>0</v>
      </c>
      <c r="D89" s="197">
        <f>'Energy margins'!$E$12</f>
        <v>55</v>
      </c>
      <c r="E89" s="197">
        <f>C89*D89</f>
        <v>0</v>
      </c>
      <c r="F89" s="197">
        <f>'Margins summary'!$Q$14</f>
        <v>220</v>
      </c>
      <c r="G89" s="197">
        <f t="shared" ref="G89:G103" si="213">E89+F89</f>
        <v>220</v>
      </c>
      <c r="H89" s="197"/>
      <c r="I89" s="901">
        <f>'Energy NPV'!$U14</f>
        <v>140.30000000000001</v>
      </c>
      <c r="J89" s="197"/>
      <c r="K89" s="197">
        <f t="shared" ref="K89:K103" si="214">H89+I89+J89</f>
        <v>140.30000000000001</v>
      </c>
      <c r="L89" s="197">
        <f t="shared" si="203"/>
        <v>-140.30000000000001</v>
      </c>
      <c r="M89" s="197">
        <f t="shared" si="204"/>
        <v>79.699999999999989</v>
      </c>
      <c r="N89" s="1008">
        <f t="shared" ref="N89:O103" si="215">E89/((1+$B$4)^($B89-1))</f>
        <v>0</v>
      </c>
      <c r="O89" s="1011">
        <f t="shared" si="215"/>
        <v>211.53846153846152</v>
      </c>
      <c r="P89" s="1011">
        <f t="shared" ref="P89:R103" si="216">K89/((1+$B$4)^($B89-1))</f>
        <v>134.90384615384616</v>
      </c>
      <c r="Q89" s="1011">
        <f t="shared" si="216"/>
        <v>-134.90384615384616</v>
      </c>
      <c r="R89" s="1013">
        <f t="shared" si="216"/>
        <v>76.634615384615373</v>
      </c>
      <c r="S89" s="196">
        <f>S88+N89</f>
        <v>0</v>
      </c>
      <c r="T89" s="197">
        <f t="shared" ref="T89:W103" si="217">T88+O89</f>
        <v>431.53846153846155</v>
      </c>
      <c r="U89" s="197">
        <f t="shared" si="217"/>
        <v>1777.3088461538459</v>
      </c>
      <c r="V89" s="197">
        <f t="shared" si="217"/>
        <v>-1777.3088461538459</v>
      </c>
      <c r="W89" s="199">
        <f t="shared" si="217"/>
        <v>-1345.7703846153843</v>
      </c>
      <c r="X89" s="197"/>
      <c r="Z89" s="204">
        <v>2</v>
      </c>
      <c r="AA89" s="746">
        <f>'Energy NPV'!$D14</f>
        <v>0</v>
      </c>
      <c r="AB89" s="197">
        <f>'Energy margins'!$E$12</f>
        <v>55</v>
      </c>
      <c r="AC89" s="197">
        <f>AA89*AB89</f>
        <v>0</v>
      </c>
      <c r="AD89" s="197">
        <f>'Margins summary'!$Q$14</f>
        <v>220</v>
      </c>
      <c r="AE89" s="197">
        <f t="shared" ref="AE89:AE103" si="218">AC89+AD89</f>
        <v>220</v>
      </c>
      <c r="AF89" s="197"/>
      <c r="AG89" s="897">
        <f>'Energy NPV'!$U14</f>
        <v>140.30000000000001</v>
      </c>
      <c r="AH89" s="197"/>
      <c r="AI89" s="197">
        <f t="shared" ref="AI89:AI103" si="219">AF89+AG89+AH89</f>
        <v>140.30000000000001</v>
      </c>
      <c r="AJ89" s="197">
        <f t="shared" si="205"/>
        <v>-140.30000000000001</v>
      </c>
      <c r="AK89" s="197">
        <f t="shared" si="206"/>
        <v>79.699999999999989</v>
      </c>
      <c r="AL89" s="1008">
        <f t="shared" ref="AL89:AL103" si="220">AC89/((1+$C$4)^($Z89-1))</f>
        <v>0</v>
      </c>
      <c r="AM89" s="1011">
        <f t="shared" ref="AM89:AM103" si="221">AD89/((1+$C$4)^($Z89-1))</f>
        <v>207.54716981132074</v>
      </c>
      <c r="AN89" s="1011">
        <f t="shared" ref="AN89:AN103" si="222">AI89/((1+$C$4)^($Z89-1))</f>
        <v>132.35849056603774</v>
      </c>
      <c r="AO89" s="1011">
        <f t="shared" ref="AO89:AO103" si="223">AJ89/((1+$C$4)^($Z89-1))</f>
        <v>-132.35849056603774</v>
      </c>
      <c r="AP89" s="1013">
        <f t="shared" ref="AP89:AP102" si="224">AK89/((1+$C$4)^($Z89-1))</f>
        <v>75.188679245282998</v>
      </c>
      <c r="AQ89" s="196">
        <f>AQ88+AL89</f>
        <v>0</v>
      </c>
      <c r="AR89" s="197">
        <f t="shared" ref="AR89:AU103" si="225">AR88+AM89</f>
        <v>427.54716981132071</v>
      </c>
      <c r="AS89" s="197">
        <f t="shared" si="225"/>
        <v>1774.7634905660375</v>
      </c>
      <c r="AT89" s="197">
        <f t="shared" si="225"/>
        <v>-1774.7634905660375</v>
      </c>
      <c r="AU89" s="199">
        <f t="shared" si="225"/>
        <v>-1347.2163207547167</v>
      </c>
      <c r="AV89" s="197"/>
      <c r="AX89" s="204">
        <v>2</v>
      </c>
      <c r="AY89" s="746">
        <f>'Energy NPV'!$D14</f>
        <v>0</v>
      </c>
      <c r="AZ89" s="197">
        <f>'Energy margins'!$E$12</f>
        <v>55</v>
      </c>
      <c r="BA89" s="197">
        <f>AY89*AZ89</f>
        <v>0</v>
      </c>
      <c r="BB89" s="197">
        <f>'Margins summary'!$Q$14</f>
        <v>220</v>
      </c>
      <c r="BC89" s="197">
        <f t="shared" ref="BC89:BC103" si="226">BA89+BB89</f>
        <v>220</v>
      </c>
      <c r="BD89" s="197"/>
      <c r="BE89" s="897">
        <f>'Energy NPV'!$U14</f>
        <v>140.30000000000001</v>
      </c>
      <c r="BF89" s="197"/>
      <c r="BG89" s="197">
        <f t="shared" ref="BG89:BG103" si="227">BD89+BE89+BF89</f>
        <v>140.30000000000001</v>
      </c>
      <c r="BH89" s="197">
        <f t="shared" si="207"/>
        <v>-140.30000000000001</v>
      </c>
      <c r="BI89" s="197">
        <f t="shared" si="208"/>
        <v>79.699999999999989</v>
      </c>
      <c r="BJ89" s="1008">
        <f t="shared" ref="BJ89:BJ103" si="228">BA89/((1+$D$4)^($AX89-1))</f>
        <v>0</v>
      </c>
      <c r="BK89" s="1011">
        <f t="shared" ref="BK89:BK103" si="229">BB89/((1+$D$4)^($AX89-1))</f>
        <v>215.68627450980392</v>
      </c>
      <c r="BL89" s="1011">
        <f t="shared" ref="BL89:BL103" si="230">BG89/((1+$D$4)^($AX89-1))</f>
        <v>137.54901960784315</v>
      </c>
      <c r="BM89" s="1011">
        <f t="shared" ref="BM89:BM103" si="231">BH89/((1+$D$4)^($AX89-1))</f>
        <v>-137.54901960784315</v>
      </c>
      <c r="BN89" s="1013">
        <f t="shared" ref="BN89:BN102" si="232">BI89/((1+$D$4)^($AX89-1))</f>
        <v>78.137254901960773</v>
      </c>
      <c r="BO89" s="196">
        <f>BO88+BJ89</f>
        <v>0</v>
      </c>
      <c r="BP89" s="197">
        <f t="shared" ref="BP89:BS103" si="233">BP88+BK89</f>
        <v>435.68627450980392</v>
      </c>
      <c r="BQ89" s="197">
        <f t="shared" si="233"/>
        <v>1779.9540196078428</v>
      </c>
      <c r="BR89" s="197">
        <f t="shared" si="233"/>
        <v>-1779.9540196078428</v>
      </c>
      <c r="BS89" s="199">
        <f t="shared" si="233"/>
        <v>-1344.2677450980391</v>
      </c>
      <c r="BT89" s="197"/>
      <c r="BV89" s="204">
        <v>2</v>
      </c>
      <c r="BW89" s="746">
        <f>'Energy NPV'!$D14</f>
        <v>0</v>
      </c>
      <c r="BX89" s="197">
        <f>'Energy margins'!$E$12</f>
        <v>55</v>
      </c>
      <c r="BY89" s="197">
        <f>BW89*BX89</f>
        <v>0</v>
      </c>
      <c r="BZ89" s="197">
        <f>'Margins summary'!$Q$14</f>
        <v>220</v>
      </c>
      <c r="CA89" s="197">
        <f t="shared" ref="CA89:CA103" si="234">BY89+BZ89</f>
        <v>220</v>
      </c>
      <c r="CB89" s="197"/>
      <c r="CC89" s="897">
        <f>'Energy NPV'!$U14</f>
        <v>140.30000000000001</v>
      </c>
      <c r="CD89" s="197"/>
      <c r="CE89" s="197">
        <f t="shared" ref="CE89:CE103" si="235">CB89+CC89+CD89</f>
        <v>140.30000000000001</v>
      </c>
      <c r="CF89" s="197">
        <f t="shared" si="209"/>
        <v>-140.30000000000001</v>
      </c>
      <c r="CG89" s="197">
        <f t="shared" si="210"/>
        <v>79.699999999999989</v>
      </c>
      <c r="CH89" s="1008">
        <f t="shared" ref="CH89:CH103" si="236">BY89/((1+$E$4)^($BV89-1))</f>
        <v>0</v>
      </c>
      <c r="CI89" s="1011">
        <f>BZ89/((1+$E$4)^($BV89-1))</f>
        <v>203.7037037037037</v>
      </c>
      <c r="CJ89" s="1011">
        <f t="shared" ref="CJ89:CJ103" si="237">CE89/((1+$E$4)^($BV89-1))</f>
        <v>129.90740740740742</v>
      </c>
      <c r="CK89" s="1011">
        <f t="shared" ref="CK89:CK103" si="238">CF89/((1+$E$4)^($BV89-1))</f>
        <v>-129.90740740740742</v>
      </c>
      <c r="CL89" s="1013">
        <f t="shared" ref="CL89:CL102" si="239">CG89/((1+$E$4)^($BV89-1))</f>
        <v>73.796296296296276</v>
      </c>
      <c r="CM89" s="196">
        <f>CM88+CH89</f>
        <v>0</v>
      </c>
      <c r="CN89" s="197">
        <f t="shared" ref="CN89:CQ103" si="240">CN88+CI89</f>
        <v>423.7037037037037</v>
      </c>
      <c r="CO89" s="197">
        <f t="shared" si="240"/>
        <v>1772.3124074074071</v>
      </c>
      <c r="CP89" s="197">
        <f t="shared" si="240"/>
        <v>-1772.3124074074071</v>
      </c>
      <c r="CQ89" s="199">
        <f t="shared" si="240"/>
        <v>-1348.6087037037034</v>
      </c>
      <c r="CR89" s="197"/>
      <c r="CT89" s="204">
        <f>CT88+1</f>
        <v>2</v>
      </c>
      <c r="CU89" s="746">
        <f>'Energy NPV'!$D14</f>
        <v>0</v>
      </c>
      <c r="CV89" s="197">
        <f>'Energy margins'!$E$12</f>
        <v>55</v>
      </c>
      <c r="CW89" s="197">
        <f>CU89*CV89</f>
        <v>0</v>
      </c>
      <c r="CX89" s="197">
        <f>'Margins summary'!$Q$14</f>
        <v>220</v>
      </c>
      <c r="CY89" s="197">
        <f t="shared" ref="CY89:CY103" si="241">CW89+CX89</f>
        <v>220</v>
      </c>
      <c r="CZ89" s="197"/>
      <c r="DA89" s="897">
        <f>'Energy NPV'!$U14</f>
        <v>140.30000000000001</v>
      </c>
      <c r="DB89" s="197"/>
      <c r="DC89" s="197">
        <f t="shared" ref="DC89:DC103" si="242">CZ89+DA89+DB89</f>
        <v>140.30000000000001</v>
      </c>
      <c r="DD89" s="197">
        <f t="shared" si="211"/>
        <v>-140.30000000000001</v>
      </c>
      <c r="DE89" s="197">
        <f t="shared" si="212"/>
        <v>79.699999999999989</v>
      </c>
      <c r="DF89" s="1008">
        <f t="shared" ref="DF89:DF103" si="243">CW89/((1+$F$4)^($CT89-1))</f>
        <v>0</v>
      </c>
      <c r="DG89" s="1011">
        <f t="shared" ref="DG89:DG103" si="244">CX89/((1+$F$4)^($CT89-1))</f>
        <v>220</v>
      </c>
      <c r="DH89" s="1011">
        <f t="shared" ref="DH89:DH103" si="245">DC89/((1+$F$4)^($CT89-1))</f>
        <v>140.30000000000001</v>
      </c>
      <c r="DI89" s="1011">
        <f t="shared" ref="DI89:DI103" si="246">DD89/((1+$F$4)^($CT89-1))</f>
        <v>-140.30000000000001</v>
      </c>
      <c r="DJ89" s="1013">
        <f t="shared" ref="DJ89:DJ102" si="247">DE89/((1+$F$4)^($CT89-1))</f>
        <v>79.699999999999989</v>
      </c>
      <c r="DK89" s="196">
        <f>DK88+DF89</f>
        <v>0</v>
      </c>
      <c r="DL89" s="197">
        <f t="shared" ref="DL89:DO103" si="248">DL88+DG89</f>
        <v>440</v>
      </c>
      <c r="DM89" s="197">
        <f t="shared" si="248"/>
        <v>1782.7049999999997</v>
      </c>
      <c r="DN89" s="197">
        <f t="shared" si="248"/>
        <v>-1782.7049999999997</v>
      </c>
      <c r="DO89" s="199">
        <f t="shared" si="248"/>
        <v>-1342.7049999999997</v>
      </c>
    </row>
    <row r="90" spans="2:119" x14ac:dyDescent="0.3">
      <c r="B90" s="204">
        <f t="shared" ref="B90:B103" si="249">B89+1</f>
        <v>3</v>
      </c>
      <c r="C90" s="746">
        <f>'Energy NPV'!$D15</f>
        <v>0</v>
      </c>
      <c r="D90" s="197">
        <f>'Energy margins'!$E$12</f>
        <v>55</v>
      </c>
      <c r="E90" s="197">
        <f t="shared" ref="E90:E103" si="250">C90*D90</f>
        <v>0</v>
      </c>
      <c r="F90" s="197">
        <f>'Margins summary'!$Q$14</f>
        <v>220</v>
      </c>
      <c r="G90" s="197">
        <f t="shared" si="213"/>
        <v>220</v>
      </c>
      <c r="H90" s="197"/>
      <c r="I90" s="901">
        <f>'Energy NPV'!$U15</f>
        <v>140.30000000000001</v>
      </c>
      <c r="J90" s="197"/>
      <c r="K90" s="197">
        <f t="shared" si="214"/>
        <v>140.30000000000001</v>
      </c>
      <c r="L90" s="197">
        <f t="shared" si="203"/>
        <v>-140.30000000000001</v>
      </c>
      <c r="M90" s="197">
        <f t="shared" si="204"/>
        <v>79.699999999999989</v>
      </c>
      <c r="N90" s="1008">
        <f t="shared" si="215"/>
        <v>0</v>
      </c>
      <c r="O90" s="1011">
        <f t="shared" si="215"/>
        <v>203.40236686390531</v>
      </c>
      <c r="P90" s="1011">
        <f t="shared" si="216"/>
        <v>129.71523668639054</v>
      </c>
      <c r="Q90" s="1011">
        <f t="shared" si="216"/>
        <v>-129.71523668639054</v>
      </c>
      <c r="R90" s="1013">
        <f t="shared" si="216"/>
        <v>73.687130177514774</v>
      </c>
      <c r="S90" s="196">
        <f t="shared" ref="S90:S103" si="251">S89+N90</f>
        <v>0</v>
      </c>
      <c r="T90" s="197">
        <f t="shared" si="217"/>
        <v>634.94082840236683</v>
      </c>
      <c r="U90" s="197">
        <f t="shared" si="217"/>
        <v>1907.0240828402366</v>
      </c>
      <c r="V90" s="197">
        <f t="shared" si="217"/>
        <v>-1907.0240828402366</v>
      </c>
      <c r="W90" s="199">
        <f t="shared" si="217"/>
        <v>-1272.0832544378695</v>
      </c>
      <c r="X90" s="197"/>
      <c r="Z90" s="204">
        <f t="shared" ref="Z90:Z103" si="252">Z89+1</f>
        <v>3</v>
      </c>
      <c r="AA90" s="746">
        <f>'Energy NPV'!$D15</f>
        <v>0</v>
      </c>
      <c r="AB90" s="197">
        <f>'Energy margins'!$E$12</f>
        <v>55</v>
      </c>
      <c r="AC90" s="197">
        <f t="shared" ref="AC90:AC103" si="253">AA90*AB90</f>
        <v>0</v>
      </c>
      <c r="AD90" s="197">
        <f>'Margins summary'!$Q$14</f>
        <v>220</v>
      </c>
      <c r="AE90" s="197">
        <f t="shared" si="218"/>
        <v>220</v>
      </c>
      <c r="AF90" s="197"/>
      <c r="AG90" s="897">
        <f>'Energy NPV'!$U15</f>
        <v>140.30000000000001</v>
      </c>
      <c r="AH90" s="197"/>
      <c r="AI90" s="197">
        <f t="shared" si="219"/>
        <v>140.30000000000001</v>
      </c>
      <c r="AJ90" s="197">
        <f t="shared" si="205"/>
        <v>-140.30000000000001</v>
      </c>
      <c r="AK90" s="197">
        <f t="shared" si="206"/>
        <v>79.699999999999989</v>
      </c>
      <c r="AL90" s="1008">
        <f t="shared" si="220"/>
        <v>0</v>
      </c>
      <c r="AM90" s="1011">
        <f t="shared" si="221"/>
        <v>195.79921680313277</v>
      </c>
      <c r="AN90" s="1011">
        <f t="shared" si="222"/>
        <v>124.86650053399785</v>
      </c>
      <c r="AO90" s="1011">
        <f t="shared" si="223"/>
        <v>-124.86650053399785</v>
      </c>
      <c r="AP90" s="1013">
        <f t="shared" si="224"/>
        <v>70.9327162691349</v>
      </c>
      <c r="AQ90" s="196">
        <f t="shared" ref="AQ90:AQ102" si="254">AQ89+AL90</f>
        <v>0</v>
      </c>
      <c r="AR90" s="197">
        <f t="shared" si="225"/>
        <v>623.34638661445342</v>
      </c>
      <c r="AS90" s="197">
        <f t="shared" si="225"/>
        <v>1899.6299911000353</v>
      </c>
      <c r="AT90" s="197">
        <f t="shared" si="225"/>
        <v>-1899.6299911000353</v>
      </c>
      <c r="AU90" s="199">
        <f t="shared" si="225"/>
        <v>-1276.2836044855817</v>
      </c>
      <c r="AV90" s="197"/>
      <c r="AX90" s="204">
        <f t="shared" ref="AX90:AX103" si="255">AX89+1</f>
        <v>3</v>
      </c>
      <c r="AY90" s="746">
        <f>'Energy NPV'!$D15</f>
        <v>0</v>
      </c>
      <c r="AZ90" s="197">
        <f>'Energy margins'!$E$12</f>
        <v>55</v>
      </c>
      <c r="BA90" s="197">
        <f t="shared" ref="BA90:BA103" si="256">AY90*AZ90</f>
        <v>0</v>
      </c>
      <c r="BB90" s="197">
        <f>'Margins summary'!$Q$14</f>
        <v>220</v>
      </c>
      <c r="BC90" s="197">
        <f t="shared" si="226"/>
        <v>220</v>
      </c>
      <c r="BD90" s="197"/>
      <c r="BE90" s="897">
        <f>'Energy NPV'!$U15</f>
        <v>140.30000000000001</v>
      </c>
      <c r="BF90" s="197"/>
      <c r="BG90" s="197">
        <f t="shared" si="227"/>
        <v>140.30000000000001</v>
      </c>
      <c r="BH90" s="197">
        <f t="shared" si="207"/>
        <v>-140.30000000000001</v>
      </c>
      <c r="BI90" s="197">
        <f t="shared" si="208"/>
        <v>79.699999999999989</v>
      </c>
      <c r="BJ90" s="1008">
        <f t="shared" si="228"/>
        <v>0</v>
      </c>
      <c r="BK90" s="1011">
        <f t="shared" si="229"/>
        <v>211.4571318723568</v>
      </c>
      <c r="BL90" s="1011">
        <f t="shared" si="230"/>
        <v>134.85198000768935</v>
      </c>
      <c r="BM90" s="1011">
        <f t="shared" si="231"/>
        <v>-134.85198000768935</v>
      </c>
      <c r="BN90" s="1013">
        <f t="shared" si="232"/>
        <v>76.60515186466742</v>
      </c>
      <c r="BO90" s="196">
        <f t="shared" ref="BO90:BO103" si="257">BO89+BJ90</f>
        <v>0</v>
      </c>
      <c r="BP90" s="197">
        <f t="shared" si="233"/>
        <v>647.14340638216072</v>
      </c>
      <c r="BQ90" s="197">
        <f t="shared" si="233"/>
        <v>1914.8059996155321</v>
      </c>
      <c r="BR90" s="197">
        <f t="shared" si="233"/>
        <v>-1914.8059996155321</v>
      </c>
      <c r="BS90" s="199">
        <f t="shared" si="233"/>
        <v>-1267.6625932333716</v>
      </c>
      <c r="BT90" s="197"/>
      <c r="BV90" s="204">
        <f t="shared" ref="BV90:BV103" si="258">BV89+1</f>
        <v>3</v>
      </c>
      <c r="BW90" s="746">
        <f>'Energy NPV'!$D15</f>
        <v>0</v>
      </c>
      <c r="BX90" s="197">
        <f>'Energy margins'!$E$12</f>
        <v>55</v>
      </c>
      <c r="BY90" s="197">
        <f t="shared" ref="BY90:BY103" si="259">BW90*BX90</f>
        <v>0</v>
      </c>
      <c r="BZ90" s="197">
        <f>'Margins summary'!$Q$14</f>
        <v>220</v>
      </c>
      <c r="CA90" s="197">
        <f t="shared" si="234"/>
        <v>220</v>
      </c>
      <c r="CB90" s="197"/>
      <c r="CC90" s="897">
        <f>'Energy NPV'!$U15</f>
        <v>140.30000000000001</v>
      </c>
      <c r="CD90" s="197"/>
      <c r="CE90" s="197">
        <f t="shared" si="235"/>
        <v>140.30000000000001</v>
      </c>
      <c r="CF90" s="197">
        <f t="shared" si="209"/>
        <v>-140.30000000000001</v>
      </c>
      <c r="CG90" s="197">
        <f t="shared" si="210"/>
        <v>79.699999999999989</v>
      </c>
      <c r="CH90" s="1008">
        <f t="shared" si="236"/>
        <v>0</v>
      </c>
      <c r="CI90" s="1011">
        <f t="shared" ref="CI90:CI103" si="260">BZ90/((1+$E$4)^($BV90-1))</f>
        <v>188.6145404663923</v>
      </c>
      <c r="CJ90" s="1011">
        <f t="shared" si="237"/>
        <v>120.2846364883402</v>
      </c>
      <c r="CK90" s="1011">
        <f t="shared" si="238"/>
        <v>-120.2846364883402</v>
      </c>
      <c r="CL90" s="1013">
        <f t="shared" si="239"/>
        <v>68.329903978052116</v>
      </c>
      <c r="CM90" s="196">
        <f t="shared" ref="CM90:CM103" si="261">CM89+CH90</f>
        <v>0</v>
      </c>
      <c r="CN90" s="197">
        <f t="shared" si="240"/>
        <v>612.31824417009602</v>
      </c>
      <c r="CO90" s="197">
        <f t="shared" si="240"/>
        <v>1892.5970438957474</v>
      </c>
      <c r="CP90" s="197">
        <f t="shared" si="240"/>
        <v>-1892.5970438957474</v>
      </c>
      <c r="CQ90" s="199">
        <f t="shared" si="240"/>
        <v>-1280.2787997256514</v>
      </c>
      <c r="CR90" s="197"/>
      <c r="CT90" s="204">
        <f t="shared" ref="CT90:CT103" si="262">CT89+1</f>
        <v>3</v>
      </c>
      <c r="CU90" s="746">
        <f>'Energy NPV'!$D15</f>
        <v>0</v>
      </c>
      <c r="CV90" s="197">
        <f>'Energy margins'!$E$12</f>
        <v>55</v>
      </c>
      <c r="CW90" s="197">
        <f t="shared" ref="CW90:CW103" si="263">CU90*CV90</f>
        <v>0</v>
      </c>
      <c r="CX90" s="197">
        <f>'Margins summary'!$Q$14</f>
        <v>220</v>
      </c>
      <c r="CY90" s="197">
        <f t="shared" si="241"/>
        <v>220</v>
      </c>
      <c r="CZ90" s="197"/>
      <c r="DA90" s="897">
        <f>'Energy NPV'!$U15</f>
        <v>140.30000000000001</v>
      </c>
      <c r="DB90" s="197"/>
      <c r="DC90" s="197">
        <f t="shared" si="242"/>
        <v>140.30000000000001</v>
      </c>
      <c r="DD90" s="197">
        <f t="shared" si="211"/>
        <v>-140.30000000000001</v>
      </c>
      <c r="DE90" s="197">
        <f t="shared" si="212"/>
        <v>79.699999999999989</v>
      </c>
      <c r="DF90" s="1008">
        <f t="shared" si="243"/>
        <v>0</v>
      </c>
      <c r="DG90" s="1011">
        <f t="shared" si="244"/>
        <v>220</v>
      </c>
      <c r="DH90" s="1011">
        <f t="shared" si="245"/>
        <v>140.30000000000001</v>
      </c>
      <c r="DI90" s="1011">
        <f t="shared" si="246"/>
        <v>-140.30000000000001</v>
      </c>
      <c r="DJ90" s="1013">
        <f t="shared" si="247"/>
        <v>79.699999999999989</v>
      </c>
      <c r="DK90" s="196">
        <f t="shared" ref="DK90:DK103" si="264">DK89+DF90</f>
        <v>0</v>
      </c>
      <c r="DL90" s="197">
        <f t="shared" si="248"/>
        <v>660</v>
      </c>
      <c r="DM90" s="197">
        <f t="shared" si="248"/>
        <v>1923.0049999999997</v>
      </c>
      <c r="DN90" s="197">
        <f t="shared" si="248"/>
        <v>-1923.0049999999997</v>
      </c>
      <c r="DO90" s="199">
        <f t="shared" si="248"/>
        <v>-1263.0049999999997</v>
      </c>
    </row>
    <row r="91" spans="2:119" x14ac:dyDescent="0.3">
      <c r="B91" s="204">
        <f t="shared" si="249"/>
        <v>4</v>
      </c>
      <c r="C91" s="746">
        <f>'Energy NPV'!$D16</f>
        <v>30</v>
      </c>
      <c r="D91" s="197">
        <f>'Energy margins'!$E$12</f>
        <v>55</v>
      </c>
      <c r="E91" s="197">
        <f t="shared" si="250"/>
        <v>1650</v>
      </c>
      <c r="F91" s="197">
        <f>'Margins summary'!$Q$14</f>
        <v>220</v>
      </c>
      <c r="G91" s="197">
        <f t="shared" si="213"/>
        <v>1870</v>
      </c>
      <c r="H91" s="197"/>
      <c r="I91" s="901">
        <f>'Energy NPV'!$U16</f>
        <v>592.40499999999997</v>
      </c>
      <c r="J91" s="197"/>
      <c r="K91" s="197">
        <f t="shared" si="214"/>
        <v>592.40499999999997</v>
      </c>
      <c r="L91" s="197">
        <f t="shared" si="203"/>
        <v>1057.595</v>
      </c>
      <c r="M91" s="197">
        <f t="shared" si="204"/>
        <v>1277.595</v>
      </c>
      <c r="N91" s="1008">
        <f t="shared" si="215"/>
        <v>1466.8439918070094</v>
      </c>
      <c r="O91" s="1011">
        <f t="shared" si="215"/>
        <v>195.57919890760127</v>
      </c>
      <c r="P91" s="1011">
        <f t="shared" si="216"/>
        <v>526.6458878584433</v>
      </c>
      <c r="Q91" s="1011">
        <f t="shared" si="216"/>
        <v>940.1981039485662</v>
      </c>
      <c r="R91" s="1013">
        <f t="shared" si="216"/>
        <v>1135.7773028561674</v>
      </c>
      <c r="S91" s="196">
        <f t="shared" si="251"/>
        <v>1466.8439918070094</v>
      </c>
      <c r="T91" s="197">
        <f t="shared" si="217"/>
        <v>830.5200273099681</v>
      </c>
      <c r="U91" s="197">
        <f t="shared" si="217"/>
        <v>2433.6699706986801</v>
      </c>
      <c r="V91" s="197">
        <f t="shared" si="217"/>
        <v>-966.82597889167039</v>
      </c>
      <c r="W91" s="199">
        <f t="shared" si="217"/>
        <v>-136.30595158170217</v>
      </c>
      <c r="X91" s="197"/>
      <c r="Z91" s="204">
        <f t="shared" si="252"/>
        <v>4</v>
      </c>
      <c r="AA91" s="746">
        <f>'Energy NPV'!$D16</f>
        <v>30</v>
      </c>
      <c r="AB91" s="197">
        <f>'Energy margins'!$E$12</f>
        <v>55</v>
      </c>
      <c r="AC91" s="197">
        <f t="shared" si="253"/>
        <v>1650</v>
      </c>
      <c r="AD91" s="197">
        <f>'Margins summary'!$Q$14</f>
        <v>220</v>
      </c>
      <c r="AE91" s="197">
        <f t="shared" si="218"/>
        <v>1870</v>
      </c>
      <c r="AF91" s="197"/>
      <c r="AG91" s="897">
        <f>'Energy NPV'!$U16</f>
        <v>592.40499999999997</v>
      </c>
      <c r="AH91" s="197"/>
      <c r="AI91" s="197">
        <f t="shared" si="219"/>
        <v>592.40499999999997</v>
      </c>
      <c r="AJ91" s="197">
        <f t="shared" si="205"/>
        <v>1057.595</v>
      </c>
      <c r="AK91" s="197">
        <f t="shared" si="206"/>
        <v>1277.595</v>
      </c>
      <c r="AL91" s="1008">
        <f t="shared" si="220"/>
        <v>1385.3718170032978</v>
      </c>
      <c r="AM91" s="1011">
        <f t="shared" si="221"/>
        <v>184.71624226710637</v>
      </c>
      <c r="AN91" s="1011">
        <f t="shared" si="222"/>
        <v>497.39466136475062</v>
      </c>
      <c r="AO91" s="1011">
        <f t="shared" si="223"/>
        <v>887.97715563854706</v>
      </c>
      <c r="AP91" s="1013">
        <f t="shared" si="224"/>
        <v>1072.6933979056535</v>
      </c>
      <c r="AQ91" s="196">
        <f t="shared" si="254"/>
        <v>1385.3718170032978</v>
      </c>
      <c r="AR91" s="197">
        <f t="shared" si="225"/>
        <v>808.06262888155982</v>
      </c>
      <c r="AS91" s="197">
        <f t="shared" si="225"/>
        <v>2397.024652464786</v>
      </c>
      <c r="AT91" s="197">
        <f t="shared" si="225"/>
        <v>-1011.6528354614883</v>
      </c>
      <c r="AU91" s="199">
        <f t="shared" si="225"/>
        <v>-203.59020657992824</v>
      </c>
      <c r="AV91" s="197"/>
      <c r="AX91" s="204">
        <f t="shared" si="255"/>
        <v>4</v>
      </c>
      <c r="AY91" s="746">
        <f>'Energy NPV'!$D16</f>
        <v>30</v>
      </c>
      <c r="AZ91" s="197">
        <f>'Energy margins'!$E$12</f>
        <v>55</v>
      </c>
      <c r="BA91" s="197">
        <f t="shared" si="256"/>
        <v>1650</v>
      </c>
      <c r="BB91" s="197">
        <f>'Margins summary'!$Q$14</f>
        <v>220</v>
      </c>
      <c r="BC91" s="197">
        <f t="shared" si="226"/>
        <v>1870</v>
      </c>
      <c r="BD91" s="197"/>
      <c r="BE91" s="897">
        <f>'Energy NPV'!$U16</f>
        <v>592.40499999999997</v>
      </c>
      <c r="BF91" s="197"/>
      <c r="BG91" s="197">
        <f t="shared" si="227"/>
        <v>592.40499999999997</v>
      </c>
      <c r="BH91" s="197">
        <f t="shared" si="207"/>
        <v>1057.595</v>
      </c>
      <c r="BI91" s="197">
        <f t="shared" si="208"/>
        <v>1277.595</v>
      </c>
      <c r="BJ91" s="1008">
        <f t="shared" si="228"/>
        <v>1554.8318520026235</v>
      </c>
      <c r="BK91" s="1011">
        <f t="shared" si="229"/>
        <v>207.31091360034981</v>
      </c>
      <c r="BL91" s="1011">
        <f>BG91/((1+$D$4)^($AX91-1))</f>
        <v>558.23646259734187</v>
      </c>
      <c r="BM91" s="1011">
        <f t="shared" si="231"/>
        <v>996.59538940528159</v>
      </c>
      <c r="BN91" s="1013">
        <f t="shared" si="232"/>
        <v>1203.9063030056313</v>
      </c>
      <c r="BO91" s="196">
        <f t="shared" si="257"/>
        <v>1554.8318520026235</v>
      </c>
      <c r="BP91" s="197">
        <f t="shared" si="233"/>
        <v>854.45431998251047</v>
      </c>
      <c r="BQ91" s="197">
        <f t="shared" si="233"/>
        <v>2473.0424622128739</v>
      </c>
      <c r="BR91" s="197">
        <f t="shared" si="233"/>
        <v>-918.21061021025048</v>
      </c>
      <c r="BS91" s="199">
        <f t="shared" si="233"/>
        <v>-63.756290227740237</v>
      </c>
      <c r="BT91" s="197"/>
      <c r="BV91" s="204">
        <f t="shared" si="258"/>
        <v>4</v>
      </c>
      <c r="BW91" s="746">
        <f>'Energy NPV'!$D16</f>
        <v>30</v>
      </c>
      <c r="BX91" s="197">
        <f>'Energy margins'!$E$12</f>
        <v>55</v>
      </c>
      <c r="BY91" s="197">
        <f t="shared" si="259"/>
        <v>1650</v>
      </c>
      <c r="BZ91" s="197">
        <f>'Margins summary'!$Q$14</f>
        <v>220</v>
      </c>
      <c r="CA91" s="197">
        <f t="shared" si="234"/>
        <v>1870</v>
      </c>
      <c r="CB91" s="197"/>
      <c r="CC91" s="897">
        <f>'Energy NPV'!$U16</f>
        <v>592.40499999999997</v>
      </c>
      <c r="CD91" s="197"/>
      <c r="CE91" s="197">
        <f t="shared" si="235"/>
        <v>592.40499999999997</v>
      </c>
      <c r="CF91" s="197">
        <f t="shared" si="209"/>
        <v>1057.595</v>
      </c>
      <c r="CG91" s="197">
        <f t="shared" si="210"/>
        <v>1277.595</v>
      </c>
      <c r="CH91" s="1008">
        <f t="shared" si="236"/>
        <v>1309.8231976832799</v>
      </c>
      <c r="CI91" s="1011">
        <f t="shared" si="260"/>
        <v>174.64309302443732</v>
      </c>
      <c r="CJ91" s="1011">
        <f t="shared" si="237"/>
        <v>470.27018874155357</v>
      </c>
      <c r="CK91" s="1011">
        <f t="shared" si="238"/>
        <v>839.55300894172626</v>
      </c>
      <c r="CL91" s="1013">
        <f t="shared" si="239"/>
        <v>1014.1961019661636</v>
      </c>
      <c r="CM91" s="196">
        <f t="shared" si="261"/>
        <v>1309.8231976832799</v>
      </c>
      <c r="CN91" s="197">
        <f t="shared" si="240"/>
        <v>786.96133719453337</v>
      </c>
      <c r="CO91" s="197">
        <f t="shared" si="240"/>
        <v>2362.8672326373012</v>
      </c>
      <c r="CP91" s="197">
        <f t="shared" si="240"/>
        <v>-1053.0440349540213</v>
      </c>
      <c r="CQ91" s="199">
        <f t="shared" si="240"/>
        <v>-266.08269775948781</v>
      </c>
      <c r="CR91" s="197"/>
      <c r="CT91" s="204">
        <f t="shared" si="262"/>
        <v>4</v>
      </c>
      <c r="CU91" s="746">
        <f>'Energy NPV'!$D16</f>
        <v>30</v>
      </c>
      <c r="CV91" s="197">
        <f>'Energy margins'!$E$12</f>
        <v>55</v>
      </c>
      <c r="CW91" s="197">
        <f t="shared" si="263"/>
        <v>1650</v>
      </c>
      <c r="CX91" s="197">
        <f>'Margins summary'!$Q$14</f>
        <v>220</v>
      </c>
      <c r="CY91" s="197">
        <f t="shared" si="241"/>
        <v>1870</v>
      </c>
      <c r="CZ91" s="197"/>
      <c r="DA91" s="897">
        <f>'Energy NPV'!$U16</f>
        <v>592.40499999999997</v>
      </c>
      <c r="DB91" s="197"/>
      <c r="DC91" s="197">
        <f t="shared" si="242"/>
        <v>592.40499999999997</v>
      </c>
      <c r="DD91" s="197">
        <f t="shared" si="211"/>
        <v>1057.595</v>
      </c>
      <c r="DE91" s="197">
        <f t="shared" si="212"/>
        <v>1277.595</v>
      </c>
      <c r="DF91" s="1008">
        <f t="shared" si="243"/>
        <v>1650</v>
      </c>
      <c r="DG91" s="1011">
        <f t="shared" si="244"/>
        <v>220</v>
      </c>
      <c r="DH91" s="1011">
        <f t="shared" si="245"/>
        <v>592.40499999999997</v>
      </c>
      <c r="DI91" s="1011">
        <f t="shared" si="246"/>
        <v>1057.595</v>
      </c>
      <c r="DJ91" s="1013">
        <f t="shared" si="247"/>
        <v>1277.595</v>
      </c>
      <c r="DK91" s="196">
        <f t="shared" si="264"/>
        <v>1650</v>
      </c>
      <c r="DL91" s="197">
        <f t="shared" si="248"/>
        <v>880</v>
      </c>
      <c r="DM91" s="197">
        <f t="shared" si="248"/>
        <v>2515.41</v>
      </c>
      <c r="DN91" s="197">
        <f t="shared" si="248"/>
        <v>-865.40999999999963</v>
      </c>
      <c r="DO91" s="199">
        <f t="shared" si="248"/>
        <v>14.590000000000373</v>
      </c>
    </row>
    <row r="92" spans="2:119" x14ac:dyDescent="0.3">
      <c r="B92" s="204">
        <f t="shared" si="249"/>
        <v>5</v>
      </c>
      <c r="C92" s="746">
        <f>'Energy NPV'!$D17</f>
        <v>0</v>
      </c>
      <c r="D92" s="197">
        <f>'Energy margins'!$E$12</f>
        <v>55</v>
      </c>
      <c r="E92" s="197">
        <f t="shared" si="250"/>
        <v>0</v>
      </c>
      <c r="F92" s="197">
        <f>'Margins summary'!$Q$14</f>
        <v>220</v>
      </c>
      <c r="G92" s="197">
        <f t="shared" si="213"/>
        <v>220</v>
      </c>
      <c r="H92" s="197"/>
      <c r="I92" s="901">
        <f>'Energy NPV'!$U17</f>
        <v>0</v>
      </c>
      <c r="J92" s="197"/>
      <c r="K92" s="197">
        <f t="shared" si="214"/>
        <v>0</v>
      </c>
      <c r="L92" s="197">
        <f t="shared" si="203"/>
        <v>0</v>
      </c>
      <c r="M92" s="197">
        <f t="shared" si="204"/>
        <v>220</v>
      </c>
      <c r="N92" s="1008">
        <f t="shared" si="215"/>
        <v>0</v>
      </c>
      <c r="O92" s="1011">
        <f t="shared" si="215"/>
        <v>188.05692202653967</v>
      </c>
      <c r="P92" s="1011">
        <f t="shared" si="216"/>
        <v>0</v>
      </c>
      <c r="Q92" s="1011">
        <f t="shared" si="216"/>
        <v>0</v>
      </c>
      <c r="R92" s="1013">
        <f t="shared" si="216"/>
        <v>188.05692202653967</v>
      </c>
      <c r="S92" s="196">
        <f t="shared" si="251"/>
        <v>1466.8439918070094</v>
      </c>
      <c r="T92" s="197">
        <f t="shared" si="217"/>
        <v>1018.5769493365078</v>
      </c>
      <c r="U92" s="197">
        <f t="shared" si="217"/>
        <v>2433.6699706986801</v>
      </c>
      <c r="V92" s="197">
        <f t="shared" si="217"/>
        <v>-966.82597889167039</v>
      </c>
      <c r="W92" s="199">
        <f t="shared" si="217"/>
        <v>51.750970444837492</v>
      </c>
      <c r="X92" s="197"/>
      <c r="Z92" s="204">
        <f t="shared" si="252"/>
        <v>5</v>
      </c>
      <c r="AA92" s="746">
        <f>'Energy NPV'!$D17</f>
        <v>0</v>
      </c>
      <c r="AB92" s="197">
        <f>'Energy margins'!$E$12</f>
        <v>55</v>
      </c>
      <c r="AC92" s="197">
        <f t="shared" si="253"/>
        <v>0</v>
      </c>
      <c r="AD92" s="197">
        <f>'Margins summary'!$Q$14</f>
        <v>220</v>
      </c>
      <c r="AE92" s="197">
        <f t="shared" si="218"/>
        <v>220</v>
      </c>
      <c r="AF92" s="197"/>
      <c r="AG92" s="897">
        <f>'Energy NPV'!$U17</f>
        <v>0</v>
      </c>
      <c r="AH92" s="197"/>
      <c r="AI92" s="197">
        <f t="shared" si="219"/>
        <v>0</v>
      </c>
      <c r="AJ92" s="197">
        <f t="shared" si="205"/>
        <v>0</v>
      </c>
      <c r="AK92" s="197">
        <f t="shared" si="206"/>
        <v>220</v>
      </c>
      <c r="AL92" s="1008">
        <f t="shared" si="220"/>
        <v>0</v>
      </c>
      <c r="AM92" s="1011">
        <f t="shared" si="221"/>
        <v>174.2606059123645</v>
      </c>
      <c r="AN92" s="1011">
        <f t="shared" si="222"/>
        <v>0</v>
      </c>
      <c r="AO92" s="1011">
        <f t="shared" si="223"/>
        <v>0</v>
      </c>
      <c r="AP92" s="1013">
        <f t="shared" si="224"/>
        <v>174.2606059123645</v>
      </c>
      <c r="AQ92" s="196">
        <f t="shared" si="254"/>
        <v>1385.3718170032978</v>
      </c>
      <c r="AR92" s="197">
        <f t="shared" si="225"/>
        <v>982.32323479392426</v>
      </c>
      <c r="AS92" s="197">
        <f t="shared" si="225"/>
        <v>2397.024652464786</v>
      </c>
      <c r="AT92" s="197">
        <f t="shared" si="225"/>
        <v>-1011.6528354614883</v>
      </c>
      <c r="AU92" s="199">
        <f t="shared" si="225"/>
        <v>-29.329600667563739</v>
      </c>
      <c r="AV92" s="197"/>
      <c r="AX92" s="204">
        <f t="shared" si="255"/>
        <v>5</v>
      </c>
      <c r="AY92" s="746">
        <f>'Energy NPV'!$D17</f>
        <v>0</v>
      </c>
      <c r="AZ92" s="197">
        <f>'Energy margins'!$E$12</f>
        <v>55</v>
      </c>
      <c r="BA92" s="197">
        <f t="shared" si="256"/>
        <v>0</v>
      </c>
      <c r="BB92" s="197">
        <f>'Margins summary'!$Q$14</f>
        <v>220</v>
      </c>
      <c r="BC92" s="197">
        <f t="shared" si="226"/>
        <v>220</v>
      </c>
      <c r="BD92" s="197"/>
      <c r="BE92" s="897">
        <f>'Energy NPV'!$U17</f>
        <v>0</v>
      </c>
      <c r="BF92" s="197"/>
      <c r="BG92" s="197">
        <f t="shared" si="227"/>
        <v>0</v>
      </c>
      <c r="BH92" s="197">
        <f t="shared" si="207"/>
        <v>0</v>
      </c>
      <c r="BI92" s="197">
        <f t="shared" si="208"/>
        <v>220</v>
      </c>
      <c r="BJ92" s="1008">
        <f t="shared" si="228"/>
        <v>0</v>
      </c>
      <c r="BK92" s="1011">
        <f t="shared" si="229"/>
        <v>203.24599372583313</v>
      </c>
      <c r="BL92" s="1011">
        <f t="shared" si="230"/>
        <v>0</v>
      </c>
      <c r="BM92" s="1011">
        <f t="shared" si="231"/>
        <v>0</v>
      </c>
      <c r="BN92" s="1013">
        <f t="shared" si="232"/>
        <v>203.24599372583313</v>
      </c>
      <c r="BO92" s="196">
        <f t="shared" si="257"/>
        <v>1554.8318520026235</v>
      </c>
      <c r="BP92" s="197">
        <f t="shared" si="233"/>
        <v>1057.7003137083436</v>
      </c>
      <c r="BQ92" s="197">
        <f t="shared" si="233"/>
        <v>2473.0424622128739</v>
      </c>
      <c r="BR92" s="197">
        <f t="shared" si="233"/>
        <v>-918.21061021025048</v>
      </c>
      <c r="BS92" s="199">
        <f t="shared" si="233"/>
        <v>139.48970349809289</v>
      </c>
      <c r="BT92" s="197"/>
      <c r="BV92" s="204">
        <f t="shared" si="258"/>
        <v>5</v>
      </c>
      <c r="BW92" s="746">
        <f>'Energy NPV'!$D17</f>
        <v>0</v>
      </c>
      <c r="BX92" s="197">
        <f>'Energy margins'!$E$12</f>
        <v>55</v>
      </c>
      <c r="BY92" s="197">
        <f t="shared" si="259"/>
        <v>0</v>
      </c>
      <c r="BZ92" s="197">
        <f>'Margins summary'!$Q$14</f>
        <v>220</v>
      </c>
      <c r="CA92" s="197">
        <f t="shared" si="234"/>
        <v>220</v>
      </c>
      <c r="CB92" s="197"/>
      <c r="CC92" s="897">
        <f>'Energy NPV'!$U17</f>
        <v>0</v>
      </c>
      <c r="CD92" s="197"/>
      <c r="CE92" s="197">
        <f t="shared" si="235"/>
        <v>0</v>
      </c>
      <c r="CF92" s="197">
        <f t="shared" si="209"/>
        <v>0</v>
      </c>
      <c r="CG92" s="197">
        <f t="shared" si="210"/>
        <v>220</v>
      </c>
      <c r="CH92" s="1008">
        <f t="shared" si="236"/>
        <v>0</v>
      </c>
      <c r="CI92" s="1011">
        <f t="shared" si="260"/>
        <v>161.70656761521971</v>
      </c>
      <c r="CJ92" s="1011">
        <f t="shared" si="237"/>
        <v>0</v>
      </c>
      <c r="CK92" s="1011">
        <f t="shared" si="238"/>
        <v>0</v>
      </c>
      <c r="CL92" s="1013">
        <f t="shared" si="239"/>
        <v>161.70656761521971</v>
      </c>
      <c r="CM92" s="196">
        <f t="shared" si="261"/>
        <v>1309.8231976832799</v>
      </c>
      <c r="CN92" s="197">
        <f t="shared" si="240"/>
        <v>948.66790480975305</v>
      </c>
      <c r="CO92" s="197">
        <f t="shared" si="240"/>
        <v>2362.8672326373012</v>
      </c>
      <c r="CP92" s="197">
        <f t="shared" si="240"/>
        <v>-1053.0440349540213</v>
      </c>
      <c r="CQ92" s="199">
        <f t="shared" si="240"/>
        <v>-104.3761301442681</v>
      </c>
      <c r="CR92" s="197"/>
      <c r="CT92" s="204">
        <f t="shared" si="262"/>
        <v>5</v>
      </c>
      <c r="CU92" s="746">
        <f>'Energy NPV'!$D17</f>
        <v>0</v>
      </c>
      <c r="CV92" s="197">
        <f>'Energy margins'!$E$12</f>
        <v>55</v>
      </c>
      <c r="CW92" s="197">
        <f t="shared" si="263"/>
        <v>0</v>
      </c>
      <c r="CX92" s="197">
        <f>'Margins summary'!$Q$14</f>
        <v>220</v>
      </c>
      <c r="CY92" s="197">
        <f t="shared" si="241"/>
        <v>220</v>
      </c>
      <c r="CZ92" s="197"/>
      <c r="DA92" s="897">
        <f>'Energy NPV'!$U17</f>
        <v>0</v>
      </c>
      <c r="DB92" s="197"/>
      <c r="DC92" s="197">
        <f t="shared" si="242"/>
        <v>0</v>
      </c>
      <c r="DD92" s="197">
        <f t="shared" si="211"/>
        <v>0</v>
      </c>
      <c r="DE92" s="197">
        <f t="shared" si="212"/>
        <v>220</v>
      </c>
      <c r="DF92" s="1008">
        <f t="shared" si="243"/>
        <v>0</v>
      </c>
      <c r="DG92" s="1011">
        <f t="shared" si="244"/>
        <v>220</v>
      </c>
      <c r="DH92" s="1011">
        <f t="shared" si="245"/>
        <v>0</v>
      </c>
      <c r="DI92" s="1011">
        <f t="shared" si="246"/>
        <v>0</v>
      </c>
      <c r="DJ92" s="1013">
        <f t="shared" si="247"/>
        <v>220</v>
      </c>
      <c r="DK92" s="196">
        <f t="shared" si="264"/>
        <v>1650</v>
      </c>
      <c r="DL92" s="197">
        <f t="shared" si="248"/>
        <v>1100</v>
      </c>
      <c r="DM92" s="197">
        <f t="shared" si="248"/>
        <v>2515.41</v>
      </c>
      <c r="DN92" s="197">
        <f t="shared" si="248"/>
        <v>-865.40999999999963</v>
      </c>
      <c r="DO92" s="199">
        <f t="shared" si="248"/>
        <v>234.59000000000037</v>
      </c>
    </row>
    <row r="93" spans="2:119" x14ac:dyDescent="0.3">
      <c r="B93" s="204">
        <f t="shared" si="249"/>
        <v>6</v>
      </c>
      <c r="C93" s="746">
        <f>'Energy NPV'!$D18</f>
        <v>0</v>
      </c>
      <c r="D93" s="197">
        <f>'Energy margins'!$E$12</f>
        <v>55</v>
      </c>
      <c r="E93" s="197">
        <f t="shared" si="250"/>
        <v>0</v>
      </c>
      <c r="F93" s="197">
        <f>'Margins summary'!$Q$14</f>
        <v>220</v>
      </c>
      <c r="G93" s="197">
        <f t="shared" si="213"/>
        <v>220</v>
      </c>
      <c r="H93" s="197"/>
      <c r="I93" s="901">
        <f>'Energy NPV'!$U18</f>
        <v>0</v>
      </c>
      <c r="J93" s="197"/>
      <c r="K93" s="197">
        <f t="shared" si="214"/>
        <v>0</v>
      </c>
      <c r="L93" s="197">
        <f t="shared" si="203"/>
        <v>0</v>
      </c>
      <c r="M93" s="197">
        <f t="shared" si="204"/>
        <v>220</v>
      </c>
      <c r="N93" s="1008">
        <f t="shared" si="215"/>
        <v>0</v>
      </c>
      <c r="O93" s="1011">
        <f t="shared" si="215"/>
        <v>180.82396348705734</v>
      </c>
      <c r="P93" s="1011">
        <f t="shared" si="216"/>
        <v>0</v>
      </c>
      <c r="Q93" s="1011">
        <f t="shared" si="216"/>
        <v>0</v>
      </c>
      <c r="R93" s="1013">
        <f t="shared" si="216"/>
        <v>180.82396348705734</v>
      </c>
      <c r="S93" s="196">
        <f t="shared" si="251"/>
        <v>1466.8439918070094</v>
      </c>
      <c r="T93" s="197">
        <f t="shared" si="217"/>
        <v>1199.4009128235652</v>
      </c>
      <c r="U93" s="197">
        <f t="shared" si="217"/>
        <v>2433.6699706986801</v>
      </c>
      <c r="V93" s="197">
        <f t="shared" si="217"/>
        <v>-966.82597889167039</v>
      </c>
      <c r="W93" s="199">
        <f t="shared" si="217"/>
        <v>232.57493393189483</v>
      </c>
      <c r="X93" s="197"/>
      <c r="Z93" s="204">
        <f t="shared" si="252"/>
        <v>6</v>
      </c>
      <c r="AA93" s="746">
        <f>'Energy NPV'!$D18</f>
        <v>0</v>
      </c>
      <c r="AB93" s="197">
        <f>'Energy margins'!$E$12</f>
        <v>55</v>
      </c>
      <c r="AC93" s="197">
        <f t="shared" si="253"/>
        <v>0</v>
      </c>
      <c r="AD93" s="197">
        <f>'Margins summary'!$Q$14</f>
        <v>220</v>
      </c>
      <c r="AE93" s="197">
        <f t="shared" si="218"/>
        <v>220</v>
      </c>
      <c r="AF93" s="197"/>
      <c r="AG93" s="897">
        <f>'Energy NPV'!$U18</f>
        <v>0</v>
      </c>
      <c r="AH93" s="197"/>
      <c r="AI93" s="197">
        <f t="shared" si="219"/>
        <v>0</v>
      </c>
      <c r="AJ93" s="197">
        <f t="shared" si="205"/>
        <v>0</v>
      </c>
      <c r="AK93" s="197">
        <f t="shared" si="206"/>
        <v>220</v>
      </c>
      <c r="AL93" s="1008">
        <f t="shared" si="220"/>
        <v>0</v>
      </c>
      <c r="AM93" s="1011">
        <f t="shared" si="221"/>
        <v>164.39679803053252</v>
      </c>
      <c r="AN93" s="1011">
        <f t="shared" si="222"/>
        <v>0</v>
      </c>
      <c r="AO93" s="1011">
        <f t="shared" si="223"/>
        <v>0</v>
      </c>
      <c r="AP93" s="1013">
        <f t="shared" si="224"/>
        <v>164.39679803053252</v>
      </c>
      <c r="AQ93" s="196">
        <f t="shared" si="254"/>
        <v>1385.3718170032978</v>
      </c>
      <c r="AR93" s="197">
        <f t="shared" si="225"/>
        <v>1146.7200328244567</v>
      </c>
      <c r="AS93" s="197">
        <f t="shared" si="225"/>
        <v>2397.024652464786</v>
      </c>
      <c r="AT93" s="197">
        <f t="shared" si="225"/>
        <v>-1011.6528354614883</v>
      </c>
      <c r="AU93" s="199">
        <f t="shared" si="225"/>
        <v>135.06719736296878</v>
      </c>
      <c r="AV93" s="197"/>
      <c r="AX93" s="204">
        <f t="shared" si="255"/>
        <v>6</v>
      </c>
      <c r="AY93" s="746">
        <f>'Energy NPV'!$D18</f>
        <v>0</v>
      </c>
      <c r="AZ93" s="197">
        <f>'Energy margins'!$E$12</f>
        <v>55</v>
      </c>
      <c r="BA93" s="197">
        <f t="shared" si="256"/>
        <v>0</v>
      </c>
      <c r="BB93" s="197">
        <f>'Margins summary'!$Q$14</f>
        <v>220</v>
      </c>
      <c r="BC93" s="197">
        <f t="shared" si="226"/>
        <v>220</v>
      </c>
      <c r="BD93" s="197"/>
      <c r="BE93" s="897">
        <f>'Energy NPV'!$U18</f>
        <v>0</v>
      </c>
      <c r="BF93" s="197"/>
      <c r="BG93" s="197">
        <f t="shared" si="227"/>
        <v>0</v>
      </c>
      <c r="BH93" s="197">
        <f t="shared" si="207"/>
        <v>0</v>
      </c>
      <c r="BI93" s="197">
        <f t="shared" si="208"/>
        <v>220</v>
      </c>
      <c r="BJ93" s="1008">
        <f t="shared" si="228"/>
        <v>0</v>
      </c>
      <c r="BK93" s="1011">
        <f t="shared" si="229"/>
        <v>199.26077816258149</v>
      </c>
      <c r="BL93" s="1011">
        <f t="shared" si="230"/>
        <v>0</v>
      </c>
      <c r="BM93" s="1011">
        <f t="shared" si="231"/>
        <v>0</v>
      </c>
      <c r="BN93" s="1013">
        <f t="shared" si="232"/>
        <v>199.26077816258149</v>
      </c>
      <c r="BO93" s="196">
        <f t="shared" si="257"/>
        <v>1554.8318520026235</v>
      </c>
      <c r="BP93" s="197">
        <f t="shared" si="233"/>
        <v>1256.9610918709252</v>
      </c>
      <c r="BQ93" s="197">
        <f t="shared" si="233"/>
        <v>2473.0424622128739</v>
      </c>
      <c r="BR93" s="197">
        <f t="shared" si="233"/>
        <v>-918.21061021025048</v>
      </c>
      <c r="BS93" s="199">
        <f t="shared" si="233"/>
        <v>338.75048166067438</v>
      </c>
      <c r="BT93" s="197"/>
      <c r="BV93" s="204">
        <f t="shared" si="258"/>
        <v>6</v>
      </c>
      <c r="BW93" s="746">
        <f>'Energy NPV'!$D18</f>
        <v>0</v>
      </c>
      <c r="BX93" s="197">
        <f>'Energy margins'!$E$12</f>
        <v>55</v>
      </c>
      <c r="BY93" s="197">
        <f t="shared" si="259"/>
        <v>0</v>
      </c>
      <c r="BZ93" s="197">
        <f>'Margins summary'!$Q$14</f>
        <v>220</v>
      </c>
      <c r="CA93" s="197">
        <f t="shared" si="234"/>
        <v>220</v>
      </c>
      <c r="CB93" s="197"/>
      <c r="CC93" s="897">
        <f>'Energy NPV'!$U18</f>
        <v>0</v>
      </c>
      <c r="CD93" s="197"/>
      <c r="CE93" s="197">
        <f t="shared" si="235"/>
        <v>0</v>
      </c>
      <c r="CF93" s="197">
        <f t="shared" si="209"/>
        <v>0</v>
      </c>
      <c r="CG93" s="197">
        <f t="shared" si="210"/>
        <v>220</v>
      </c>
      <c r="CH93" s="1008">
        <f t="shared" si="236"/>
        <v>0</v>
      </c>
      <c r="CI93" s="1011">
        <f t="shared" si="260"/>
        <v>149.72830334742565</v>
      </c>
      <c r="CJ93" s="1011">
        <f t="shared" si="237"/>
        <v>0</v>
      </c>
      <c r="CK93" s="1011">
        <f t="shared" si="238"/>
        <v>0</v>
      </c>
      <c r="CL93" s="1013">
        <f t="shared" si="239"/>
        <v>149.72830334742565</v>
      </c>
      <c r="CM93" s="196">
        <f t="shared" si="261"/>
        <v>1309.8231976832799</v>
      </c>
      <c r="CN93" s="197">
        <f t="shared" si="240"/>
        <v>1098.3962081571788</v>
      </c>
      <c r="CO93" s="197">
        <f t="shared" si="240"/>
        <v>2362.8672326373012</v>
      </c>
      <c r="CP93" s="197">
        <f t="shared" si="240"/>
        <v>-1053.0440349540213</v>
      </c>
      <c r="CQ93" s="199">
        <f t="shared" si="240"/>
        <v>45.352173203157548</v>
      </c>
      <c r="CR93" s="197"/>
      <c r="CT93" s="204">
        <f t="shared" si="262"/>
        <v>6</v>
      </c>
      <c r="CU93" s="746">
        <f>'Energy NPV'!$D18</f>
        <v>0</v>
      </c>
      <c r="CV93" s="197">
        <f>'Energy margins'!$E$12</f>
        <v>55</v>
      </c>
      <c r="CW93" s="197">
        <f t="shared" si="263"/>
        <v>0</v>
      </c>
      <c r="CX93" s="197">
        <f>'Margins summary'!$Q$14</f>
        <v>220</v>
      </c>
      <c r="CY93" s="197">
        <f t="shared" si="241"/>
        <v>220</v>
      </c>
      <c r="CZ93" s="197"/>
      <c r="DA93" s="897">
        <f>'Energy NPV'!$U18</f>
        <v>0</v>
      </c>
      <c r="DB93" s="197"/>
      <c r="DC93" s="197">
        <f t="shared" si="242"/>
        <v>0</v>
      </c>
      <c r="DD93" s="197">
        <f t="shared" si="211"/>
        <v>0</v>
      </c>
      <c r="DE93" s="197">
        <f t="shared" si="212"/>
        <v>220</v>
      </c>
      <c r="DF93" s="1008">
        <f t="shared" si="243"/>
        <v>0</v>
      </c>
      <c r="DG93" s="1011">
        <f t="shared" si="244"/>
        <v>220</v>
      </c>
      <c r="DH93" s="1011">
        <f t="shared" si="245"/>
        <v>0</v>
      </c>
      <c r="DI93" s="1011">
        <f t="shared" si="246"/>
        <v>0</v>
      </c>
      <c r="DJ93" s="1013">
        <f t="shared" si="247"/>
        <v>220</v>
      </c>
      <c r="DK93" s="196">
        <f t="shared" si="264"/>
        <v>1650</v>
      </c>
      <c r="DL93" s="197">
        <f t="shared" si="248"/>
        <v>1320</v>
      </c>
      <c r="DM93" s="197">
        <f t="shared" si="248"/>
        <v>2515.41</v>
      </c>
      <c r="DN93" s="197">
        <f t="shared" si="248"/>
        <v>-865.40999999999963</v>
      </c>
      <c r="DO93" s="199">
        <f t="shared" si="248"/>
        <v>454.59000000000037</v>
      </c>
    </row>
    <row r="94" spans="2:119" x14ac:dyDescent="0.3">
      <c r="B94" s="204">
        <f t="shared" si="249"/>
        <v>7</v>
      </c>
      <c r="C94" s="746">
        <f>'Energy NPV'!$D19</f>
        <v>30</v>
      </c>
      <c r="D94" s="197">
        <f>'Energy margins'!$E$12</f>
        <v>55</v>
      </c>
      <c r="E94" s="197">
        <f t="shared" si="250"/>
        <v>1650</v>
      </c>
      <c r="F94" s="197">
        <f>'Margins summary'!$Q$14</f>
        <v>220</v>
      </c>
      <c r="G94" s="197">
        <f t="shared" si="213"/>
        <v>1870</v>
      </c>
      <c r="H94" s="197"/>
      <c r="I94" s="901">
        <f>'Energy NPV'!$U19</f>
        <v>592.40499999999997</v>
      </c>
      <c r="J94" s="197"/>
      <c r="K94" s="197">
        <f t="shared" si="214"/>
        <v>592.40499999999997</v>
      </c>
      <c r="L94" s="197">
        <f t="shared" si="203"/>
        <v>1057.595</v>
      </c>
      <c r="M94" s="197">
        <f t="shared" si="204"/>
        <v>1277.595</v>
      </c>
      <c r="N94" s="1008">
        <f t="shared" si="215"/>
        <v>1304.0189674547405</v>
      </c>
      <c r="O94" s="1011">
        <f t="shared" si="215"/>
        <v>173.86919566063204</v>
      </c>
      <c r="P94" s="1011">
        <f t="shared" si="216"/>
        <v>468.18627661516695</v>
      </c>
      <c r="Q94" s="1011">
        <f t="shared" si="216"/>
        <v>835.8326908395735</v>
      </c>
      <c r="R94" s="1013">
        <f t="shared" si="216"/>
        <v>1009.7018865002055</v>
      </c>
      <c r="S94" s="196">
        <f t="shared" si="251"/>
        <v>2770.8629592617499</v>
      </c>
      <c r="T94" s="197">
        <f t="shared" si="217"/>
        <v>1373.2701084841974</v>
      </c>
      <c r="U94" s="197">
        <f t="shared" si="217"/>
        <v>2901.8562473138472</v>
      </c>
      <c r="V94" s="197">
        <f t="shared" si="217"/>
        <v>-130.99328805209689</v>
      </c>
      <c r="W94" s="199">
        <f t="shared" si="217"/>
        <v>1242.2768204321003</v>
      </c>
      <c r="X94" s="197"/>
      <c r="Z94" s="204">
        <f t="shared" si="252"/>
        <v>7</v>
      </c>
      <c r="AA94" s="746">
        <f>'Energy NPV'!$D19</f>
        <v>30</v>
      </c>
      <c r="AB94" s="197">
        <f>'Energy margins'!$E$12</f>
        <v>55</v>
      </c>
      <c r="AC94" s="197">
        <f t="shared" si="253"/>
        <v>1650</v>
      </c>
      <c r="AD94" s="197">
        <f>'Margins summary'!$Q$14</f>
        <v>220</v>
      </c>
      <c r="AE94" s="197">
        <f t="shared" si="218"/>
        <v>1870</v>
      </c>
      <c r="AF94" s="197"/>
      <c r="AG94" s="897">
        <f>'Energy NPV'!$U19</f>
        <v>592.40499999999997</v>
      </c>
      <c r="AH94" s="197"/>
      <c r="AI94" s="197">
        <f t="shared" si="219"/>
        <v>592.40499999999997</v>
      </c>
      <c r="AJ94" s="197">
        <f t="shared" si="205"/>
        <v>1057.595</v>
      </c>
      <c r="AK94" s="197">
        <f t="shared" si="206"/>
        <v>1277.595</v>
      </c>
      <c r="AL94" s="1008">
        <f t="shared" si="220"/>
        <v>1163.1848917254658</v>
      </c>
      <c r="AM94" s="1011">
        <f t="shared" si="221"/>
        <v>155.09131889672878</v>
      </c>
      <c r="AN94" s="1011">
        <f t="shared" si="222"/>
        <v>417.6221489591664</v>
      </c>
      <c r="AO94" s="1011">
        <f t="shared" si="223"/>
        <v>745.56274276629949</v>
      </c>
      <c r="AP94" s="1013">
        <f t="shared" si="224"/>
        <v>900.65406166302819</v>
      </c>
      <c r="AQ94" s="196">
        <f t="shared" si="254"/>
        <v>2548.5567087287636</v>
      </c>
      <c r="AR94" s="197">
        <f t="shared" si="225"/>
        <v>1301.8113517211855</v>
      </c>
      <c r="AS94" s="197">
        <f t="shared" si="225"/>
        <v>2814.6468014239522</v>
      </c>
      <c r="AT94" s="197">
        <f t="shared" si="225"/>
        <v>-266.09009269518879</v>
      </c>
      <c r="AU94" s="199">
        <f t="shared" si="225"/>
        <v>1035.7212590259969</v>
      </c>
      <c r="AV94" s="197"/>
      <c r="AX94" s="204">
        <f t="shared" si="255"/>
        <v>7</v>
      </c>
      <c r="AY94" s="746">
        <f>'Energy NPV'!$D19</f>
        <v>30</v>
      </c>
      <c r="AZ94" s="197">
        <f>'Energy margins'!$E$12</f>
        <v>55</v>
      </c>
      <c r="BA94" s="197">
        <f t="shared" si="256"/>
        <v>1650</v>
      </c>
      <c r="BB94" s="197">
        <f>'Margins summary'!$Q$14</f>
        <v>220</v>
      </c>
      <c r="BC94" s="197">
        <f t="shared" si="226"/>
        <v>1870</v>
      </c>
      <c r="BD94" s="197"/>
      <c r="BE94" s="897">
        <f>'Energy NPV'!$U19</f>
        <v>592.40499999999997</v>
      </c>
      <c r="BF94" s="197"/>
      <c r="BG94" s="197">
        <f t="shared" si="227"/>
        <v>592.40499999999997</v>
      </c>
      <c r="BH94" s="197">
        <f t="shared" si="207"/>
        <v>1057.595</v>
      </c>
      <c r="BI94" s="197">
        <f t="shared" si="208"/>
        <v>1277.595</v>
      </c>
      <c r="BJ94" s="1008">
        <f t="shared" si="228"/>
        <v>1465.1527806072168</v>
      </c>
      <c r="BK94" s="1011">
        <f t="shared" si="229"/>
        <v>195.35370408096225</v>
      </c>
      <c r="BL94" s="1011">
        <f t="shared" si="230"/>
        <v>526.03868666401104</v>
      </c>
      <c r="BM94" s="1011">
        <f t="shared" si="231"/>
        <v>939.11409394320572</v>
      </c>
      <c r="BN94" s="1013">
        <f t="shared" si="232"/>
        <v>1134.4677980241679</v>
      </c>
      <c r="BO94" s="196">
        <f t="shared" si="257"/>
        <v>3019.9846326098404</v>
      </c>
      <c r="BP94" s="197">
        <f t="shared" si="233"/>
        <v>1452.3147959518874</v>
      </c>
      <c r="BQ94" s="197">
        <f t="shared" si="233"/>
        <v>2999.081148876885</v>
      </c>
      <c r="BR94" s="197">
        <f t="shared" si="233"/>
        <v>20.903483732955237</v>
      </c>
      <c r="BS94" s="199">
        <f t="shared" si="233"/>
        <v>1473.2182796848424</v>
      </c>
      <c r="BT94" s="197"/>
      <c r="BV94" s="204">
        <f t="shared" si="258"/>
        <v>7</v>
      </c>
      <c r="BW94" s="746">
        <f>'Energy NPV'!$D19</f>
        <v>30</v>
      </c>
      <c r="BX94" s="197">
        <f>'Energy margins'!$E$12</f>
        <v>55</v>
      </c>
      <c r="BY94" s="197">
        <f t="shared" si="259"/>
        <v>1650</v>
      </c>
      <c r="BZ94" s="197">
        <f>'Margins summary'!$Q$14</f>
        <v>220</v>
      </c>
      <c r="CA94" s="197">
        <f t="shared" si="234"/>
        <v>1870</v>
      </c>
      <c r="CB94" s="197"/>
      <c r="CC94" s="897">
        <f>'Energy NPV'!$U19</f>
        <v>592.40499999999997</v>
      </c>
      <c r="CD94" s="197"/>
      <c r="CE94" s="197">
        <f t="shared" si="235"/>
        <v>592.40499999999997</v>
      </c>
      <c r="CF94" s="197">
        <f t="shared" si="209"/>
        <v>1057.595</v>
      </c>
      <c r="CG94" s="197">
        <f t="shared" si="210"/>
        <v>1277.595</v>
      </c>
      <c r="CH94" s="1008">
        <f t="shared" si="236"/>
        <v>1039.7798843571225</v>
      </c>
      <c r="CI94" s="1011">
        <f t="shared" si="260"/>
        <v>138.63731791428302</v>
      </c>
      <c r="CJ94" s="1011">
        <f t="shared" si="237"/>
        <v>373.31563781368556</v>
      </c>
      <c r="CK94" s="1011">
        <f t="shared" si="238"/>
        <v>666.46424654343696</v>
      </c>
      <c r="CL94" s="1013">
        <f t="shared" si="239"/>
        <v>805.10156445771997</v>
      </c>
      <c r="CM94" s="196">
        <f t="shared" si="261"/>
        <v>2349.6030820404021</v>
      </c>
      <c r="CN94" s="197">
        <f t="shared" si="240"/>
        <v>1237.0335260714619</v>
      </c>
      <c r="CO94" s="197">
        <f t="shared" si="240"/>
        <v>2736.1828704509867</v>
      </c>
      <c r="CP94" s="197">
        <f t="shared" si="240"/>
        <v>-386.57978841058434</v>
      </c>
      <c r="CQ94" s="199">
        <f t="shared" si="240"/>
        <v>850.45373766087755</v>
      </c>
      <c r="CR94" s="197"/>
      <c r="CT94" s="204">
        <f t="shared" si="262"/>
        <v>7</v>
      </c>
      <c r="CU94" s="746">
        <f>'Energy NPV'!$D19</f>
        <v>30</v>
      </c>
      <c r="CV94" s="197">
        <f>'Energy margins'!$E$12</f>
        <v>55</v>
      </c>
      <c r="CW94" s="197">
        <f t="shared" si="263"/>
        <v>1650</v>
      </c>
      <c r="CX94" s="197">
        <f>'Margins summary'!$Q$14</f>
        <v>220</v>
      </c>
      <c r="CY94" s="197">
        <f t="shared" si="241"/>
        <v>1870</v>
      </c>
      <c r="CZ94" s="197"/>
      <c r="DA94" s="897">
        <f>'Energy NPV'!$U19</f>
        <v>592.40499999999997</v>
      </c>
      <c r="DB94" s="197"/>
      <c r="DC94" s="197">
        <f t="shared" si="242"/>
        <v>592.40499999999997</v>
      </c>
      <c r="DD94" s="197">
        <f t="shared" si="211"/>
        <v>1057.595</v>
      </c>
      <c r="DE94" s="197">
        <f t="shared" si="212"/>
        <v>1277.595</v>
      </c>
      <c r="DF94" s="1008">
        <f t="shared" si="243"/>
        <v>1650</v>
      </c>
      <c r="DG94" s="1011">
        <f t="shared" si="244"/>
        <v>220</v>
      </c>
      <c r="DH94" s="1011">
        <f t="shared" si="245"/>
        <v>592.40499999999997</v>
      </c>
      <c r="DI94" s="1011">
        <f t="shared" si="246"/>
        <v>1057.595</v>
      </c>
      <c r="DJ94" s="1013">
        <f t="shared" si="247"/>
        <v>1277.595</v>
      </c>
      <c r="DK94" s="196">
        <f t="shared" si="264"/>
        <v>3300</v>
      </c>
      <c r="DL94" s="197">
        <f t="shared" si="248"/>
        <v>1540</v>
      </c>
      <c r="DM94" s="197">
        <f t="shared" si="248"/>
        <v>3107.8149999999996</v>
      </c>
      <c r="DN94" s="197">
        <f t="shared" si="248"/>
        <v>192.1850000000004</v>
      </c>
      <c r="DO94" s="199">
        <f t="shared" si="248"/>
        <v>1732.1850000000004</v>
      </c>
    </row>
    <row r="95" spans="2:119" x14ac:dyDescent="0.3">
      <c r="B95" s="204">
        <f t="shared" si="249"/>
        <v>8</v>
      </c>
      <c r="C95" s="746">
        <f>'Energy NPV'!$D20</f>
        <v>0</v>
      </c>
      <c r="D95" s="197">
        <f>'Energy margins'!$E$12</f>
        <v>55</v>
      </c>
      <c r="E95" s="197">
        <f t="shared" si="250"/>
        <v>0</v>
      </c>
      <c r="F95" s="197">
        <f>'Margins summary'!$Q$14</f>
        <v>220</v>
      </c>
      <c r="G95" s="197">
        <f t="shared" si="213"/>
        <v>220</v>
      </c>
      <c r="H95" s="197"/>
      <c r="I95" s="901">
        <f>'Energy NPV'!$U20</f>
        <v>0</v>
      </c>
      <c r="J95" s="197"/>
      <c r="K95" s="197">
        <f t="shared" si="214"/>
        <v>0</v>
      </c>
      <c r="L95" s="197">
        <f t="shared" si="203"/>
        <v>0</v>
      </c>
      <c r="M95" s="197">
        <f t="shared" si="204"/>
        <v>220</v>
      </c>
      <c r="N95" s="1008">
        <f t="shared" si="215"/>
        <v>0</v>
      </c>
      <c r="O95" s="1011">
        <f t="shared" si="215"/>
        <v>167.18191890445391</v>
      </c>
      <c r="P95" s="1011">
        <f t="shared" si="216"/>
        <v>0</v>
      </c>
      <c r="Q95" s="1011">
        <f t="shared" si="216"/>
        <v>0</v>
      </c>
      <c r="R95" s="1013">
        <f t="shared" si="216"/>
        <v>167.18191890445391</v>
      </c>
      <c r="S95" s="196">
        <f t="shared" si="251"/>
        <v>2770.8629592617499</v>
      </c>
      <c r="T95" s="197">
        <f t="shared" si="217"/>
        <v>1540.4520273886512</v>
      </c>
      <c r="U95" s="197">
        <f t="shared" si="217"/>
        <v>2901.8562473138472</v>
      </c>
      <c r="V95" s="197">
        <f t="shared" si="217"/>
        <v>-130.99328805209689</v>
      </c>
      <c r="W95" s="199">
        <f t="shared" si="217"/>
        <v>1409.4587393365541</v>
      </c>
      <c r="X95" s="197"/>
      <c r="Z95" s="204">
        <f t="shared" si="252"/>
        <v>8</v>
      </c>
      <c r="AA95" s="746">
        <f>'Energy NPV'!$D20</f>
        <v>0</v>
      </c>
      <c r="AB95" s="197">
        <f>'Energy margins'!$E$12</f>
        <v>55</v>
      </c>
      <c r="AC95" s="197">
        <f t="shared" si="253"/>
        <v>0</v>
      </c>
      <c r="AD95" s="197">
        <f>'Margins summary'!$Q$14</f>
        <v>220</v>
      </c>
      <c r="AE95" s="197">
        <f t="shared" si="218"/>
        <v>220</v>
      </c>
      <c r="AF95" s="197"/>
      <c r="AG95" s="897">
        <f>'Energy NPV'!$U20</f>
        <v>0</v>
      </c>
      <c r="AH95" s="197"/>
      <c r="AI95" s="197">
        <f t="shared" si="219"/>
        <v>0</v>
      </c>
      <c r="AJ95" s="197">
        <f t="shared" si="205"/>
        <v>0</v>
      </c>
      <c r="AK95" s="197">
        <f t="shared" si="206"/>
        <v>220</v>
      </c>
      <c r="AL95" s="1008">
        <f t="shared" si="220"/>
        <v>0</v>
      </c>
      <c r="AM95" s="1011">
        <f t="shared" si="221"/>
        <v>146.31256499691392</v>
      </c>
      <c r="AN95" s="1011">
        <f t="shared" si="222"/>
        <v>0</v>
      </c>
      <c r="AO95" s="1011">
        <f t="shared" si="223"/>
        <v>0</v>
      </c>
      <c r="AP95" s="1013">
        <f t="shared" si="224"/>
        <v>146.31256499691392</v>
      </c>
      <c r="AQ95" s="196">
        <f t="shared" si="254"/>
        <v>2548.5567087287636</v>
      </c>
      <c r="AR95" s="197">
        <f t="shared" si="225"/>
        <v>1448.1239167180993</v>
      </c>
      <c r="AS95" s="197">
        <f t="shared" si="225"/>
        <v>2814.6468014239522</v>
      </c>
      <c r="AT95" s="197">
        <f t="shared" si="225"/>
        <v>-266.09009269518879</v>
      </c>
      <c r="AU95" s="199">
        <f t="shared" si="225"/>
        <v>1182.0338240229107</v>
      </c>
      <c r="AV95" s="197"/>
      <c r="AX95" s="204">
        <f t="shared" si="255"/>
        <v>8</v>
      </c>
      <c r="AY95" s="746">
        <f>'Energy NPV'!$D20</f>
        <v>0</v>
      </c>
      <c r="AZ95" s="197">
        <f>'Energy margins'!$E$12</f>
        <v>55</v>
      </c>
      <c r="BA95" s="197">
        <f t="shared" si="256"/>
        <v>0</v>
      </c>
      <c r="BB95" s="197">
        <f>'Margins summary'!$Q$14</f>
        <v>220</v>
      </c>
      <c r="BC95" s="197">
        <f t="shared" si="226"/>
        <v>220</v>
      </c>
      <c r="BD95" s="197"/>
      <c r="BE95" s="897">
        <f>'Energy NPV'!$U20</f>
        <v>0</v>
      </c>
      <c r="BF95" s="197"/>
      <c r="BG95" s="197">
        <f t="shared" si="227"/>
        <v>0</v>
      </c>
      <c r="BH95" s="197">
        <f t="shared" si="207"/>
        <v>0</v>
      </c>
      <c r="BI95" s="197">
        <f t="shared" si="208"/>
        <v>220</v>
      </c>
      <c r="BJ95" s="1008">
        <f t="shared" si="228"/>
        <v>0</v>
      </c>
      <c r="BK95" s="1011">
        <f t="shared" si="229"/>
        <v>191.52323929506107</v>
      </c>
      <c r="BL95" s="1011">
        <f t="shared" si="230"/>
        <v>0</v>
      </c>
      <c r="BM95" s="1011">
        <f t="shared" si="231"/>
        <v>0</v>
      </c>
      <c r="BN95" s="1013">
        <f t="shared" si="232"/>
        <v>191.52323929506107</v>
      </c>
      <c r="BO95" s="196">
        <f t="shared" si="257"/>
        <v>3019.9846326098404</v>
      </c>
      <c r="BP95" s="197">
        <f t="shared" si="233"/>
        <v>1643.8380352469485</v>
      </c>
      <c r="BQ95" s="197">
        <f t="shared" si="233"/>
        <v>2999.081148876885</v>
      </c>
      <c r="BR95" s="197">
        <f t="shared" si="233"/>
        <v>20.903483732955237</v>
      </c>
      <c r="BS95" s="199">
        <f t="shared" si="233"/>
        <v>1664.7415189799035</v>
      </c>
      <c r="BT95" s="197"/>
      <c r="BV95" s="204">
        <f t="shared" si="258"/>
        <v>8</v>
      </c>
      <c r="BW95" s="746">
        <f>'Energy NPV'!$D20</f>
        <v>0</v>
      </c>
      <c r="BX95" s="197">
        <f>'Energy margins'!$E$12</f>
        <v>55</v>
      </c>
      <c r="BY95" s="197">
        <f t="shared" si="259"/>
        <v>0</v>
      </c>
      <c r="BZ95" s="197">
        <f>'Margins summary'!$Q$14</f>
        <v>220</v>
      </c>
      <c r="CA95" s="197">
        <f t="shared" si="234"/>
        <v>220</v>
      </c>
      <c r="CB95" s="197"/>
      <c r="CC95" s="897">
        <f>'Energy NPV'!$U20</f>
        <v>0</v>
      </c>
      <c r="CD95" s="197"/>
      <c r="CE95" s="197">
        <f t="shared" si="235"/>
        <v>0</v>
      </c>
      <c r="CF95" s="197">
        <f t="shared" si="209"/>
        <v>0</v>
      </c>
      <c r="CG95" s="197">
        <f t="shared" si="210"/>
        <v>220</v>
      </c>
      <c r="CH95" s="1008">
        <f t="shared" si="236"/>
        <v>0</v>
      </c>
      <c r="CI95" s="1011">
        <f t="shared" si="260"/>
        <v>128.36788695766944</v>
      </c>
      <c r="CJ95" s="1011">
        <f t="shared" si="237"/>
        <v>0</v>
      </c>
      <c r="CK95" s="1011">
        <f t="shared" si="238"/>
        <v>0</v>
      </c>
      <c r="CL95" s="1013">
        <f t="shared" si="239"/>
        <v>128.36788695766944</v>
      </c>
      <c r="CM95" s="196">
        <f t="shared" si="261"/>
        <v>2349.6030820404021</v>
      </c>
      <c r="CN95" s="197">
        <f t="shared" si="240"/>
        <v>1365.4014130291314</v>
      </c>
      <c r="CO95" s="197">
        <f t="shared" si="240"/>
        <v>2736.1828704509867</v>
      </c>
      <c r="CP95" s="197">
        <f t="shared" si="240"/>
        <v>-386.57978841058434</v>
      </c>
      <c r="CQ95" s="199">
        <f t="shared" si="240"/>
        <v>978.82162461854705</v>
      </c>
      <c r="CR95" s="197"/>
      <c r="CT95" s="204">
        <f t="shared" si="262"/>
        <v>8</v>
      </c>
      <c r="CU95" s="746">
        <f>'Energy NPV'!$D20</f>
        <v>0</v>
      </c>
      <c r="CV95" s="197">
        <f>'Energy margins'!$E$12</f>
        <v>55</v>
      </c>
      <c r="CW95" s="197">
        <f t="shared" si="263"/>
        <v>0</v>
      </c>
      <c r="CX95" s="197">
        <f>'Margins summary'!$Q$14</f>
        <v>220</v>
      </c>
      <c r="CY95" s="197">
        <f t="shared" si="241"/>
        <v>220</v>
      </c>
      <c r="CZ95" s="197"/>
      <c r="DA95" s="897">
        <f>'Energy NPV'!$U20</f>
        <v>0</v>
      </c>
      <c r="DB95" s="197"/>
      <c r="DC95" s="197">
        <f t="shared" si="242"/>
        <v>0</v>
      </c>
      <c r="DD95" s="197">
        <f t="shared" si="211"/>
        <v>0</v>
      </c>
      <c r="DE95" s="197">
        <f t="shared" si="212"/>
        <v>220</v>
      </c>
      <c r="DF95" s="1008">
        <f t="shared" si="243"/>
        <v>0</v>
      </c>
      <c r="DG95" s="1011">
        <f t="shared" si="244"/>
        <v>220</v>
      </c>
      <c r="DH95" s="1011">
        <f t="shared" si="245"/>
        <v>0</v>
      </c>
      <c r="DI95" s="1011">
        <f t="shared" si="246"/>
        <v>0</v>
      </c>
      <c r="DJ95" s="1013">
        <f t="shared" si="247"/>
        <v>220</v>
      </c>
      <c r="DK95" s="196">
        <f t="shared" si="264"/>
        <v>3300</v>
      </c>
      <c r="DL95" s="197">
        <f t="shared" si="248"/>
        <v>1760</v>
      </c>
      <c r="DM95" s="197">
        <f t="shared" si="248"/>
        <v>3107.8149999999996</v>
      </c>
      <c r="DN95" s="197">
        <f t="shared" si="248"/>
        <v>192.1850000000004</v>
      </c>
      <c r="DO95" s="199">
        <f t="shared" si="248"/>
        <v>1952.1850000000004</v>
      </c>
    </row>
    <row r="96" spans="2:119" x14ac:dyDescent="0.3">
      <c r="B96" s="204">
        <f t="shared" si="249"/>
        <v>9</v>
      </c>
      <c r="C96" s="746">
        <f>'Energy NPV'!$D21</f>
        <v>0</v>
      </c>
      <c r="D96" s="197">
        <f>'Energy margins'!$E$12</f>
        <v>55</v>
      </c>
      <c r="E96" s="197">
        <f t="shared" si="250"/>
        <v>0</v>
      </c>
      <c r="F96" s="197">
        <f>'Margins summary'!$Q$14</f>
        <v>220</v>
      </c>
      <c r="G96" s="197">
        <f t="shared" si="213"/>
        <v>220</v>
      </c>
      <c r="H96" s="197"/>
      <c r="I96" s="901">
        <f>'Energy NPV'!$U21</f>
        <v>0</v>
      </c>
      <c r="J96" s="197"/>
      <c r="K96" s="197">
        <f t="shared" si="214"/>
        <v>0</v>
      </c>
      <c r="L96" s="197">
        <f t="shared" si="203"/>
        <v>0</v>
      </c>
      <c r="M96" s="197">
        <f t="shared" si="204"/>
        <v>220</v>
      </c>
      <c r="N96" s="1008">
        <f t="shared" si="215"/>
        <v>0</v>
      </c>
      <c r="O96" s="1011">
        <f t="shared" si="215"/>
        <v>160.75184510043644</v>
      </c>
      <c r="P96" s="1011">
        <f t="shared" si="216"/>
        <v>0</v>
      </c>
      <c r="Q96" s="1011">
        <f t="shared" si="216"/>
        <v>0</v>
      </c>
      <c r="R96" s="1013">
        <f t="shared" si="216"/>
        <v>160.75184510043644</v>
      </c>
      <c r="S96" s="196">
        <f t="shared" si="251"/>
        <v>2770.8629592617499</v>
      </c>
      <c r="T96" s="197">
        <f t="shared" si="217"/>
        <v>1701.2038724890876</v>
      </c>
      <c r="U96" s="197">
        <f t="shared" si="217"/>
        <v>2901.8562473138472</v>
      </c>
      <c r="V96" s="197">
        <f t="shared" si="217"/>
        <v>-130.99328805209689</v>
      </c>
      <c r="W96" s="199">
        <f t="shared" si="217"/>
        <v>1570.2105844369905</v>
      </c>
      <c r="X96" s="197"/>
      <c r="Z96" s="204">
        <f t="shared" si="252"/>
        <v>9</v>
      </c>
      <c r="AA96" s="746">
        <f>'Energy NPV'!$D21</f>
        <v>0</v>
      </c>
      <c r="AB96" s="197">
        <f>'Energy margins'!$E$12</f>
        <v>55</v>
      </c>
      <c r="AC96" s="197">
        <f t="shared" si="253"/>
        <v>0</v>
      </c>
      <c r="AD96" s="197">
        <f>'Margins summary'!$Q$14</f>
        <v>220</v>
      </c>
      <c r="AE96" s="197">
        <f t="shared" si="218"/>
        <v>220</v>
      </c>
      <c r="AF96" s="197"/>
      <c r="AG96" s="897">
        <f>'Energy NPV'!$U21</f>
        <v>0</v>
      </c>
      <c r="AH96" s="197"/>
      <c r="AI96" s="197">
        <f t="shared" si="219"/>
        <v>0</v>
      </c>
      <c r="AJ96" s="197">
        <f t="shared" si="205"/>
        <v>0</v>
      </c>
      <c r="AK96" s="197">
        <f t="shared" si="206"/>
        <v>220</v>
      </c>
      <c r="AL96" s="1008">
        <f t="shared" si="220"/>
        <v>0</v>
      </c>
      <c r="AM96" s="1011">
        <f t="shared" si="221"/>
        <v>138.03072169520183</v>
      </c>
      <c r="AN96" s="1011">
        <f t="shared" si="222"/>
        <v>0</v>
      </c>
      <c r="AO96" s="1011">
        <f t="shared" si="223"/>
        <v>0</v>
      </c>
      <c r="AP96" s="1013">
        <f t="shared" si="224"/>
        <v>138.03072169520183</v>
      </c>
      <c r="AQ96" s="196">
        <f t="shared" si="254"/>
        <v>2548.5567087287636</v>
      </c>
      <c r="AR96" s="197">
        <f t="shared" si="225"/>
        <v>1586.1546384133012</v>
      </c>
      <c r="AS96" s="197">
        <f t="shared" si="225"/>
        <v>2814.6468014239522</v>
      </c>
      <c r="AT96" s="197">
        <f t="shared" si="225"/>
        <v>-266.09009269518879</v>
      </c>
      <c r="AU96" s="199">
        <f t="shared" si="225"/>
        <v>1320.0645457181126</v>
      </c>
      <c r="AV96" s="197"/>
      <c r="AX96" s="204">
        <f t="shared" si="255"/>
        <v>9</v>
      </c>
      <c r="AY96" s="746">
        <f>'Energy NPV'!$D21</f>
        <v>0</v>
      </c>
      <c r="AZ96" s="197">
        <f>'Energy margins'!$E$12</f>
        <v>55</v>
      </c>
      <c r="BA96" s="197">
        <f t="shared" si="256"/>
        <v>0</v>
      </c>
      <c r="BB96" s="197">
        <f>'Margins summary'!$Q$14</f>
        <v>220</v>
      </c>
      <c r="BC96" s="197">
        <f t="shared" si="226"/>
        <v>220</v>
      </c>
      <c r="BD96" s="197"/>
      <c r="BE96" s="897">
        <f>'Energy NPV'!$U21</f>
        <v>0</v>
      </c>
      <c r="BF96" s="197"/>
      <c r="BG96" s="197">
        <f t="shared" si="227"/>
        <v>0</v>
      </c>
      <c r="BH96" s="197">
        <f t="shared" si="207"/>
        <v>0</v>
      </c>
      <c r="BI96" s="197">
        <f t="shared" si="208"/>
        <v>220</v>
      </c>
      <c r="BJ96" s="1008">
        <f t="shared" si="228"/>
        <v>0</v>
      </c>
      <c r="BK96" s="1011">
        <f t="shared" si="229"/>
        <v>187.76788166182456</v>
      </c>
      <c r="BL96" s="1011">
        <f t="shared" si="230"/>
        <v>0</v>
      </c>
      <c r="BM96" s="1011">
        <f t="shared" si="231"/>
        <v>0</v>
      </c>
      <c r="BN96" s="1013">
        <f t="shared" si="232"/>
        <v>187.76788166182456</v>
      </c>
      <c r="BO96" s="196">
        <f t="shared" si="257"/>
        <v>3019.9846326098404</v>
      </c>
      <c r="BP96" s="197">
        <f t="shared" si="233"/>
        <v>1831.605916908773</v>
      </c>
      <c r="BQ96" s="197">
        <f t="shared" si="233"/>
        <v>2999.081148876885</v>
      </c>
      <c r="BR96" s="197">
        <f t="shared" si="233"/>
        <v>20.903483732955237</v>
      </c>
      <c r="BS96" s="199">
        <f t="shared" si="233"/>
        <v>1852.509400641728</v>
      </c>
      <c r="BT96" s="197"/>
      <c r="BV96" s="204">
        <f t="shared" si="258"/>
        <v>9</v>
      </c>
      <c r="BW96" s="746">
        <f>'Energy NPV'!$D21</f>
        <v>0</v>
      </c>
      <c r="BX96" s="197">
        <f>'Energy margins'!$E$12</f>
        <v>55</v>
      </c>
      <c r="BY96" s="197">
        <f t="shared" si="259"/>
        <v>0</v>
      </c>
      <c r="BZ96" s="197">
        <f>'Margins summary'!$Q$14</f>
        <v>220</v>
      </c>
      <c r="CA96" s="197">
        <f t="shared" si="234"/>
        <v>220</v>
      </c>
      <c r="CB96" s="197"/>
      <c r="CC96" s="897">
        <f>'Energy NPV'!$U21</f>
        <v>0</v>
      </c>
      <c r="CD96" s="197"/>
      <c r="CE96" s="197">
        <f t="shared" si="235"/>
        <v>0</v>
      </c>
      <c r="CF96" s="197">
        <f t="shared" si="209"/>
        <v>0</v>
      </c>
      <c r="CG96" s="197">
        <f t="shared" si="210"/>
        <v>220</v>
      </c>
      <c r="CH96" s="1008">
        <f t="shared" si="236"/>
        <v>0</v>
      </c>
      <c r="CI96" s="1011">
        <f t="shared" si="260"/>
        <v>118.85915459043467</v>
      </c>
      <c r="CJ96" s="1011">
        <f t="shared" si="237"/>
        <v>0</v>
      </c>
      <c r="CK96" s="1011">
        <f t="shared" si="238"/>
        <v>0</v>
      </c>
      <c r="CL96" s="1013">
        <f t="shared" si="239"/>
        <v>118.85915459043467</v>
      </c>
      <c r="CM96" s="196">
        <f t="shared" si="261"/>
        <v>2349.6030820404021</v>
      </c>
      <c r="CN96" s="197">
        <f t="shared" si="240"/>
        <v>1484.260567619566</v>
      </c>
      <c r="CO96" s="197">
        <f t="shared" si="240"/>
        <v>2736.1828704509867</v>
      </c>
      <c r="CP96" s="197">
        <f t="shared" si="240"/>
        <v>-386.57978841058434</v>
      </c>
      <c r="CQ96" s="199">
        <f t="shared" si="240"/>
        <v>1097.6807792089817</v>
      </c>
      <c r="CR96" s="197"/>
      <c r="CT96" s="204">
        <f t="shared" si="262"/>
        <v>9</v>
      </c>
      <c r="CU96" s="746">
        <f>'Energy NPV'!$D21</f>
        <v>0</v>
      </c>
      <c r="CV96" s="197">
        <f>'Energy margins'!$E$12</f>
        <v>55</v>
      </c>
      <c r="CW96" s="197">
        <f t="shared" si="263"/>
        <v>0</v>
      </c>
      <c r="CX96" s="197">
        <f>'Margins summary'!$Q$14</f>
        <v>220</v>
      </c>
      <c r="CY96" s="197">
        <f t="shared" si="241"/>
        <v>220</v>
      </c>
      <c r="CZ96" s="197"/>
      <c r="DA96" s="897">
        <f>'Energy NPV'!$U21</f>
        <v>0</v>
      </c>
      <c r="DB96" s="197"/>
      <c r="DC96" s="197">
        <f t="shared" si="242"/>
        <v>0</v>
      </c>
      <c r="DD96" s="197">
        <f t="shared" si="211"/>
        <v>0</v>
      </c>
      <c r="DE96" s="197">
        <f t="shared" si="212"/>
        <v>220</v>
      </c>
      <c r="DF96" s="1008">
        <f t="shared" si="243"/>
        <v>0</v>
      </c>
      <c r="DG96" s="1011">
        <f t="shared" si="244"/>
        <v>220</v>
      </c>
      <c r="DH96" s="1011">
        <f t="shared" si="245"/>
        <v>0</v>
      </c>
      <c r="DI96" s="1011">
        <f t="shared" si="246"/>
        <v>0</v>
      </c>
      <c r="DJ96" s="1013">
        <f t="shared" si="247"/>
        <v>220</v>
      </c>
      <c r="DK96" s="196">
        <f t="shared" si="264"/>
        <v>3300</v>
      </c>
      <c r="DL96" s="197">
        <f t="shared" si="248"/>
        <v>1980</v>
      </c>
      <c r="DM96" s="197">
        <f t="shared" si="248"/>
        <v>3107.8149999999996</v>
      </c>
      <c r="DN96" s="197">
        <f t="shared" si="248"/>
        <v>192.1850000000004</v>
      </c>
      <c r="DO96" s="199">
        <f t="shared" si="248"/>
        <v>2172.1850000000004</v>
      </c>
    </row>
    <row r="97" spans="2:119" x14ac:dyDescent="0.3">
      <c r="B97" s="204">
        <f t="shared" si="249"/>
        <v>10</v>
      </c>
      <c r="C97" s="746">
        <f>'Energy NPV'!$D22</f>
        <v>30</v>
      </c>
      <c r="D97" s="197">
        <f>'Energy margins'!$E$12</f>
        <v>55</v>
      </c>
      <c r="E97" s="197">
        <f t="shared" si="250"/>
        <v>1650</v>
      </c>
      <c r="F97" s="197">
        <f>'Margins summary'!$Q$14</f>
        <v>220</v>
      </c>
      <c r="G97" s="197">
        <f t="shared" si="213"/>
        <v>1870</v>
      </c>
      <c r="H97" s="197"/>
      <c r="I97" s="901">
        <f>'Energy NPV'!$U22</f>
        <v>592.40499999999997</v>
      </c>
      <c r="J97" s="197"/>
      <c r="K97" s="197">
        <f t="shared" si="214"/>
        <v>592.40499999999997</v>
      </c>
      <c r="L97" s="197">
        <f t="shared" si="203"/>
        <v>1057.595</v>
      </c>
      <c r="M97" s="197">
        <f t="shared" si="204"/>
        <v>1277.595</v>
      </c>
      <c r="N97" s="1008">
        <f t="shared" si="215"/>
        <v>1159.2681137050704</v>
      </c>
      <c r="O97" s="1011">
        <f t="shared" si="215"/>
        <v>154.5690818273427</v>
      </c>
      <c r="P97" s="1011">
        <f t="shared" si="216"/>
        <v>416.21589509057708</v>
      </c>
      <c r="Q97" s="1011">
        <f t="shared" si="216"/>
        <v>743.0522186144932</v>
      </c>
      <c r="R97" s="1013">
        <f t="shared" si="216"/>
        <v>897.62130044183596</v>
      </c>
      <c r="S97" s="196">
        <f t="shared" si="251"/>
        <v>3930.1310729668203</v>
      </c>
      <c r="T97" s="197">
        <f t="shared" si="217"/>
        <v>1855.7729543164303</v>
      </c>
      <c r="U97" s="197">
        <f t="shared" si="217"/>
        <v>3318.0721424044241</v>
      </c>
      <c r="V97" s="197">
        <f t="shared" si="217"/>
        <v>612.05893056239631</v>
      </c>
      <c r="W97" s="199">
        <f t="shared" si="217"/>
        <v>2467.8318848788267</v>
      </c>
      <c r="X97" s="197"/>
      <c r="Z97" s="204">
        <f t="shared" si="252"/>
        <v>10</v>
      </c>
      <c r="AA97" s="746">
        <f>'Energy NPV'!$D22</f>
        <v>30</v>
      </c>
      <c r="AB97" s="197">
        <f>'Energy margins'!$E$12</f>
        <v>55</v>
      </c>
      <c r="AC97" s="197">
        <f t="shared" si="253"/>
        <v>1650</v>
      </c>
      <c r="AD97" s="197">
        <f>'Margins summary'!$Q$14</f>
        <v>220</v>
      </c>
      <c r="AE97" s="197">
        <f t="shared" si="218"/>
        <v>1870</v>
      </c>
      <c r="AF97" s="197"/>
      <c r="AG97" s="897">
        <f>'Energy NPV'!$U22</f>
        <v>592.40499999999997</v>
      </c>
      <c r="AH97" s="197"/>
      <c r="AI97" s="197">
        <f t="shared" si="219"/>
        <v>592.40499999999997</v>
      </c>
      <c r="AJ97" s="197">
        <f t="shared" si="205"/>
        <v>1057.595</v>
      </c>
      <c r="AK97" s="197">
        <f t="shared" si="206"/>
        <v>1277.595</v>
      </c>
      <c r="AL97" s="1008">
        <f t="shared" si="220"/>
        <v>976.63246482454122</v>
      </c>
      <c r="AM97" s="1011">
        <f t="shared" si="221"/>
        <v>130.21766197660551</v>
      </c>
      <c r="AN97" s="1011">
        <f t="shared" si="222"/>
        <v>350.64360928750443</v>
      </c>
      <c r="AO97" s="1011">
        <f t="shared" si="223"/>
        <v>625.98885553703678</v>
      </c>
      <c r="AP97" s="1013">
        <f t="shared" si="224"/>
        <v>756.20651751364232</v>
      </c>
      <c r="AQ97" s="196">
        <f t="shared" si="254"/>
        <v>3525.189173553305</v>
      </c>
      <c r="AR97" s="197">
        <f t="shared" si="225"/>
        <v>1716.3723003899067</v>
      </c>
      <c r="AS97" s="197">
        <f t="shared" si="225"/>
        <v>3165.2904107114564</v>
      </c>
      <c r="AT97" s="197">
        <f t="shared" si="225"/>
        <v>359.898762841848</v>
      </c>
      <c r="AU97" s="199">
        <f t="shared" si="225"/>
        <v>2076.2710632317549</v>
      </c>
      <c r="AV97" s="197"/>
      <c r="AX97" s="204">
        <f t="shared" si="255"/>
        <v>10</v>
      </c>
      <c r="AY97" s="746">
        <f>'Energy NPV'!$D22</f>
        <v>30</v>
      </c>
      <c r="AZ97" s="197">
        <f>'Energy margins'!$E$12</f>
        <v>55</v>
      </c>
      <c r="BA97" s="197">
        <f t="shared" si="256"/>
        <v>1650</v>
      </c>
      <c r="BB97" s="197">
        <f>'Margins summary'!$Q$14</f>
        <v>220</v>
      </c>
      <c r="BC97" s="197">
        <f t="shared" si="226"/>
        <v>1870</v>
      </c>
      <c r="BD97" s="197"/>
      <c r="BE97" s="897">
        <f>'Energy NPV'!$U22</f>
        <v>592.40499999999997</v>
      </c>
      <c r="BF97" s="197"/>
      <c r="BG97" s="197">
        <f t="shared" si="227"/>
        <v>592.40499999999997</v>
      </c>
      <c r="BH97" s="197">
        <f t="shared" si="207"/>
        <v>1057.595</v>
      </c>
      <c r="BI97" s="197">
        <f t="shared" si="208"/>
        <v>1277.595</v>
      </c>
      <c r="BJ97" s="1008">
        <f t="shared" si="228"/>
        <v>1380.6461886898865</v>
      </c>
      <c r="BK97" s="1011">
        <f t="shared" si="229"/>
        <v>184.08615849198486</v>
      </c>
      <c r="BL97" s="1011">
        <f t="shared" si="230"/>
        <v>495.69800327929221</v>
      </c>
      <c r="BM97" s="1011">
        <f t="shared" si="231"/>
        <v>884.94818541059419</v>
      </c>
      <c r="BN97" s="1013">
        <f t="shared" si="232"/>
        <v>1069.0343439025792</v>
      </c>
      <c r="BO97" s="196">
        <f t="shared" si="257"/>
        <v>4400.6308212997264</v>
      </c>
      <c r="BP97" s="197">
        <f t="shared" si="233"/>
        <v>2015.6920754007579</v>
      </c>
      <c r="BQ97" s="197">
        <f t="shared" si="233"/>
        <v>3494.7791521561771</v>
      </c>
      <c r="BR97" s="197">
        <f t="shared" si="233"/>
        <v>905.85166914354943</v>
      </c>
      <c r="BS97" s="199">
        <f t="shared" si="233"/>
        <v>2921.5437445443072</v>
      </c>
      <c r="BT97" s="197"/>
      <c r="BV97" s="204">
        <f t="shared" si="258"/>
        <v>10</v>
      </c>
      <c r="BW97" s="746">
        <f>'Energy NPV'!$D22</f>
        <v>30</v>
      </c>
      <c r="BX97" s="197">
        <f>'Energy margins'!$E$12</f>
        <v>55</v>
      </c>
      <c r="BY97" s="197">
        <f t="shared" si="259"/>
        <v>1650</v>
      </c>
      <c r="BZ97" s="197">
        <f>'Margins summary'!$Q$14</f>
        <v>220</v>
      </c>
      <c r="CA97" s="197">
        <f t="shared" si="234"/>
        <v>1870</v>
      </c>
      <c r="CB97" s="197"/>
      <c r="CC97" s="897">
        <f>'Energy NPV'!$U22</f>
        <v>592.40499999999997</v>
      </c>
      <c r="CD97" s="197"/>
      <c r="CE97" s="197">
        <f t="shared" si="235"/>
        <v>592.40499999999997</v>
      </c>
      <c r="CF97" s="197">
        <f t="shared" si="209"/>
        <v>1057.595</v>
      </c>
      <c r="CG97" s="197">
        <f t="shared" si="210"/>
        <v>1277.595</v>
      </c>
      <c r="CH97" s="1008">
        <f t="shared" si="236"/>
        <v>825.41079576690731</v>
      </c>
      <c r="CI97" s="1011">
        <f t="shared" si="260"/>
        <v>110.05477276892098</v>
      </c>
      <c r="CJ97" s="1011">
        <f t="shared" si="237"/>
        <v>296.34998937351196</v>
      </c>
      <c r="CK97" s="1011">
        <f t="shared" si="238"/>
        <v>529.06080639339541</v>
      </c>
      <c r="CL97" s="1013">
        <f t="shared" si="239"/>
        <v>639.11557916231641</v>
      </c>
      <c r="CM97" s="196">
        <f t="shared" si="261"/>
        <v>3175.0138778073097</v>
      </c>
      <c r="CN97" s="197">
        <f t="shared" si="240"/>
        <v>1594.3153403884869</v>
      </c>
      <c r="CO97" s="197">
        <f t="shared" si="240"/>
        <v>3032.5328598244987</v>
      </c>
      <c r="CP97" s="197">
        <f t="shared" si="240"/>
        <v>142.48101798281107</v>
      </c>
      <c r="CQ97" s="199">
        <f t="shared" si="240"/>
        <v>1736.7963583712981</v>
      </c>
      <c r="CR97" s="197"/>
      <c r="CT97" s="204">
        <f t="shared" si="262"/>
        <v>10</v>
      </c>
      <c r="CU97" s="746">
        <f>'Energy NPV'!$D22</f>
        <v>30</v>
      </c>
      <c r="CV97" s="197">
        <f>'Energy margins'!$E$12</f>
        <v>55</v>
      </c>
      <c r="CW97" s="197">
        <f t="shared" si="263"/>
        <v>1650</v>
      </c>
      <c r="CX97" s="197">
        <f>'Margins summary'!$Q$14</f>
        <v>220</v>
      </c>
      <c r="CY97" s="197">
        <f t="shared" si="241"/>
        <v>1870</v>
      </c>
      <c r="CZ97" s="197"/>
      <c r="DA97" s="897">
        <f>'Energy NPV'!$U22</f>
        <v>592.40499999999997</v>
      </c>
      <c r="DB97" s="197"/>
      <c r="DC97" s="197">
        <f t="shared" si="242"/>
        <v>592.40499999999997</v>
      </c>
      <c r="DD97" s="197">
        <f t="shared" si="211"/>
        <v>1057.595</v>
      </c>
      <c r="DE97" s="197">
        <f t="shared" si="212"/>
        <v>1277.595</v>
      </c>
      <c r="DF97" s="1008">
        <f t="shared" si="243"/>
        <v>1650</v>
      </c>
      <c r="DG97" s="1011">
        <f t="shared" si="244"/>
        <v>220</v>
      </c>
      <c r="DH97" s="1011">
        <f t="shared" si="245"/>
        <v>592.40499999999997</v>
      </c>
      <c r="DI97" s="1011">
        <f t="shared" si="246"/>
        <v>1057.595</v>
      </c>
      <c r="DJ97" s="1013">
        <f t="shared" si="247"/>
        <v>1277.595</v>
      </c>
      <c r="DK97" s="196">
        <f t="shared" si="264"/>
        <v>4950</v>
      </c>
      <c r="DL97" s="197">
        <f t="shared" si="248"/>
        <v>2200</v>
      </c>
      <c r="DM97" s="197">
        <f t="shared" si="248"/>
        <v>3700.2199999999993</v>
      </c>
      <c r="DN97" s="197">
        <f t="shared" si="248"/>
        <v>1249.7800000000004</v>
      </c>
      <c r="DO97" s="199">
        <f t="shared" si="248"/>
        <v>3449.7800000000007</v>
      </c>
    </row>
    <row r="98" spans="2:119" x14ac:dyDescent="0.3">
      <c r="B98" s="204">
        <f t="shared" si="249"/>
        <v>11</v>
      </c>
      <c r="C98" s="746">
        <f>'Energy NPV'!$D23</f>
        <v>0</v>
      </c>
      <c r="D98" s="197">
        <f>'Energy margins'!$E$12</f>
        <v>55</v>
      </c>
      <c r="E98" s="197">
        <f t="shared" si="250"/>
        <v>0</v>
      </c>
      <c r="F98" s="197">
        <f>'Margins summary'!$Q$14</f>
        <v>220</v>
      </c>
      <c r="G98" s="197">
        <f t="shared" si="213"/>
        <v>220</v>
      </c>
      <c r="H98" s="197"/>
      <c r="I98" s="901">
        <f>'Energy NPV'!$U23</f>
        <v>0</v>
      </c>
      <c r="J98" s="197"/>
      <c r="K98" s="197">
        <f t="shared" si="214"/>
        <v>0</v>
      </c>
      <c r="L98" s="197">
        <f t="shared" si="203"/>
        <v>0</v>
      </c>
      <c r="M98" s="197">
        <f t="shared" si="204"/>
        <v>220</v>
      </c>
      <c r="N98" s="1008">
        <f t="shared" si="215"/>
        <v>0</v>
      </c>
      <c r="O98" s="1011">
        <f t="shared" si="215"/>
        <v>148.62411714167567</v>
      </c>
      <c r="P98" s="1011">
        <f t="shared" si="216"/>
        <v>0</v>
      </c>
      <c r="Q98" s="1011">
        <f t="shared" si="216"/>
        <v>0</v>
      </c>
      <c r="R98" s="1013">
        <f t="shared" si="216"/>
        <v>148.62411714167567</v>
      </c>
      <c r="S98" s="196">
        <f t="shared" si="251"/>
        <v>3930.1310729668203</v>
      </c>
      <c r="T98" s="197">
        <f t="shared" si="217"/>
        <v>2004.397071458106</v>
      </c>
      <c r="U98" s="197">
        <f t="shared" si="217"/>
        <v>3318.0721424044241</v>
      </c>
      <c r="V98" s="197">
        <f t="shared" si="217"/>
        <v>612.05893056239631</v>
      </c>
      <c r="W98" s="199">
        <f t="shared" si="217"/>
        <v>2616.4560020205022</v>
      </c>
      <c r="X98" s="197"/>
      <c r="Z98" s="204">
        <f t="shared" si="252"/>
        <v>11</v>
      </c>
      <c r="AA98" s="746">
        <f>'Energy NPV'!$D23</f>
        <v>0</v>
      </c>
      <c r="AB98" s="197">
        <f>'Energy margins'!$E$12</f>
        <v>55</v>
      </c>
      <c r="AC98" s="197">
        <f t="shared" si="253"/>
        <v>0</v>
      </c>
      <c r="AD98" s="197">
        <f>'Margins summary'!$Q$14</f>
        <v>220</v>
      </c>
      <c r="AE98" s="197">
        <f t="shared" si="218"/>
        <v>220</v>
      </c>
      <c r="AF98" s="197"/>
      <c r="AG98" s="897">
        <f>'Energy NPV'!$U23</f>
        <v>0</v>
      </c>
      <c r="AH98" s="197"/>
      <c r="AI98" s="197">
        <f t="shared" si="219"/>
        <v>0</v>
      </c>
      <c r="AJ98" s="197">
        <f t="shared" si="205"/>
        <v>0</v>
      </c>
      <c r="AK98" s="197">
        <f t="shared" si="206"/>
        <v>220</v>
      </c>
      <c r="AL98" s="1008">
        <f t="shared" si="220"/>
        <v>0</v>
      </c>
      <c r="AM98" s="1011">
        <f t="shared" si="221"/>
        <v>122.84685092132594</v>
      </c>
      <c r="AN98" s="1011">
        <f t="shared" si="222"/>
        <v>0</v>
      </c>
      <c r="AO98" s="1011">
        <f t="shared" si="223"/>
        <v>0</v>
      </c>
      <c r="AP98" s="1013">
        <f t="shared" si="224"/>
        <v>122.84685092132594</v>
      </c>
      <c r="AQ98" s="196">
        <f t="shared" si="254"/>
        <v>3525.189173553305</v>
      </c>
      <c r="AR98" s="197">
        <f t="shared" si="225"/>
        <v>1839.2191513112327</v>
      </c>
      <c r="AS98" s="197">
        <f t="shared" si="225"/>
        <v>3165.2904107114564</v>
      </c>
      <c r="AT98" s="197">
        <f t="shared" si="225"/>
        <v>359.898762841848</v>
      </c>
      <c r="AU98" s="199">
        <f t="shared" si="225"/>
        <v>2199.1179141530806</v>
      </c>
      <c r="AV98" s="197"/>
      <c r="AX98" s="204">
        <f t="shared" si="255"/>
        <v>11</v>
      </c>
      <c r="AY98" s="746">
        <f>'Energy NPV'!$D23</f>
        <v>0</v>
      </c>
      <c r="AZ98" s="197">
        <f>'Energy margins'!$E$12</f>
        <v>55</v>
      </c>
      <c r="BA98" s="197">
        <f t="shared" si="256"/>
        <v>0</v>
      </c>
      <c r="BB98" s="197">
        <f>'Margins summary'!$Q$14</f>
        <v>220</v>
      </c>
      <c r="BC98" s="197">
        <f t="shared" si="226"/>
        <v>220</v>
      </c>
      <c r="BD98" s="197"/>
      <c r="BE98" s="897">
        <f>'Energy NPV'!$U23</f>
        <v>0</v>
      </c>
      <c r="BF98" s="197"/>
      <c r="BG98" s="197">
        <f t="shared" si="227"/>
        <v>0</v>
      </c>
      <c r="BH98" s="197">
        <f t="shared" si="207"/>
        <v>0</v>
      </c>
      <c r="BI98" s="197">
        <f t="shared" si="208"/>
        <v>220</v>
      </c>
      <c r="BJ98" s="1008">
        <f t="shared" si="228"/>
        <v>0</v>
      </c>
      <c r="BK98" s="1011">
        <f t="shared" si="229"/>
        <v>180.47662597253415</v>
      </c>
      <c r="BL98" s="1011">
        <f t="shared" si="230"/>
        <v>0</v>
      </c>
      <c r="BM98" s="1011">
        <f t="shared" si="231"/>
        <v>0</v>
      </c>
      <c r="BN98" s="1013">
        <f t="shared" si="232"/>
        <v>180.47662597253415</v>
      </c>
      <c r="BO98" s="196">
        <f t="shared" si="257"/>
        <v>4400.6308212997264</v>
      </c>
      <c r="BP98" s="197">
        <f t="shared" si="233"/>
        <v>2196.1687013732922</v>
      </c>
      <c r="BQ98" s="197">
        <f t="shared" si="233"/>
        <v>3494.7791521561771</v>
      </c>
      <c r="BR98" s="197">
        <f t="shared" si="233"/>
        <v>905.85166914354943</v>
      </c>
      <c r="BS98" s="199">
        <f t="shared" si="233"/>
        <v>3102.0203705168415</v>
      </c>
      <c r="BT98" s="197"/>
      <c r="BV98" s="204">
        <f t="shared" si="258"/>
        <v>11</v>
      </c>
      <c r="BW98" s="746">
        <f>'Energy NPV'!$D23</f>
        <v>0</v>
      </c>
      <c r="BX98" s="197">
        <f>'Energy margins'!$E$12</f>
        <v>55</v>
      </c>
      <c r="BY98" s="197">
        <f t="shared" si="259"/>
        <v>0</v>
      </c>
      <c r="BZ98" s="197">
        <f>'Margins summary'!$Q$14</f>
        <v>220</v>
      </c>
      <c r="CA98" s="197">
        <f t="shared" si="234"/>
        <v>220</v>
      </c>
      <c r="CB98" s="197"/>
      <c r="CC98" s="897">
        <f>'Energy NPV'!$U23</f>
        <v>0</v>
      </c>
      <c r="CD98" s="197"/>
      <c r="CE98" s="197">
        <f t="shared" si="235"/>
        <v>0</v>
      </c>
      <c r="CF98" s="197">
        <f t="shared" si="209"/>
        <v>0</v>
      </c>
      <c r="CG98" s="197">
        <f t="shared" si="210"/>
        <v>220</v>
      </c>
      <c r="CH98" s="1008">
        <f t="shared" si="236"/>
        <v>0</v>
      </c>
      <c r="CI98" s="1011">
        <f t="shared" si="260"/>
        <v>101.90256737863054</v>
      </c>
      <c r="CJ98" s="1011">
        <f t="shared" si="237"/>
        <v>0</v>
      </c>
      <c r="CK98" s="1011">
        <f t="shared" si="238"/>
        <v>0</v>
      </c>
      <c r="CL98" s="1013">
        <f t="shared" si="239"/>
        <v>101.90256737863054</v>
      </c>
      <c r="CM98" s="196">
        <f t="shared" si="261"/>
        <v>3175.0138778073097</v>
      </c>
      <c r="CN98" s="197">
        <f t="shared" si="240"/>
        <v>1696.2179077671174</v>
      </c>
      <c r="CO98" s="197">
        <f t="shared" si="240"/>
        <v>3032.5328598244987</v>
      </c>
      <c r="CP98" s="197">
        <f t="shared" si="240"/>
        <v>142.48101798281107</v>
      </c>
      <c r="CQ98" s="199">
        <f t="shared" si="240"/>
        <v>1838.6989257499285</v>
      </c>
      <c r="CR98" s="197"/>
      <c r="CT98" s="204">
        <f t="shared" si="262"/>
        <v>11</v>
      </c>
      <c r="CU98" s="746">
        <f>'Energy NPV'!$D23</f>
        <v>0</v>
      </c>
      <c r="CV98" s="197">
        <f>'Energy margins'!$E$12</f>
        <v>55</v>
      </c>
      <c r="CW98" s="197">
        <f t="shared" si="263"/>
        <v>0</v>
      </c>
      <c r="CX98" s="197">
        <f>'Margins summary'!$Q$14</f>
        <v>220</v>
      </c>
      <c r="CY98" s="197">
        <f t="shared" si="241"/>
        <v>220</v>
      </c>
      <c r="CZ98" s="197"/>
      <c r="DA98" s="897">
        <f>'Energy NPV'!$U23</f>
        <v>0</v>
      </c>
      <c r="DB98" s="197"/>
      <c r="DC98" s="197">
        <f t="shared" si="242"/>
        <v>0</v>
      </c>
      <c r="DD98" s="197">
        <f t="shared" si="211"/>
        <v>0</v>
      </c>
      <c r="DE98" s="197">
        <f t="shared" si="212"/>
        <v>220</v>
      </c>
      <c r="DF98" s="1008">
        <f t="shared" si="243"/>
        <v>0</v>
      </c>
      <c r="DG98" s="1011">
        <f t="shared" si="244"/>
        <v>220</v>
      </c>
      <c r="DH98" s="1011">
        <f t="shared" si="245"/>
        <v>0</v>
      </c>
      <c r="DI98" s="1011">
        <f t="shared" si="246"/>
        <v>0</v>
      </c>
      <c r="DJ98" s="1013">
        <f t="shared" si="247"/>
        <v>220</v>
      </c>
      <c r="DK98" s="196">
        <f t="shared" si="264"/>
        <v>4950</v>
      </c>
      <c r="DL98" s="197">
        <f t="shared" si="248"/>
        <v>2420</v>
      </c>
      <c r="DM98" s="197">
        <f t="shared" si="248"/>
        <v>3700.2199999999993</v>
      </c>
      <c r="DN98" s="197">
        <f t="shared" si="248"/>
        <v>1249.7800000000004</v>
      </c>
      <c r="DO98" s="199">
        <f t="shared" si="248"/>
        <v>3669.7800000000007</v>
      </c>
    </row>
    <row r="99" spans="2:119" x14ac:dyDescent="0.3">
      <c r="B99" s="204">
        <f t="shared" si="249"/>
        <v>12</v>
      </c>
      <c r="C99" s="746">
        <f>'Energy NPV'!$D24</f>
        <v>0</v>
      </c>
      <c r="D99" s="197">
        <f>'Energy margins'!$E$12</f>
        <v>55</v>
      </c>
      <c r="E99" s="197">
        <f t="shared" si="250"/>
        <v>0</v>
      </c>
      <c r="F99" s="197">
        <f>'Margins summary'!$Q$14</f>
        <v>220</v>
      </c>
      <c r="G99" s="197">
        <f t="shared" si="213"/>
        <v>220</v>
      </c>
      <c r="H99" s="197"/>
      <c r="I99" s="901">
        <f>'Energy NPV'!$U24</f>
        <v>0</v>
      </c>
      <c r="J99" s="197"/>
      <c r="K99" s="197">
        <f t="shared" si="214"/>
        <v>0</v>
      </c>
      <c r="L99" s="197">
        <f t="shared" si="203"/>
        <v>0</v>
      </c>
      <c r="M99" s="197">
        <f t="shared" si="204"/>
        <v>220</v>
      </c>
      <c r="N99" s="1008">
        <f t="shared" si="215"/>
        <v>0</v>
      </c>
      <c r="O99" s="1011">
        <f t="shared" si="215"/>
        <v>142.90780494391893</v>
      </c>
      <c r="P99" s="1011">
        <f t="shared" si="216"/>
        <v>0</v>
      </c>
      <c r="Q99" s="1011">
        <f t="shared" si="216"/>
        <v>0</v>
      </c>
      <c r="R99" s="1013">
        <f t="shared" si="216"/>
        <v>142.90780494391893</v>
      </c>
      <c r="S99" s="196">
        <f t="shared" si="251"/>
        <v>3930.1310729668203</v>
      </c>
      <c r="T99" s="197">
        <f t="shared" si="217"/>
        <v>2147.304876402025</v>
      </c>
      <c r="U99" s="197">
        <f t="shared" si="217"/>
        <v>3318.0721424044241</v>
      </c>
      <c r="V99" s="197">
        <f t="shared" si="217"/>
        <v>612.05893056239631</v>
      </c>
      <c r="W99" s="199">
        <f t="shared" si="217"/>
        <v>2759.3638069644212</v>
      </c>
      <c r="X99" s="197"/>
      <c r="Z99" s="204">
        <f t="shared" si="252"/>
        <v>12</v>
      </c>
      <c r="AA99" s="746">
        <f>'Energy NPV'!$D24</f>
        <v>0</v>
      </c>
      <c r="AB99" s="197">
        <f>'Energy margins'!$E$12</f>
        <v>55</v>
      </c>
      <c r="AC99" s="197">
        <f t="shared" si="253"/>
        <v>0</v>
      </c>
      <c r="AD99" s="197">
        <f>'Margins summary'!$Q$14</f>
        <v>220</v>
      </c>
      <c r="AE99" s="197">
        <f t="shared" si="218"/>
        <v>220</v>
      </c>
      <c r="AF99" s="197"/>
      <c r="AG99" s="897">
        <f>'Energy NPV'!$U24</f>
        <v>0</v>
      </c>
      <c r="AH99" s="197"/>
      <c r="AI99" s="197">
        <f t="shared" si="219"/>
        <v>0</v>
      </c>
      <c r="AJ99" s="197">
        <f t="shared" si="205"/>
        <v>0</v>
      </c>
      <c r="AK99" s="197">
        <f t="shared" si="206"/>
        <v>220</v>
      </c>
      <c r="AL99" s="1008">
        <f t="shared" si="220"/>
        <v>0</v>
      </c>
      <c r="AM99" s="1011">
        <f t="shared" si="221"/>
        <v>115.89325558615653</v>
      </c>
      <c r="AN99" s="1011">
        <f t="shared" si="222"/>
        <v>0</v>
      </c>
      <c r="AO99" s="1011">
        <f t="shared" si="223"/>
        <v>0</v>
      </c>
      <c r="AP99" s="1013">
        <f t="shared" si="224"/>
        <v>115.89325558615653</v>
      </c>
      <c r="AQ99" s="196">
        <f t="shared" si="254"/>
        <v>3525.189173553305</v>
      </c>
      <c r="AR99" s="197">
        <f t="shared" si="225"/>
        <v>1955.1124068973893</v>
      </c>
      <c r="AS99" s="197">
        <f t="shared" si="225"/>
        <v>3165.2904107114564</v>
      </c>
      <c r="AT99" s="197">
        <f t="shared" si="225"/>
        <v>359.898762841848</v>
      </c>
      <c r="AU99" s="199">
        <f t="shared" si="225"/>
        <v>2315.0111697392372</v>
      </c>
      <c r="AV99" s="197"/>
      <c r="AX99" s="204">
        <f t="shared" si="255"/>
        <v>12</v>
      </c>
      <c r="AY99" s="746">
        <f>'Energy NPV'!$D24</f>
        <v>0</v>
      </c>
      <c r="AZ99" s="197">
        <f>'Energy margins'!$E$12</f>
        <v>55</v>
      </c>
      <c r="BA99" s="197">
        <f t="shared" si="256"/>
        <v>0</v>
      </c>
      <c r="BB99" s="197">
        <f>'Margins summary'!$Q$14</f>
        <v>220</v>
      </c>
      <c r="BC99" s="197">
        <f t="shared" si="226"/>
        <v>220</v>
      </c>
      <c r="BD99" s="197"/>
      <c r="BE99" s="897">
        <f>'Energy NPV'!$U24</f>
        <v>0</v>
      </c>
      <c r="BF99" s="197"/>
      <c r="BG99" s="197">
        <f t="shared" si="227"/>
        <v>0</v>
      </c>
      <c r="BH99" s="197">
        <f t="shared" si="207"/>
        <v>0</v>
      </c>
      <c r="BI99" s="197">
        <f t="shared" si="208"/>
        <v>220</v>
      </c>
      <c r="BJ99" s="1008">
        <f t="shared" si="228"/>
        <v>0</v>
      </c>
      <c r="BK99" s="1011">
        <f t="shared" si="229"/>
        <v>176.93786860052373</v>
      </c>
      <c r="BL99" s="1011">
        <f t="shared" si="230"/>
        <v>0</v>
      </c>
      <c r="BM99" s="1011">
        <f t="shared" si="231"/>
        <v>0</v>
      </c>
      <c r="BN99" s="1013">
        <f t="shared" si="232"/>
        <v>176.93786860052373</v>
      </c>
      <c r="BO99" s="196">
        <f t="shared" si="257"/>
        <v>4400.6308212997264</v>
      </c>
      <c r="BP99" s="197">
        <f t="shared" si="233"/>
        <v>2373.106569973816</v>
      </c>
      <c r="BQ99" s="197">
        <f t="shared" si="233"/>
        <v>3494.7791521561771</v>
      </c>
      <c r="BR99" s="197">
        <f t="shared" si="233"/>
        <v>905.85166914354943</v>
      </c>
      <c r="BS99" s="199">
        <f t="shared" si="233"/>
        <v>3278.9582391173653</v>
      </c>
      <c r="BT99" s="197"/>
      <c r="BV99" s="204">
        <f t="shared" si="258"/>
        <v>12</v>
      </c>
      <c r="BW99" s="746">
        <f>'Energy NPV'!$D24</f>
        <v>0</v>
      </c>
      <c r="BX99" s="197">
        <f>'Energy margins'!$E$12</f>
        <v>55</v>
      </c>
      <c r="BY99" s="197">
        <f t="shared" si="259"/>
        <v>0</v>
      </c>
      <c r="BZ99" s="197">
        <f>'Margins summary'!$Q$14</f>
        <v>220</v>
      </c>
      <c r="CA99" s="197">
        <f t="shared" si="234"/>
        <v>220</v>
      </c>
      <c r="CB99" s="197"/>
      <c r="CC99" s="897">
        <f>'Energy NPV'!$U24</f>
        <v>0</v>
      </c>
      <c r="CD99" s="197"/>
      <c r="CE99" s="197">
        <f t="shared" si="235"/>
        <v>0</v>
      </c>
      <c r="CF99" s="197">
        <f t="shared" si="209"/>
        <v>0</v>
      </c>
      <c r="CG99" s="197">
        <f t="shared" si="210"/>
        <v>220</v>
      </c>
      <c r="CH99" s="1008">
        <f t="shared" si="236"/>
        <v>0</v>
      </c>
      <c r="CI99" s="1011">
        <f t="shared" si="260"/>
        <v>94.354229054287529</v>
      </c>
      <c r="CJ99" s="1011">
        <f t="shared" si="237"/>
        <v>0</v>
      </c>
      <c r="CK99" s="1011">
        <f t="shared" si="238"/>
        <v>0</v>
      </c>
      <c r="CL99" s="1013">
        <f t="shared" si="239"/>
        <v>94.354229054287529</v>
      </c>
      <c r="CM99" s="196">
        <f t="shared" si="261"/>
        <v>3175.0138778073097</v>
      </c>
      <c r="CN99" s="197">
        <f t="shared" si="240"/>
        <v>1790.5721368214049</v>
      </c>
      <c r="CO99" s="197">
        <f t="shared" si="240"/>
        <v>3032.5328598244987</v>
      </c>
      <c r="CP99" s="197">
        <f t="shared" si="240"/>
        <v>142.48101798281107</v>
      </c>
      <c r="CQ99" s="199">
        <f t="shared" si="240"/>
        <v>1933.0531548042161</v>
      </c>
      <c r="CR99" s="197"/>
      <c r="CT99" s="204">
        <f t="shared" si="262"/>
        <v>12</v>
      </c>
      <c r="CU99" s="746">
        <f>'Energy NPV'!$D24</f>
        <v>0</v>
      </c>
      <c r="CV99" s="197">
        <f>'Energy margins'!$E$12</f>
        <v>55</v>
      </c>
      <c r="CW99" s="197">
        <f t="shared" si="263"/>
        <v>0</v>
      </c>
      <c r="CX99" s="197">
        <f>'Margins summary'!$Q$14</f>
        <v>220</v>
      </c>
      <c r="CY99" s="197">
        <f t="shared" si="241"/>
        <v>220</v>
      </c>
      <c r="CZ99" s="197"/>
      <c r="DA99" s="897">
        <f>'Energy NPV'!$U24</f>
        <v>0</v>
      </c>
      <c r="DB99" s="197"/>
      <c r="DC99" s="197">
        <f t="shared" si="242"/>
        <v>0</v>
      </c>
      <c r="DD99" s="197">
        <f t="shared" si="211"/>
        <v>0</v>
      </c>
      <c r="DE99" s="197">
        <f t="shared" si="212"/>
        <v>220</v>
      </c>
      <c r="DF99" s="1008">
        <f t="shared" si="243"/>
        <v>0</v>
      </c>
      <c r="DG99" s="1011">
        <f t="shared" si="244"/>
        <v>220</v>
      </c>
      <c r="DH99" s="1011">
        <f t="shared" si="245"/>
        <v>0</v>
      </c>
      <c r="DI99" s="1011">
        <f t="shared" si="246"/>
        <v>0</v>
      </c>
      <c r="DJ99" s="1013">
        <f t="shared" si="247"/>
        <v>220</v>
      </c>
      <c r="DK99" s="196">
        <f t="shared" si="264"/>
        <v>4950</v>
      </c>
      <c r="DL99" s="197">
        <f t="shared" si="248"/>
        <v>2640</v>
      </c>
      <c r="DM99" s="197">
        <f t="shared" si="248"/>
        <v>3700.2199999999993</v>
      </c>
      <c r="DN99" s="197">
        <f t="shared" si="248"/>
        <v>1249.7800000000004</v>
      </c>
      <c r="DO99" s="199">
        <f t="shared" si="248"/>
        <v>3889.7800000000007</v>
      </c>
    </row>
    <row r="100" spans="2:119" x14ac:dyDescent="0.3">
      <c r="B100" s="204">
        <f t="shared" si="249"/>
        <v>13</v>
      </c>
      <c r="C100" s="746">
        <f>'Energy NPV'!$D25</f>
        <v>30</v>
      </c>
      <c r="D100" s="197">
        <f>'Energy margins'!$E$12</f>
        <v>55</v>
      </c>
      <c r="E100" s="197">
        <f t="shared" si="250"/>
        <v>1650</v>
      </c>
      <c r="F100" s="197">
        <f>'Margins summary'!$Q$14</f>
        <v>220</v>
      </c>
      <c r="G100" s="197">
        <f t="shared" si="213"/>
        <v>1870</v>
      </c>
      <c r="H100" s="197"/>
      <c r="I100" s="901">
        <f>'Energy NPV'!$U25</f>
        <v>592.40499999999997</v>
      </c>
      <c r="J100" s="197"/>
      <c r="K100" s="197">
        <f t="shared" si="214"/>
        <v>592.40499999999997</v>
      </c>
      <c r="L100" s="197">
        <f t="shared" si="203"/>
        <v>1057.595</v>
      </c>
      <c r="M100" s="197">
        <f t="shared" si="204"/>
        <v>1277.595</v>
      </c>
      <c r="N100" s="1008">
        <f t="shared" si="215"/>
        <v>1030.5851318071075</v>
      </c>
      <c r="O100" s="1011">
        <f t="shared" si="215"/>
        <v>137.41135090761432</v>
      </c>
      <c r="P100" s="1011">
        <f t="shared" si="216"/>
        <v>370.01441515647849</v>
      </c>
      <c r="Q100" s="1011">
        <f t="shared" si="216"/>
        <v>660.57071665062904</v>
      </c>
      <c r="R100" s="1013">
        <f t="shared" si="216"/>
        <v>797.98206755824333</v>
      </c>
      <c r="S100" s="196">
        <f t="shared" si="251"/>
        <v>4960.7162047739275</v>
      </c>
      <c r="T100" s="197">
        <f t="shared" si="217"/>
        <v>2284.7162273096392</v>
      </c>
      <c r="U100" s="197">
        <f t="shared" si="217"/>
        <v>3688.0865575609027</v>
      </c>
      <c r="V100" s="197">
        <f t="shared" si="217"/>
        <v>1272.6296472130252</v>
      </c>
      <c r="W100" s="199">
        <f t="shared" si="217"/>
        <v>3557.3458745226644</v>
      </c>
      <c r="X100" s="197"/>
      <c r="Z100" s="204">
        <f t="shared" si="252"/>
        <v>13</v>
      </c>
      <c r="AA100" s="746">
        <f>'Energy NPV'!$D25</f>
        <v>30</v>
      </c>
      <c r="AB100" s="197">
        <f>'Energy margins'!$E$12</f>
        <v>55</v>
      </c>
      <c r="AC100" s="197">
        <f t="shared" si="253"/>
        <v>1650</v>
      </c>
      <c r="AD100" s="197">
        <f>'Margins summary'!$Q$14</f>
        <v>220</v>
      </c>
      <c r="AE100" s="197">
        <f t="shared" si="218"/>
        <v>1870</v>
      </c>
      <c r="AF100" s="197"/>
      <c r="AG100" s="897">
        <f>'Energy NPV'!$U25</f>
        <v>592.40499999999997</v>
      </c>
      <c r="AH100" s="197"/>
      <c r="AI100" s="197">
        <f t="shared" si="219"/>
        <v>592.40499999999997</v>
      </c>
      <c r="AJ100" s="197">
        <f t="shared" si="205"/>
        <v>1057.595</v>
      </c>
      <c r="AK100" s="197">
        <f t="shared" si="206"/>
        <v>1277.595</v>
      </c>
      <c r="AL100" s="1008">
        <f t="shared" si="220"/>
        <v>819.99944990205086</v>
      </c>
      <c r="AM100" s="1011">
        <f t="shared" si="221"/>
        <v>109.33325998694011</v>
      </c>
      <c r="AN100" s="1011">
        <f t="shared" si="222"/>
        <v>294.40713582983295</v>
      </c>
      <c r="AO100" s="1011">
        <f t="shared" si="223"/>
        <v>525.59231407221785</v>
      </c>
      <c r="AP100" s="1013">
        <f t="shared" si="224"/>
        <v>634.92557405915795</v>
      </c>
      <c r="AQ100" s="196">
        <f t="shared" si="254"/>
        <v>4345.1886234553558</v>
      </c>
      <c r="AR100" s="197">
        <f t="shared" si="225"/>
        <v>2064.4456668843295</v>
      </c>
      <c r="AS100" s="197">
        <f t="shared" si="225"/>
        <v>3459.6975465412893</v>
      </c>
      <c r="AT100" s="197">
        <f t="shared" si="225"/>
        <v>885.49107691406584</v>
      </c>
      <c r="AU100" s="199">
        <f t="shared" si="225"/>
        <v>2949.9367437983951</v>
      </c>
      <c r="AV100" s="197"/>
      <c r="AX100" s="204">
        <f t="shared" si="255"/>
        <v>13</v>
      </c>
      <c r="AY100" s="746">
        <f>'Energy NPV'!$D25</f>
        <v>30</v>
      </c>
      <c r="AZ100" s="197">
        <f>'Energy margins'!$E$12</f>
        <v>55</v>
      </c>
      <c r="BA100" s="197">
        <f t="shared" si="256"/>
        <v>1650</v>
      </c>
      <c r="BB100" s="197">
        <f>'Margins summary'!$Q$14</f>
        <v>220</v>
      </c>
      <c r="BC100" s="197">
        <f t="shared" si="226"/>
        <v>1870</v>
      </c>
      <c r="BD100" s="197"/>
      <c r="BE100" s="897">
        <f>'Energy NPV'!$U25</f>
        <v>592.40499999999997</v>
      </c>
      <c r="BF100" s="197"/>
      <c r="BG100" s="197">
        <f t="shared" si="227"/>
        <v>592.40499999999997</v>
      </c>
      <c r="BH100" s="197">
        <f t="shared" si="207"/>
        <v>1057.595</v>
      </c>
      <c r="BI100" s="197">
        <f t="shared" si="208"/>
        <v>1277.595</v>
      </c>
      <c r="BJ100" s="1008">
        <f t="shared" si="228"/>
        <v>1301.013739709733</v>
      </c>
      <c r="BK100" s="1011">
        <f t="shared" si="229"/>
        <v>173.46849862796441</v>
      </c>
      <c r="BL100" s="1011">
        <f t="shared" si="230"/>
        <v>467.10729968045115</v>
      </c>
      <c r="BM100" s="1011">
        <f t="shared" si="231"/>
        <v>833.90644002928195</v>
      </c>
      <c r="BN100" s="1013">
        <f t="shared" si="232"/>
        <v>1007.3749386572463</v>
      </c>
      <c r="BO100" s="196">
        <f t="shared" si="257"/>
        <v>5701.6445610094597</v>
      </c>
      <c r="BP100" s="197">
        <f t="shared" si="233"/>
        <v>2546.5750686017805</v>
      </c>
      <c r="BQ100" s="197">
        <f t="shared" si="233"/>
        <v>3961.8864518366281</v>
      </c>
      <c r="BR100" s="197">
        <f t="shared" si="233"/>
        <v>1739.7581091728314</v>
      </c>
      <c r="BS100" s="199">
        <f t="shared" si="233"/>
        <v>4286.3331777746116</v>
      </c>
      <c r="BT100" s="197"/>
      <c r="BV100" s="204">
        <f t="shared" si="258"/>
        <v>13</v>
      </c>
      <c r="BW100" s="746">
        <f>'Energy NPV'!$D25</f>
        <v>30</v>
      </c>
      <c r="BX100" s="197">
        <f>'Energy margins'!$E$12</f>
        <v>55</v>
      </c>
      <c r="BY100" s="197">
        <f t="shared" si="259"/>
        <v>1650</v>
      </c>
      <c r="BZ100" s="197">
        <f>'Margins summary'!$Q$14</f>
        <v>220</v>
      </c>
      <c r="CA100" s="197">
        <f t="shared" si="234"/>
        <v>1870</v>
      </c>
      <c r="CB100" s="197"/>
      <c r="CC100" s="897">
        <f>'Energy NPV'!$U25</f>
        <v>592.40499999999997</v>
      </c>
      <c r="CD100" s="197"/>
      <c r="CE100" s="197">
        <f t="shared" si="235"/>
        <v>592.40499999999997</v>
      </c>
      <c r="CF100" s="197">
        <f t="shared" si="209"/>
        <v>1057.595</v>
      </c>
      <c r="CG100" s="197">
        <f t="shared" si="210"/>
        <v>1277.595</v>
      </c>
      <c r="CH100" s="1008">
        <f t="shared" si="236"/>
        <v>655.23770176588562</v>
      </c>
      <c r="CI100" s="1011">
        <f t="shared" si="260"/>
        <v>87.365026902118075</v>
      </c>
      <c r="CJ100" s="1011">
        <f t="shared" si="237"/>
        <v>235.25217619067845</v>
      </c>
      <c r="CK100" s="1011">
        <f t="shared" si="238"/>
        <v>419.98552557520713</v>
      </c>
      <c r="CL100" s="1013">
        <f t="shared" si="239"/>
        <v>507.35055247732521</v>
      </c>
      <c r="CM100" s="196">
        <f t="shared" si="261"/>
        <v>3830.2515795731952</v>
      </c>
      <c r="CN100" s="197">
        <f t="shared" si="240"/>
        <v>1877.9371637235231</v>
      </c>
      <c r="CO100" s="197">
        <f t="shared" si="240"/>
        <v>3267.785036015177</v>
      </c>
      <c r="CP100" s="197">
        <f t="shared" si="240"/>
        <v>562.4665435580182</v>
      </c>
      <c r="CQ100" s="199">
        <f t="shared" si="240"/>
        <v>2440.4037072815413</v>
      </c>
      <c r="CR100" s="197"/>
      <c r="CT100" s="204">
        <f t="shared" si="262"/>
        <v>13</v>
      </c>
      <c r="CU100" s="746">
        <f>'Energy NPV'!$D25</f>
        <v>30</v>
      </c>
      <c r="CV100" s="197">
        <f>'Energy margins'!$E$12</f>
        <v>55</v>
      </c>
      <c r="CW100" s="197">
        <f t="shared" si="263"/>
        <v>1650</v>
      </c>
      <c r="CX100" s="197">
        <f>'Margins summary'!$Q$14</f>
        <v>220</v>
      </c>
      <c r="CY100" s="197">
        <f t="shared" si="241"/>
        <v>1870</v>
      </c>
      <c r="CZ100" s="197"/>
      <c r="DA100" s="897">
        <f>'Energy NPV'!$U25</f>
        <v>592.40499999999997</v>
      </c>
      <c r="DB100" s="197"/>
      <c r="DC100" s="197">
        <f t="shared" si="242"/>
        <v>592.40499999999997</v>
      </c>
      <c r="DD100" s="197">
        <f t="shared" si="211"/>
        <v>1057.595</v>
      </c>
      <c r="DE100" s="197">
        <f t="shared" si="212"/>
        <v>1277.595</v>
      </c>
      <c r="DF100" s="1008">
        <f t="shared" si="243"/>
        <v>1650</v>
      </c>
      <c r="DG100" s="1011">
        <f t="shared" si="244"/>
        <v>220</v>
      </c>
      <c r="DH100" s="1011">
        <f t="shared" si="245"/>
        <v>592.40499999999997</v>
      </c>
      <c r="DI100" s="1011">
        <f t="shared" si="246"/>
        <v>1057.595</v>
      </c>
      <c r="DJ100" s="1013">
        <f t="shared" si="247"/>
        <v>1277.595</v>
      </c>
      <c r="DK100" s="196">
        <f t="shared" si="264"/>
        <v>6600</v>
      </c>
      <c r="DL100" s="197">
        <f t="shared" si="248"/>
        <v>2860</v>
      </c>
      <c r="DM100" s="197">
        <f t="shared" si="248"/>
        <v>4292.6249999999991</v>
      </c>
      <c r="DN100" s="197">
        <f t="shared" si="248"/>
        <v>2307.3750000000005</v>
      </c>
      <c r="DO100" s="199">
        <f t="shared" si="248"/>
        <v>5167.3750000000009</v>
      </c>
    </row>
    <row r="101" spans="2:119" x14ac:dyDescent="0.3">
      <c r="B101" s="204">
        <f t="shared" si="249"/>
        <v>14</v>
      </c>
      <c r="C101" s="746">
        <f>'Energy NPV'!$D26</f>
        <v>0</v>
      </c>
      <c r="D101" s="197">
        <f>'Energy margins'!$E$12</f>
        <v>55</v>
      </c>
      <c r="E101" s="197">
        <f t="shared" si="250"/>
        <v>0</v>
      </c>
      <c r="F101" s="197">
        <f>'Margins summary'!$Q$14</f>
        <v>220</v>
      </c>
      <c r="G101" s="197">
        <f t="shared" si="213"/>
        <v>220</v>
      </c>
      <c r="H101" s="197"/>
      <c r="I101" s="901">
        <f>'Energy NPV'!$U26</f>
        <v>0</v>
      </c>
      <c r="J101" s="197"/>
      <c r="K101" s="197">
        <f t="shared" si="214"/>
        <v>0</v>
      </c>
      <c r="L101" s="197">
        <f t="shared" si="203"/>
        <v>0</v>
      </c>
      <c r="M101" s="197">
        <f t="shared" si="204"/>
        <v>220</v>
      </c>
      <c r="N101" s="1008">
        <f t="shared" si="215"/>
        <v>0</v>
      </c>
      <c r="O101" s="1011">
        <f t="shared" si="215"/>
        <v>132.12629894962916</v>
      </c>
      <c r="P101" s="1011">
        <f t="shared" si="216"/>
        <v>0</v>
      </c>
      <c r="Q101" s="1011">
        <f t="shared" si="216"/>
        <v>0</v>
      </c>
      <c r="R101" s="1013">
        <f t="shared" si="216"/>
        <v>132.12629894962916</v>
      </c>
      <c r="S101" s="196">
        <f t="shared" si="251"/>
        <v>4960.7162047739275</v>
      </c>
      <c r="T101" s="197">
        <f t="shared" si="217"/>
        <v>2416.8425262592682</v>
      </c>
      <c r="U101" s="197">
        <f t="shared" si="217"/>
        <v>3688.0865575609027</v>
      </c>
      <c r="V101" s="197">
        <f t="shared" si="217"/>
        <v>1272.6296472130252</v>
      </c>
      <c r="W101" s="199">
        <f t="shared" si="217"/>
        <v>3689.4721734722934</v>
      </c>
      <c r="X101" s="197"/>
      <c r="Z101" s="204">
        <f t="shared" si="252"/>
        <v>14</v>
      </c>
      <c r="AA101" s="746">
        <f>'Energy NPV'!$D26</f>
        <v>0</v>
      </c>
      <c r="AB101" s="197">
        <f>'Energy margins'!$E$12</f>
        <v>55</v>
      </c>
      <c r="AC101" s="197">
        <f t="shared" si="253"/>
        <v>0</v>
      </c>
      <c r="AD101" s="197">
        <f>'Margins summary'!$Q$14</f>
        <v>220</v>
      </c>
      <c r="AE101" s="197">
        <f t="shared" si="218"/>
        <v>220</v>
      </c>
      <c r="AF101" s="197"/>
      <c r="AG101" s="897">
        <f>'Energy NPV'!$U26</f>
        <v>0</v>
      </c>
      <c r="AH101" s="197"/>
      <c r="AI101" s="197">
        <f t="shared" si="219"/>
        <v>0</v>
      </c>
      <c r="AJ101" s="197">
        <f t="shared" si="205"/>
        <v>0</v>
      </c>
      <c r="AK101" s="197">
        <f t="shared" si="206"/>
        <v>220</v>
      </c>
      <c r="AL101" s="1008">
        <f t="shared" si="220"/>
        <v>0</v>
      </c>
      <c r="AM101" s="1011">
        <f t="shared" si="221"/>
        <v>103.14458489333971</v>
      </c>
      <c r="AN101" s="1011">
        <f t="shared" si="222"/>
        <v>0</v>
      </c>
      <c r="AO101" s="1011">
        <f t="shared" si="223"/>
        <v>0</v>
      </c>
      <c r="AP101" s="1013">
        <f t="shared" si="224"/>
        <v>103.14458489333971</v>
      </c>
      <c r="AQ101" s="196">
        <f t="shared" si="254"/>
        <v>4345.1886234553558</v>
      </c>
      <c r="AR101" s="197">
        <f t="shared" si="225"/>
        <v>2167.5902517776694</v>
      </c>
      <c r="AS101" s="197">
        <f t="shared" si="225"/>
        <v>3459.6975465412893</v>
      </c>
      <c r="AT101" s="197">
        <f t="shared" si="225"/>
        <v>885.49107691406584</v>
      </c>
      <c r="AU101" s="199">
        <f t="shared" si="225"/>
        <v>3053.0813286917351</v>
      </c>
      <c r="AV101" s="197"/>
      <c r="AX101" s="204">
        <f t="shared" si="255"/>
        <v>14</v>
      </c>
      <c r="AY101" s="746">
        <f>'Energy NPV'!$D26</f>
        <v>0</v>
      </c>
      <c r="AZ101" s="197">
        <f>'Energy margins'!$E$12</f>
        <v>55</v>
      </c>
      <c r="BA101" s="197">
        <f t="shared" si="256"/>
        <v>0</v>
      </c>
      <c r="BB101" s="197">
        <f>'Margins summary'!$Q$14</f>
        <v>220</v>
      </c>
      <c r="BC101" s="197">
        <f t="shared" si="226"/>
        <v>220</v>
      </c>
      <c r="BD101" s="197"/>
      <c r="BE101" s="897">
        <f>'Energy NPV'!$U26</f>
        <v>0</v>
      </c>
      <c r="BF101" s="197"/>
      <c r="BG101" s="197">
        <f t="shared" si="227"/>
        <v>0</v>
      </c>
      <c r="BH101" s="197">
        <f t="shared" si="207"/>
        <v>0</v>
      </c>
      <c r="BI101" s="197">
        <f t="shared" si="208"/>
        <v>220</v>
      </c>
      <c r="BJ101" s="1008">
        <f t="shared" si="228"/>
        <v>0</v>
      </c>
      <c r="BK101" s="1011">
        <f t="shared" si="229"/>
        <v>170.06715551761218</v>
      </c>
      <c r="BL101" s="1011">
        <f t="shared" si="230"/>
        <v>0</v>
      </c>
      <c r="BM101" s="1011">
        <f t="shared" si="231"/>
        <v>0</v>
      </c>
      <c r="BN101" s="1013">
        <f t="shared" si="232"/>
        <v>170.06715551761218</v>
      </c>
      <c r="BO101" s="196">
        <f t="shared" si="257"/>
        <v>5701.6445610094597</v>
      </c>
      <c r="BP101" s="197">
        <f t="shared" si="233"/>
        <v>2716.6422241193927</v>
      </c>
      <c r="BQ101" s="197">
        <f t="shared" si="233"/>
        <v>3961.8864518366281</v>
      </c>
      <c r="BR101" s="197">
        <f t="shared" si="233"/>
        <v>1739.7581091728314</v>
      </c>
      <c r="BS101" s="199">
        <f t="shared" si="233"/>
        <v>4456.4003332922239</v>
      </c>
      <c r="BT101" s="197"/>
      <c r="BV101" s="204">
        <f t="shared" si="258"/>
        <v>14</v>
      </c>
      <c r="BW101" s="746">
        <f>'Energy NPV'!$D26</f>
        <v>0</v>
      </c>
      <c r="BX101" s="197">
        <f>'Energy margins'!$E$12</f>
        <v>55</v>
      </c>
      <c r="BY101" s="197">
        <f t="shared" si="259"/>
        <v>0</v>
      </c>
      <c r="BZ101" s="197">
        <f>'Margins summary'!$Q$14</f>
        <v>220</v>
      </c>
      <c r="CA101" s="197">
        <f t="shared" si="234"/>
        <v>220</v>
      </c>
      <c r="CB101" s="197"/>
      <c r="CC101" s="897">
        <f>'Energy NPV'!$U26</f>
        <v>0</v>
      </c>
      <c r="CD101" s="197"/>
      <c r="CE101" s="197">
        <f t="shared" si="235"/>
        <v>0</v>
      </c>
      <c r="CF101" s="197">
        <f t="shared" si="209"/>
        <v>0</v>
      </c>
      <c r="CG101" s="197">
        <f t="shared" si="210"/>
        <v>220</v>
      </c>
      <c r="CH101" s="1008">
        <f t="shared" si="236"/>
        <v>0</v>
      </c>
      <c r="CI101" s="1011">
        <f t="shared" si="260"/>
        <v>80.89354342788711</v>
      </c>
      <c r="CJ101" s="1011">
        <f t="shared" si="237"/>
        <v>0</v>
      </c>
      <c r="CK101" s="1011">
        <f t="shared" si="238"/>
        <v>0</v>
      </c>
      <c r="CL101" s="1013">
        <f t="shared" si="239"/>
        <v>80.89354342788711</v>
      </c>
      <c r="CM101" s="196">
        <f t="shared" si="261"/>
        <v>3830.2515795731952</v>
      </c>
      <c r="CN101" s="197">
        <f t="shared" si="240"/>
        <v>1958.8307071514103</v>
      </c>
      <c r="CO101" s="197">
        <f t="shared" si="240"/>
        <v>3267.785036015177</v>
      </c>
      <c r="CP101" s="197">
        <f t="shared" si="240"/>
        <v>562.4665435580182</v>
      </c>
      <c r="CQ101" s="199">
        <f t="shared" si="240"/>
        <v>2521.2972507094282</v>
      </c>
      <c r="CR101" s="197"/>
      <c r="CT101" s="204">
        <f t="shared" si="262"/>
        <v>14</v>
      </c>
      <c r="CU101" s="746">
        <f>'Energy NPV'!$D26</f>
        <v>0</v>
      </c>
      <c r="CV101" s="197">
        <f>'Energy margins'!$E$12</f>
        <v>55</v>
      </c>
      <c r="CW101" s="197">
        <f t="shared" si="263"/>
        <v>0</v>
      </c>
      <c r="CX101" s="197">
        <f>'Margins summary'!$Q$14</f>
        <v>220</v>
      </c>
      <c r="CY101" s="197">
        <f t="shared" si="241"/>
        <v>220</v>
      </c>
      <c r="CZ101" s="197"/>
      <c r="DA101" s="897">
        <f>'Energy NPV'!$U26</f>
        <v>0</v>
      </c>
      <c r="DB101" s="197"/>
      <c r="DC101" s="197">
        <f t="shared" si="242"/>
        <v>0</v>
      </c>
      <c r="DD101" s="197">
        <f t="shared" si="211"/>
        <v>0</v>
      </c>
      <c r="DE101" s="197">
        <f t="shared" si="212"/>
        <v>220</v>
      </c>
      <c r="DF101" s="1008">
        <f t="shared" si="243"/>
        <v>0</v>
      </c>
      <c r="DG101" s="1011">
        <f t="shared" si="244"/>
        <v>220</v>
      </c>
      <c r="DH101" s="1011">
        <f t="shared" si="245"/>
        <v>0</v>
      </c>
      <c r="DI101" s="1011">
        <f t="shared" si="246"/>
        <v>0</v>
      </c>
      <c r="DJ101" s="1013">
        <f t="shared" si="247"/>
        <v>220</v>
      </c>
      <c r="DK101" s="196">
        <f t="shared" si="264"/>
        <v>6600</v>
      </c>
      <c r="DL101" s="197">
        <f t="shared" si="248"/>
        <v>3080</v>
      </c>
      <c r="DM101" s="197">
        <f t="shared" si="248"/>
        <v>4292.6249999999991</v>
      </c>
      <c r="DN101" s="197">
        <f t="shared" si="248"/>
        <v>2307.3750000000005</v>
      </c>
      <c r="DO101" s="199">
        <f t="shared" si="248"/>
        <v>5387.3750000000009</v>
      </c>
    </row>
    <row r="102" spans="2:119" x14ac:dyDescent="0.3">
      <c r="B102" s="204">
        <f t="shared" si="249"/>
        <v>15</v>
      </c>
      <c r="C102" s="746">
        <f>'Energy NPV'!$D27</f>
        <v>0</v>
      </c>
      <c r="D102" s="197">
        <f>'Energy margins'!$E$12</f>
        <v>55</v>
      </c>
      <c r="E102" s="197">
        <f t="shared" si="250"/>
        <v>0</v>
      </c>
      <c r="F102" s="197">
        <f>'Margins summary'!$Q$14</f>
        <v>220</v>
      </c>
      <c r="G102" s="197">
        <f t="shared" si="213"/>
        <v>220</v>
      </c>
      <c r="H102" s="197"/>
      <c r="I102" s="901">
        <f>'Energy NPV'!$U27</f>
        <v>0</v>
      </c>
      <c r="J102" s="197"/>
      <c r="K102" s="197">
        <f t="shared" si="214"/>
        <v>0</v>
      </c>
      <c r="L102" s="197">
        <f t="shared" si="203"/>
        <v>0</v>
      </c>
      <c r="M102" s="197">
        <f t="shared" si="204"/>
        <v>220</v>
      </c>
      <c r="N102" s="1008">
        <f t="shared" si="215"/>
        <v>0</v>
      </c>
      <c r="O102" s="1011">
        <f t="shared" si="215"/>
        <v>127.04451822079727</v>
      </c>
      <c r="P102" s="1011">
        <f t="shared" si="216"/>
        <v>0</v>
      </c>
      <c r="Q102" s="1011">
        <f t="shared" si="216"/>
        <v>0</v>
      </c>
      <c r="R102" s="1013">
        <f t="shared" si="216"/>
        <v>127.04451822079727</v>
      </c>
      <c r="S102" s="196">
        <f t="shared" si="251"/>
        <v>4960.7162047739275</v>
      </c>
      <c r="T102" s="197">
        <f t="shared" si="217"/>
        <v>2543.8870444800655</v>
      </c>
      <c r="U102" s="197">
        <f t="shared" si="217"/>
        <v>3688.0865575609027</v>
      </c>
      <c r="V102" s="197">
        <f t="shared" si="217"/>
        <v>1272.6296472130252</v>
      </c>
      <c r="W102" s="199">
        <f t="shared" si="217"/>
        <v>3816.5166916930907</v>
      </c>
      <c r="X102" s="197"/>
      <c r="Z102" s="204">
        <f t="shared" si="252"/>
        <v>15</v>
      </c>
      <c r="AA102" s="746">
        <f>'Energy NPV'!$D27</f>
        <v>0</v>
      </c>
      <c r="AB102" s="197">
        <f>'Energy margins'!$E$12</f>
        <v>55</v>
      </c>
      <c r="AC102" s="197">
        <f t="shared" si="253"/>
        <v>0</v>
      </c>
      <c r="AD102" s="197">
        <f>'Margins summary'!$Q$14</f>
        <v>220</v>
      </c>
      <c r="AE102" s="197">
        <f t="shared" si="218"/>
        <v>220</v>
      </c>
      <c r="AF102" s="197"/>
      <c r="AG102" s="897">
        <f>'Energy NPV'!$U27</f>
        <v>0</v>
      </c>
      <c r="AH102" s="197"/>
      <c r="AI102" s="197">
        <f t="shared" si="219"/>
        <v>0</v>
      </c>
      <c r="AJ102" s="197">
        <f t="shared" si="205"/>
        <v>0</v>
      </c>
      <c r="AK102" s="197">
        <f t="shared" si="206"/>
        <v>220</v>
      </c>
      <c r="AL102" s="1008">
        <f t="shared" si="220"/>
        <v>0</v>
      </c>
      <c r="AM102" s="1011">
        <f t="shared" si="221"/>
        <v>97.306212163528045</v>
      </c>
      <c r="AN102" s="1011">
        <f t="shared" si="222"/>
        <v>0</v>
      </c>
      <c r="AO102" s="1011">
        <f t="shared" si="223"/>
        <v>0</v>
      </c>
      <c r="AP102" s="1013">
        <f t="shared" si="224"/>
        <v>97.306212163528045</v>
      </c>
      <c r="AQ102" s="196">
        <f t="shared" si="254"/>
        <v>4345.1886234553558</v>
      </c>
      <c r="AR102" s="197">
        <f t="shared" si="225"/>
        <v>2264.8964639411975</v>
      </c>
      <c r="AS102" s="197">
        <f t="shared" si="225"/>
        <v>3459.6975465412893</v>
      </c>
      <c r="AT102" s="197">
        <f t="shared" si="225"/>
        <v>885.49107691406584</v>
      </c>
      <c r="AU102" s="199">
        <f t="shared" si="225"/>
        <v>3150.3875408552631</v>
      </c>
      <c r="AV102" s="197"/>
      <c r="AX102" s="204">
        <f t="shared" si="255"/>
        <v>15</v>
      </c>
      <c r="AY102" s="746">
        <f>'Energy NPV'!$D27</f>
        <v>0</v>
      </c>
      <c r="AZ102" s="197">
        <f>'Energy margins'!$E$12</f>
        <v>55</v>
      </c>
      <c r="BA102" s="197">
        <f t="shared" si="256"/>
        <v>0</v>
      </c>
      <c r="BB102" s="197">
        <f>'Margins summary'!$Q$14</f>
        <v>220</v>
      </c>
      <c r="BC102" s="197">
        <f t="shared" si="226"/>
        <v>220</v>
      </c>
      <c r="BD102" s="197"/>
      <c r="BE102" s="897">
        <f>'Energy NPV'!$U27</f>
        <v>0</v>
      </c>
      <c r="BF102" s="197"/>
      <c r="BG102" s="197">
        <f t="shared" si="227"/>
        <v>0</v>
      </c>
      <c r="BH102" s="197">
        <f t="shared" si="207"/>
        <v>0</v>
      </c>
      <c r="BI102" s="197">
        <f t="shared" si="208"/>
        <v>220</v>
      </c>
      <c r="BJ102" s="1008">
        <f t="shared" si="228"/>
        <v>0</v>
      </c>
      <c r="BK102" s="1011">
        <f t="shared" si="229"/>
        <v>166.73250540942368</v>
      </c>
      <c r="BL102" s="1011">
        <f t="shared" si="230"/>
        <v>0</v>
      </c>
      <c r="BM102" s="1011">
        <f t="shared" si="231"/>
        <v>0</v>
      </c>
      <c r="BN102" s="1013">
        <f t="shared" si="232"/>
        <v>166.73250540942368</v>
      </c>
      <c r="BO102" s="196">
        <f t="shared" si="257"/>
        <v>5701.6445610094597</v>
      </c>
      <c r="BP102" s="197">
        <f t="shared" si="233"/>
        <v>2883.3747295288163</v>
      </c>
      <c r="BQ102" s="197">
        <f t="shared" si="233"/>
        <v>3961.8864518366281</v>
      </c>
      <c r="BR102" s="197">
        <f t="shared" si="233"/>
        <v>1739.7581091728314</v>
      </c>
      <c r="BS102" s="199">
        <f t="shared" si="233"/>
        <v>4623.1328387016474</v>
      </c>
      <c r="BT102" s="197"/>
      <c r="BV102" s="204">
        <f t="shared" si="258"/>
        <v>15</v>
      </c>
      <c r="BW102" s="746">
        <f>'Energy NPV'!$D27</f>
        <v>0</v>
      </c>
      <c r="BX102" s="197">
        <f>'Energy margins'!$E$12</f>
        <v>55</v>
      </c>
      <c r="BY102" s="197">
        <f t="shared" si="259"/>
        <v>0</v>
      </c>
      <c r="BZ102" s="197">
        <f>'Margins summary'!$Q$14</f>
        <v>220</v>
      </c>
      <c r="CA102" s="197">
        <f t="shared" si="234"/>
        <v>220</v>
      </c>
      <c r="CB102" s="197"/>
      <c r="CC102" s="897">
        <f>'Energy NPV'!$U27</f>
        <v>0</v>
      </c>
      <c r="CD102" s="197"/>
      <c r="CE102" s="197">
        <f t="shared" si="235"/>
        <v>0</v>
      </c>
      <c r="CF102" s="197">
        <f t="shared" si="209"/>
        <v>0</v>
      </c>
      <c r="CG102" s="197">
        <f t="shared" si="210"/>
        <v>220</v>
      </c>
      <c r="CH102" s="1008">
        <f t="shared" si="236"/>
        <v>0</v>
      </c>
      <c r="CI102" s="1011">
        <f t="shared" si="260"/>
        <v>74.901429099895452</v>
      </c>
      <c r="CJ102" s="1011">
        <f t="shared" si="237"/>
        <v>0</v>
      </c>
      <c r="CK102" s="1011">
        <f t="shared" si="238"/>
        <v>0</v>
      </c>
      <c r="CL102" s="1013">
        <f t="shared" si="239"/>
        <v>74.901429099895452</v>
      </c>
      <c r="CM102" s="196">
        <f t="shared" si="261"/>
        <v>3830.2515795731952</v>
      </c>
      <c r="CN102" s="197">
        <f t="shared" si="240"/>
        <v>2033.7321362513057</v>
      </c>
      <c r="CO102" s="197">
        <f t="shared" si="240"/>
        <v>3267.785036015177</v>
      </c>
      <c r="CP102" s="197">
        <f t="shared" si="240"/>
        <v>562.4665435580182</v>
      </c>
      <c r="CQ102" s="199">
        <f t="shared" si="240"/>
        <v>2596.1986798093235</v>
      </c>
      <c r="CR102" s="197"/>
      <c r="CT102" s="204">
        <f t="shared" si="262"/>
        <v>15</v>
      </c>
      <c r="CU102" s="746">
        <f>'Energy NPV'!$D27</f>
        <v>0</v>
      </c>
      <c r="CV102" s="197">
        <f>'Energy margins'!$E$12</f>
        <v>55</v>
      </c>
      <c r="CW102" s="197">
        <f t="shared" si="263"/>
        <v>0</v>
      </c>
      <c r="CX102" s="197">
        <f>'Margins summary'!$Q$14</f>
        <v>220</v>
      </c>
      <c r="CY102" s="197">
        <f t="shared" si="241"/>
        <v>220</v>
      </c>
      <c r="CZ102" s="197"/>
      <c r="DA102" s="897">
        <f>'Energy NPV'!$U27</f>
        <v>0</v>
      </c>
      <c r="DB102" s="197"/>
      <c r="DC102" s="197">
        <f t="shared" si="242"/>
        <v>0</v>
      </c>
      <c r="DD102" s="197">
        <f t="shared" si="211"/>
        <v>0</v>
      </c>
      <c r="DE102" s="197">
        <f t="shared" si="212"/>
        <v>220</v>
      </c>
      <c r="DF102" s="1008">
        <f t="shared" si="243"/>
        <v>0</v>
      </c>
      <c r="DG102" s="1011">
        <f t="shared" si="244"/>
        <v>220</v>
      </c>
      <c r="DH102" s="1011">
        <f t="shared" si="245"/>
        <v>0</v>
      </c>
      <c r="DI102" s="1011">
        <f t="shared" si="246"/>
        <v>0</v>
      </c>
      <c r="DJ102" s="1013">
        <f t="shared" si="247"/>
        <v>220</v>
      </c>
      <c r="DK102" s="196">
        <f t="shared" si="264"/>
        <v>6600</v>
      </c>
      <c r="DL102" s="197">
        <f t="shared" si="248"/>
        <v>3300</v>
      </c>
      <c r="DM102" s="197">
        <f t="shared" si="248"/>
        <v>4292.6249999999991</v>
      </c>
      <c r="DN102" s="197">
        <f t="shared" si="248"/>
        <v>2307.3750000000005</v>
      </c>
      <c r="DO102" s="199">
        <f t="shared" si="248"/>
        <v>5607.3750000000009</v>
      </c>
    </row>
    <row r="103" spans="2:119" x14ac:dyDescent="0.3">
      <c r="B103" s="206">
        <f t="shared" si="249"/>
        <v>16</v>
      </c>
      <c r="C103" s="215">
        <f>'Energy NPV'!$D28</f>
        <v>30</v>
      </c>
      <c r="D103" s="207">
        <f>'Energy margins'!$E$12</f>
        <v>55</v>
      </c>
      <c r="E103" s="207">
        <f t="shared" si="250"/>
        <v>1650</v>
      </c>
      <c r="F103" s="207">
        <f>'Margins summary'!$Q$14</f>
        <v>220</v>
      </c>
      <c r="G103" s="207">
        <f t="shared" si="213"/>
        <v>1870</v>
      </c>
      <c r="H103" s="207"/>
      <c r="I103" s="898">
        <f>'Energy NPV'!$U28</f>
        <v>592.40499999999997</v>
      </c>
      <c r="J103" s="207">
        <f>'Energy margins'!$J$67</f>
        <v>170</v>
      </c>
      <c r="K103" s="207">
        <f t="shared" si="214"/>
        <v>762.40499999999997</v>
      </c>
      <c r="L103" s="207">
        <f t="shared" si="203"/>
        <v>887.59500000000003</v>
      </c>
      <c r="M103" s="207">
        <f t="shared" si="204"/>
        <v>1107.595</v>
      </c>
      <c r="N103" s="1009">
        <f t="shared" si="215"/>
        <v>916.18642947690341</v>
      </c>
      <c r="O103" s="748">
        <f t="shared" si="215"/>
        <v>122.15819059692046</v>
      </c>
      <c r="P103" s="748">
        <f t="shared" si="216"/>
        <v>423.33643319111428</v>
      </c>
      <c r="Q103" s="748">
        <f t="shared" si="216"/>
        <v>492.84999628578919</v>
      </c>
      <c r="R103" s="1014">
        <f>M103/((1+$B$4)^($B103-1))</f>
        <v>615.00818688270965</v>
      </c>
      <c r="S103" s="208">
        <f t="shared" si="251"/>
        <v>5876.9026342508314</v>
      </c>
      <c r="T103" s="207">
        <f t="shared" si="217"/>
        <v>2666.045235076986</v>
      </c>
      <c r="U103" s="207">
        <f t="shared" si="217"/>
        <v>4111.4229907520166</v>
      </c>
      <c r="V103" s="207">
        <f t="shared" si="217"/>
        <v>1765.4796434988143</v>
      </c>
      <c r="W103" s="209">
        <f t="shared" si="217"/>
        <v>4431.5248785758004</v>
      </c>
      <c r="X103" s="197"/>
      <c r="Z103" s="206">
        <f t="shared" si="252"/>
        <v>16</v>
      </c>
      <c r="AA103" s="215">
        <f>'Energy NPV'!$D28</f>
        <v>30</v>
      </c>
      <c r="AB103" s="207">
        <f>'Energy margins'!$E$12</f>
        <v>55</v>
      </c>
      <c r="AC103" s="207">
        <f t="shared" si="253"/>
        <v>1650</v>
      </c>
      <c r="AD103" s="207">
        <f>'Margins summary'!$Q$14</f>
        <v>220</v>
      </c>
      <c r="AE103" s="207">
        <f t="shared" si="218"/>
        <v>1870</v>
      </c>
      <c r="AF103" s="207"/>
      <c r="AG103" s="898">
        <f>'Energy NPV'!$U28</f>
        <v>592.40499999999997</v>
      </c>
      <c r="AH103" s="207">
        <f>'Energy margins'!$J$67</f>
        <v>170</v>
      </c>
      <c r="AI103" s="207">
        <f t="shared" si="219"/>
        <v>762.40499999999997</v>
      </c>
      <c r="AJ103" s="207">
        <f t="shared" si="205"/>
        <v>887.59500000000003</v>
      </c>
      <c r="AK103" s="207">
        <f t="shared" si="206"/>
        <v>1107.595</v>
      </c>
      <c r="AL103" s="1009">
        <f t="shared" si="220"/>
        <v>688.48735021364155</v>
      </c>
      <c r="AM103" s="748">
        <f t="shared" si="221"/>
        <v>91.79831336181887</v>
      </c>
      <c r="AN103" s="748">
        <f t="shared" si="222"/>
        <v>318.12496863007965</v>
      </c>
      <c r="AO103" s="748">
        <f t="shared" si="223"/>
        <v>370.36238158356196</v>
      </c>
      <c r="AP103" s="1014">
        <f>AK103/((1+$C$4)^($Z103-1))</f>
        <v>462.16069494538084</v>
      </c>
      <c r="AQ103" s="208">
        <f>AQ102+AL103</f>
        <v>5033.6759736689974</v>
      </c>
      <c r="AR103" s="207">
        <f t="shared" si="225"/>
        <v>2356.6947773030165</v>
      </c>
      <c r="AS103" s="207">
        <f t="shared" si="225"/>
        <v>3777.8225151713691</v>
      </c>
      <c r="AT103" s="207">
        <f t="shared" si="225"/>
        <v>1255.8534584976278</v>
      </c>
      <c r="AU103" s="209">
        <f t="shared" si="225"/>
        <v>3612.5482358006439</v>
      </c>
      <c r="AV103" s="197"/>
      <c r="AX103" s="206">
        <f t="shared" si="255"/>
        <v>16</v>
      </c>
      <c r="AY103" s="215">
        <f>'Energy NPV'!$D28</f>
        <v>30</v>
      </c>
      <c r="AZ103" s="207">
        <f>'Energy margins'!$E$12</f>
        <v>55</v>
      </c>
      <c r="BA103" s="207">
        <f t="shared" si="256"/>
        <v>1650</v>
      </c>
      <c r="BB103" s="207">
        <f>'Margins summary'!$Q$14</f>
        <v>220</v>
      </c>
      <c r="BC103" s="207">
        <f t="shared" si="226"/>
        <v>1870</v>
      </c>
      <c r="BD103" s="207"/>
      <c r="BE103" s="898">
        <f>'Energy NPV'!$U28</f>
        <v>592.40499999999997</v>
      </c>
      <c r="BF103" s="207">
        <f>'Energy margins'!$J$67</f>
        <v>170</v>
      </c>
      <c r="BG103" s="207">
        <f t="shared" si="227"/>
        <v>762.40499999999997</v>
      </c>
      <c r="BH103" s="207">
        <f t="shared" si="207"/>
        <v>887.59500000000003</v>
      </c>
      <c r="BI103" s="207">
        <f t="shared" si="208"/>
        <v>1107.595</v>
      </c>
      <c r="BJ103" s="1009">
        <f t="shared" si="228"/>
        <v>1225.9743044810568</v>
      </c>
      <c r="BK103" s="748">
        <f t="shared" si="229"/>
        <v>163.46324059747425</v>
      </c>
      <c r="BL103" s="748">
        <f t="shared" si="230"/>
        <v>566.47814521689702</v>
      </c>
      <c r="BM103" s="748">
        <f t="shared" si="231"/>
        <v>659.49615926415981</v>
      </c>
      <c r="BN103" s="1014">
        <f>BI103/((1+$D$4)^($AX103-1))</f>
        <v>822.9593998616341</v>
      </c>
      <c r="BO103" s="208">
        <f t="shared" si="257"/>
        <v>6927.6188654905163</v>
      </c>
      <c r="BP103" s="207">
        <f t="shared" si="233"/>
        <v>3046.8379701262907</v>
      </c>
      <c r="BQ103" s="207">
        <f t="shared" si="233"/>
        <v>4528.3645970535254</v>
      </c>
      <c r="BR103" s="207">
        <f t="shared" si="233"/>
        <v>2399.254268436991</v>
      </c>
      <c r="BS103" s="209">
        <f t="shared" si="233"/>
        <v>5446.0922385632812</v>
      </c>
      <c r="BT103" s="197"/>
      <c r="BV103" s="206">
        <f t="shared" si="258"/>
        <v>16</v>
      </c>
      <c r="BW103" s="215">
        <f>'Energy NPV'!$D28</f>
        <v>30</v>
      </c>
      <c r="BX103" s="207">
        <f>'Energy margins'!$E$12</f>
        <v>55</v>
      </c>
      <c r="BY103" s="207">
        <f t="shared" si="259"/>
        <v>1650</v>
      </c>
      <c r="BZ103" s="207">
        <f>'Margins summary'!$Q$14</f>
        <v>220</v>
      </c>
      <c r="CA103" s="207">
        <f t="shared" si="234"/>
        <v>1870</v>
      </c>
      <c r="CB103" s="207"/>
      <c r="CC103" s="898">
        <f>'Energy NPV'!$U28</f>
        <v>592.40499999999997</v>
      </c>
      <c r="CD103" s="207">
        <f>'Energy margins'!$J$67</f>
        <v>170</v>
      </c>
      <c r="CE103" s="207">
        <f t="shared" si="235"/>
        <v>762.40499999999997</v>
      </c>
      <c r="CF103" s="207">
        <f t="shared" si="209"/>
        <v>887.59500000000003</v>
      </c>
      <c r="CG103" s="207">
        <f t="shared" si="210"/>
        <v>1107.595</v>
      </c>
      <c r="CH103" s="1009">
        <f t="shared" si="236"/>
        <v>520.14881319371841</v>
      </c>
      <c r="CI103" s="748">
        <f t="shared" si="260"/>
        <v>69.353175092495789</v>
      </c>
      <c r="CJ103" s="748">
        <f t="shared" si="237"/>
        <v>240.34185207451932</v>
      </c>
      <c r="CK103" s="748">
        <f t="shared" si="238"/>
        <v>279.80696111919912</v>
      </c>
      <c r="CL103" s="1014">
        <f>CG103/((1+$E$4)^($BV103-1))</f>
        <v>349.16013621169492</v>
      </c>
      <c r="CM103" s="208">
        <f t="shared" si="261"/>
        <v>4350.4003927669137</v>
      </c>
      <c r="CN103" s="207">
        <f t="shared" si="240"/>
        <v>2103.0853113438015</v>
      </c>
      <c r="CO103" s="207">
        <f t="shared" si="240"/>
        <v>3508.1268880896964</v>
      </c>
      <c r="CP103" s="207">
        <f t="shared" si="240"/>
        <v>842.27350467721726</v>
      </c>
      <c r="CQ103" s="209">
        <f t="shared" si="240"/>
        <v>2945.3588160210184</v>
      </c>
      <c r="CR103" s="197"/>
      <c r="CT103" s="206">
        <f t="shared" si="262"/>
        <v>16</v>
      </c>
      <c r="CU103" s="215">
        <f>'Energy NPV'!$D28</f>
        <v>30</v>
      </c>
      <c r="CV103" s="207">
        <f>'Energy margins'!$E$12</f>
        <v>55</v>
      </c>
      <c r="CW103" s="207">
        <f t="shared" si="263"/>
        <v>1650</v>
      </c>
      <c r="CX103" s="207">
        <f>'Margins summary'!$Q$14</f>
        <v>220</v>
      </c>
      <c r="CY103" s="207">
        <f t="shared" si="241"/>
        <v>1870</v>
      </c>
      <c r="CZ103" s="207"/>
      <c r="DA103" s="898">
        <f>'Energy NPV'!$U28</f>
        <v>592.40499999999997</v>
      </c>
      <c r="DB103" s="207">
        <f>'Energy margins'!$J$67</f>
        <v>170</v>
      </c>
      <c r="DC103" s="207">
        <f t="shared" si="242"/>
        <v>762.40499999999997</v>
      </c>
      <c r="DD103" s="207">
        <f t="shared" si="211"/>
        <v>887.59500000000003</v>
      </c>
      <c r="DE103" s="207">
        <f t="shared" si="212"/>
        <v>1107.595</v>
      </c>
      <c r="DF103" s="1009">
        <f t="shared" si="243"/>
        <v>1650</v>
      </c>
      <c r="DG103" s="748">
        <f t="shared" si="244"/>
        <v>220</v>
      </c>
      <c r="DH103" s="748">
        <f t="shared" si="245"/>
        <v>762.40499999999997</v>
      </c>
      <c r="DI103" s="748">
        <f t="shared" si="246"/>
        <v>887.59500000000003</v>
      </c>
      <c r="DJ103" s="1014">
        <f>DE103/((1+$F$4)^($CT103-1))</f>
        <v>1107.595</v>
      </c>
      <c r="DK103" s="208">
        <f t="shared" si="264"/>
        <v>8250</v>
      </c>
      <c r="DL103" s="207">
        <f t="shared" si="248"/>
        <v>3520</v>
      </c>
      <c r="DM103" s="207">
        <f t="shared" si="248"/>
        <v>5055.0299999999988</v>
      </c>
      <c r="DN103" s="207">
        <f t="shared" si="248"/>
        <v>3194.9700000000003</v>
      </c>
      <c r="DO103" s="209">
        <f t="shared" si="248"/>
        <v>6714.9700000000012</v>
      </c>
    </row>
    <row r="109" spans="2:119" x14ac:dyDescent="0.3">
      <c r="B109" s="211" t="s">
        <v>95</v>
      </c>
      <c r="C109" s="750" t="s">
        <v>433</v>
      </c>
      <c r="D109" s="269" t="s">
        <v>418</v>
      </c>
      <c r="E109" s="194"/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Z109" s="211" t="s">
        <v>95</v>
      </c>
      <c r="AA109" s="211" t="s">
        <v>441</v>
      </c>
      <c r="AB109" s="756"/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X109" s="211" t="s">
        <v>95</v>
      </c>
      <c r="AY109" s="211" t="s">
        <v>440</v>
      </c>
      <c r="AZ109" s="231"/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V109" s="211" t="s">
        <v>95</v>
      </c>
      <c r="BW109" s="211" t="s">
        <v>439</v>
      </c>
      <c r="BX109" s="231"/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T109" s="211" t="s">
        <v>95</v>
      </c>
      <c r="CU109" s="211" t="s">
        <v>438</v>
      </c>
      <c r="CV109" s="231"/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124"/>
      <c r="F110" s="1124"/>
      <c r="G110" s="1124"/>
      <c r="H110" s="148"/>
      <c r="I110" s="910"/>
      <c r="J110" s="1124"/>
      <c r="K110" s="1124"/>
      <c r="L110" s="148"/>
      <c r="M110" s="148"/>
      <c r="N110" s="1125" t="s">
        <v>279</v>
      </c>
      <c r="O110" s="1126"/>
      <c r="P110" s="1126"/>
      <c r="Q110" s="1126"/>
      <c r="R110" s="1127"/>
      <c r="S110" s="1125" t="s">
        <v>280</v>
      </c>
      <c r="T110" s="1126"/>
      <c r="U110" s="1126"/>
      <c r="V110" s="1126"/>
      <c r="W110" s="1127"/>
      <c r="X110" s="984"/>
      <c r="Z110" s="203"/>
      <c r="AA110" s="148"/>
      <c r="AB110" s="148"/>
      <c r="AC110" s="1124"/>
      <c r="AD110" s="1124"/>
      <c r="AE110" s="1124"/>
      <c r="AF110" s="148"/>
      <c r="AG110" s="910"/>
      <c r="AH110" s="1124"/>
      <c r="AI110" s="1124"/>
      <c r="AJ110" s="148"/>
      <c r="AK110" s="148"/>
      <c r="AL110" s="1125" t="s">
        <v>279</v>
      </c>
      <c r="AM110" s="1126"/>
      <c r="AN110" s="1126"/>
      <c r="AO110" s="1126"/>
      <c r="AP110" s="1127"/>
      <c r="AQ110" s="1125" t="s">
        <v>280</v>
      </c>
      <c r="AR110" s="1126"/>
      <c r="AS110" s="1126"/>
      <c r="AT110" s="1126"/>
      <c r="AU110" s="1127"/>
      <c r="AV110" s="984"/>
      <c r="AX110" s="203"/>
      <c r="AY110" s="148"/>
      <c r="AZ110" s="148"/>
      <c r="BA110" s="1124"/>
      <c r="BB110" s="1124"/>
      <c r="BC110" s="1124"/>
      <c r="BD110" s="148"/>
      <c r="BE110" s="910"/>
      <c r="BF110" s="1124"/>
      <c r="BG110" s="1124"/>
      <c r="BH110" s="148"/>
      <c r="BI110" s="148"/>
      <c r="BJ110" s="1125" t="s">
        <v>279</v>
      </c>
      <c r="BK110" s="1126"/>
      <c r="BL110" s="1126"/>
      <c r="BM110" s="1126"/>
      <c r="BN110" s="1127"/>
      <c r="BO110" s="1125" t="s">
        <v>280</v>
      </c>
      <c r="BP110" s="1126"/>
      <c r="BQ110" s="1126"/>
      <c r="BR110" s="1126"/>
      <c r="BS110" s="1127"/>
      <c r="BT110" s="984"/>
      <c r="BV110" s="203"/>
      <c r="BW110" s="148"/>
      <c r="BX110" s="148"/>
      <c r="BY110" s="1124"/>
      <c r="BZ110" s="1124"/>
      <c r="CA110" s="1124"/>
      <c r="CB110" s="148"/>
      <c r="CC110" s="910"/>
      <c r="CD110" s="1124"/>
      <c r="CE110" s="1124"/>
      <c r="CF110" s="148"/>
      <c r="CG110" s="148"/>
      <c r="CH110" s="1125" t="s">
        <v>279</v>
      </c>
      <c r="CI110" s="1126"/>
      <c r="CJ110" s="1126"/>
      <c r="CK110" s="1126"/>
      <c r="CL110" s="1127"/>
      <c r="CM110" s="1125" t="s">
        <v>280</v>
      </c>
      <c r="CN110" s="1126"/>
      <c r="CO110" s="1126"/>
      <c r="CP110" s="1126"/>
      <c r="CQ110" s="1127"/>
      <c r="CR110" s="984"/>
      <c r="CT110" s="203"/>
      <c r="CU110" s="148"/>
      <c r="CV110" s="148"/>
      <c r="CW110" s="1124"/>
      <c r="CX110" s="1124"/>
      <c r="CY110" s="1124"/>
      <c r="CZ110" s="148"/>
      <c r="DA110" s="910"/>
      <c r="DB110" s="1124"/>
      <c r="DC110" s="1124"/>
      <c r="DD110" s="148"/>
      <c r="DE110" s="148"/>
      <c r="DF110" s="1125" t="s">
        <v>279</v>
      </c>
      <c r="DG110" s="1126"/>
      <c r="DH110" s="1126"/>
      <c r="DI110" s="1126"/>
      <c r="DJ110" s="1127"/>
      <c r="DK110" s="1125" t="s">
        <v>280</v>
      </c>
      <c r="DL110" s="1126"/>
      <c r="DM110" s="1126"/>
      <c r="DN110" s="1126"/>
      <c r="DO110" s="1127"/>
    </row>
    <row r="111" spans="2:119" ht="51" x14ac:dyDescent="0.3">
      <c r="B111" s="204" t="s">
        <v>281</v>
      </c>
      <c r="C111" s="205" t="s">
        <v>307</v>
      </c>
      <c r="D111" s="205" t="s">
        <v>308</v>
      </c>
      <c r="E111" s="171" t="s">
        <v>283</v>
      </c>
      <c r="F111" s="171" t="s">
        <v>10</v>
      </c>
      <c r="G111" s="171" t="s">
        <v>284</v>
      </c>
      <c r="H111" s="205" t="s">
        <v>305</v>
      </c>
      <c r="I111" s="914" t="s">
        <v>306</v>
      </c>
      <c r="J111" s="205" t="s">
        <v>309</v>
      </c>
      <c r="K111" s="171" t="s">
        <v>287</v>
      </c>
      <c r="L111" s="171" t="s">
        <v>288</v>
      </c>
      <c r="M111" s="171" t="s">
        <v>289</v>
      </c>
      <c r="N111" s="195" t="s">
        <v>290</v>
      </c>
      <c r="O111" s="171" t="s">
        <v>291</v>
      </c>
      <c r="P111" s="171" t="s">
        <v>292</v>
      </c>
      <c r="Q111" s="171" t="s">
        <v>293</v>
      </c>
      <c r="R111" s="198" t="s">
        <v>294</v>
      </c>
      <c r="S111" s="195" t="s">
        <v>295</v>
      </c>
      <c r="T111" s="171" t="s">
        <v>296</v>
      </c>
      <c r="U111" s="171" t="s">
        <v>297</v>
      </c>
      <c r="V111" s="171" t="s">
        <v>298</v>
      </c>
      <c r="W111" s="198" t="s">
        <v>299</v>
      </c>
      <c r="X111" s="171"/>
      <c r="Z111" s="204" t="s">
        <v>281</v>
      </c>
      <c r="AA111" s="205" t="s">
        <v>307</v>
      </c>
      <c r="AB111" s="205" t="s">
        <v>308</v>
      </c>
      <c r="AC111" s="171" t="s">
        <v>283</v>
      </c>
      <c r="AD111" s="171" t="s">
        <v>10</v>
      </c>
      <c r="AE111" s="171" t="s">
        <v>284</v>
      </c>
      <c r="AF111" s="205" t="s">
        <v>305</v>
      </c>
      <c r="AG111" s="914" t="s">
        <v>306</v>
      </c>
      <c r="AH111" s="205" t="s">
        <v>309</v>
      </c>
      <c r="AI111" s="171" t="s">
        <v>287</v>
      </c>
      <c r="AJ111" s="171" t="s">
        <v>288</v>
      </c>
      <c r="AK111" s="171" t="s">
        <v>289</v>
      </c>
      <c r="AL111" s="195" t="s">
        <v>290</v>
      </c>
      <c r="AM111" s="171" t="s">
        <v>291</v>
      </c>
      <c r="AN111" s="171" t="s">
        <v>292</v>
      </c>
      <c r="AO111" s="171" t="s">
        <v>293</v>
      </c>
      <c r="AP111" s="198" t="s">
        <v>294</v>
      </c>
      <c r="AQ111" s="195" t="s">
        <v>295</v>
      </c>
      <c r="AR111" s="171" t="s">
        <v>296</v>
      </c>
      <c r="AS111" s="171" t="s">
        <v>297</v>
      </c>
      <c r="AT111" s="171" t="s">
        <v>298</v>
      </c>
      <c r="AU111" s="198" t="s">
        <v>299</v>
      </c>
      <c r="AV111" s="171"/>
      <c r="AX111" s="204" t="s">
        <v>281</v>
      </c>
      <c r="AY111" s="205" t="s">
        <v>307</v>
      </c>
      <c r="AZ111" s="205" t="s">
        <v>308</v>
      </c>
      <c r="BA111" s="171" t="s">
        <v>283</v>
      </c>
      <c r="BB111" s="171" t="s">
        <v>10</v>
      </c>
      <c r="BC111" s="171" t="s">
        <v>284</v>
      </c>
      <c r="BD111" s="205" t="s">
        <v>305</v>
      </c>
      <c r="BE111" s="914" t="s">
        <v>306</v>
      </c>
      <c r="BF111" s="205" t="s">
        <v>309</v>
      </c>
      <c r="BG111" s="171" t="s">
        <v>287</v>
      </c>
      <c r="BH111" s="171" t="s">
        <v>288</v>
      </c>
      <c r="BI111" s="171" t="s">
        <v>289</v>
      </c>
      <c r="BJ111" s="195" t="s">
        <v>290</v>
      </c>
      <c r="BK111" s="171" t="s">
        <v>291</v>
      </c>
      <c r="BL111" s="171" t="s">
        <v>292</v>
      </c>
      <c r="BM111" s="171" t="s">
        <v>293</v>
      </c>
      <c r="BN111" s="198" t="s">
        <v>294</v>
      </c>
      <c r="BO111" s="195" t="s">
        <v>295</v>
      </c>
      <c r="BP111" s="171" t="s">
        <v>296</v>
      </c>
      <c r="BQ111" s="171" t="s">
        <v>297</v>
      </c>
      <c r="BR111" s="171" t="s">
        <v>298</v>
      </c>
      <c r="BS111" s="198" t="s">
        <v>299</v>
      </c>
      <c r="BT111" s="171"/>
      <c r="BV111" s="204" t="s">
        <v>281</v>
      </c>
      <c r="BW111" s="205" t="s">
        <v>307</v>
      </c>
      <c r="BX111" s="205" t="s">
        <v>308</v>
      </c>
      <c r="BY111" s="171" t="s">
        <v>283</v>
      </c>
      <c r="BZ111" s="171" t="s">
        <v>10</v>
      </c>
      <c r="CA111" s="171" t="s">
        <v>284</v>
      </c>
      <c r="CB111" s="205" t="s">
        <v>305</v>
      </c>
      <c r="CC111" s="914" t="s">
        <v>306</v>
      </c>
      <c r="CD111" s="205" t="s">
        <v>309</v>
      </c>
      <c r="CE111" s="171" t="s">
        <v>287</v>
      </c>
      <c r="CF111" s="171" t="s">
        <v>288</v>
      </c>
      <c r="CG111" s="171" t="s">
        <v>289</v>
      </c>
      <c r="CH111" s="195" t="s">
        <v>290</v>
      </c>
      <c r="CI111" s="171" t="s">
        <v>291</v>
      </c>
      <c r="CJ111" s="171" t="s">
        <v>292</v>
      </c>
      <c r="CK111" s="171" t="s">
        <v>293</v>
      </c>
      <c r="CL111" s="198" t="s">
        <v>294</v>
      </c>
      <c r="CM111" s="195" t="s">
        <v>295</v>
      </c>
      <c r="CN111" s="171" t="s">
        <v>296</v>
      </c>
      <c r="CO111" s="171" t="s">
        <v>297</v>
      </c>
      <c r="CP111" s="171" t="s">
        <v>298</v>
      </c>
      <c r="CQ111" s="198" t="s">
        <v>299</v>
      </c>
      <c r="CR111" s="171"/>
      <c r="CT111" s="204" t="s">
        <v>281</v>
      </c>
      <c r="CU111" s="205" t="s">
        <v>307</v>
      </c>
      <c r="CV111" s="205" t="s">
        <v>308</v>
      </c>
      <c r="CW111" s="171" t="s">
        <v>283</v>
      </c>
      <c r="CX111" s="171" t="s">
        <v>10</v>
      </c>
      <c r="CY111" s="171" t="s">
        <v>284</v>
      </c>
      <c r="CZ111" s="205" t="s">
        <v>305</v>
      </c>
      <c r="DA111" s="914" t="s">
        <v>306</v>
      </c>
      <c r="DB111" s="205" t="s">
        <v>309</v>
      </c>
      <c r="DC111" s="171" t="s">
        <v>287</v>
      </c>
      <c r="DD111" s="171" t="s">
        <v>288</v>
      </c>
      <c r="DE111" s="171" t="s">
        <v>289</v>
      </c>
      <c r="DF111" s="195" t="s">
        <v>290</v>
      </c>
      <c r="DG111" s="171" t="s">
        <v>291</v>
      </c>
      <c r="DH111" s="171" t="s">
        <v>292</v>
      </c>
      <c r="DI111" s="171" t="s">
        <v>293</v>
      </c>
      <c r="DJ111" s="198" t="s">
        <v>294</v>
      </c>
      <c r="DK111" s="195" t="s">
        <v>295</v>
      </c>
      <c r="DL111" s="171" t="s">
        <v>296</v>
      </c>
      <c r="DM111" s="171" t="s">
        <v>297</v>
      </c>
      <c r="DN111" s="171" t="s">
        <v>298</v>
      </c>
      <c r="DO111" s="198" t="s">
        <v>299</v>
      </c>
    </row>
    <row r="112" spans="2:119" x14ac:dyDescent="0.3">
      <c r="B112" s="173"/>
      <c r="C112" s="226" t="s">
        <v>356</v>
      </c>
      <c r="D112" s="226" t="s">
        <v>476</v>
      </c>
      <c r="E112" s="201" t="s">
        <v>474</v>
      </c>
      <c r="F112" s="201" t="s">
        <v>474</v>
      </c>
      <c r="G112" s="201" t="s">
        <v>474</v>
      </c>
      <c r="H112" s="201" t="s">
        <v>474</v>
      </c>
      <c r="I112" s="948" t="s">
        <v>474</v>
      </c>
      <c r="J112" s="201" t="s">
        <v>474</v>
      </c>
      <c r="K112" s="201" t="s">
        <v>474</v>
      </c>
      <c r="L112" s="201" t="s">
        <v>474</v>
      </c>
      <c r="M112" s="202" t="s">
        <v>474</v>
      </c>
      <c r="N112" s="201" t="s">
        <v>474</v>
      </c>
      <c r="O112" s="201" t="s">
        <v>474</v>
      </c>
      <c r="P112" s="201" t="s">
        <v>474</v>
      </c>
      <c r="Q112" s="201" t="s">
        <v>474</v>
      </c>
      <c r="R112" s="202" t="s">
        <v>474</v>
      </c>
      <c r="S112" s="201" t="s">
        <v>474</v>
      </c>
      <c r="T112" s="201" t="s">
        <v>474</v>
      </c>
      <c r="U112" s="201" t="s">
        <v>474</v>
      </c>
      <c r="V112" s="201" t="s">
        <v>474</v>
      </c>
      <c r="W112" s="202" t="s">
        <v>474</v>
      </c>
      <c r="X112" s="985"/>
      <c r="Z112" s="173"/>
      <c r="AA112" s="226" t="s">
        <v>356</v>
      </c>
      <c r="AB112" s="226" t="s">
        <v>476</v>
      </c>
      <c r="AC112" s="201" t="s">
        <v>474</v>
      </c>
      <c r="AD112" s="201" t="s">
        <v>474</v>
      </c>
      <c r="AE112" s="201" t="s">
        <v>474</v>
      </c>
      <c r="AF112" s="201" t="s">
        <v>474</v>
      </c>
      <c r="AG112" s="948" t="s">
        <v>474</v>
      </c>
      <c r="AH112" s="201" t="s">
        <v>474</v>
      </c>
      <c r="AI112" s="201" t="s">
        <v>474</v>
      </c>
      <c r="AJ112" s="201" t="s">
        <v>474</v>
      </c>
      <c r="AK112" s="202" t="s">
        <v>474</v>
      </c>
      <c r="AL112" s="201" t="s">
        <v>474</v>
      </c>
      <c r="AM112" s="201" t="s">
        <v>474</v>
      </c>
      <c r="AN112" s="201" t="s">
        <v>474</v>
      </c>
      <c r="AO112" s="201" t="s">
        <v>474</v>
      </c>
      <c r="AP112" s="202" t="s">
        <v>474</v>
      </c>
      <c r="AQ112" s="201" t="s">
        <v>474</v>
      </c>
      <c r="AR112" s="201" t="s">
        <v>474</v>
      </c>
      <c r="AS112" s="201" t="s">
        <v>474</v>
      </c>
      <c r="AT112" s="201" t="s">
        <v>474</v>
      </c>
      <c r="AU112" s="202" t="s">
        <v>474</v>
      </c>
      <c r="AV112" s="985"/>
      <c r="AX112" s="173"/>
      <c r="AY112" s="226" t="s">
        <v>356</v>
      </c>
      <c r="AZ112" s="226" t="s">
        <v>476</v>
      </c>
      <c r="BA112" s="201" t="s">
        <v>474</v>
      </c>
      <c r="BB112" s="201" t="s">
        <v>474</v>
      </c>
      <c r="BC112" s="201" t="s">
        <v>474</v>
      </c>
      <c r="BD112" s="201" t="s">
        <v>474</v>
      </c>
      <c r="BE112" s="948" t="s">
        <v>474</v>
      </c>
      <c r="BF112" s="201" t="s">
        <v>474</v>
      </c>
      <c r="BG112" s="201" t="s">
        <v>474</v>
      </c>
      <c r="BH112" s="201" t="s">
        <v>474</v>
      </c>
      <c r="BI112" s="202" t="s">
        <v>474</v>
      </c>
      <c r="BJ112" s="201" t="s">
        <v>474</v>
      </c>
      <c r="BK112" s="201" t="s">
        <v>474</v>
      </c>
      <c r="BL112" s="201" t="s">
        <v>474</v>
      </c>
      <c r="BM112" s="201" t="s">
        <v>474</v>
      </c>
      <c r="BN112" s="202" t="s">
        <v>474</v>
      </c>
      <c r="BO112" s="201" t="s">
        <v>474</v>
      </c>
      <c r="BP112" s="201" t="s">
        <v>474</v>
      </c>
      <c r="BQ112" s="201" t="s">
        <v>474</v>
      </c>
      <c r="BR112" s="201" t="s">
        <v>474</v>
      </c>
      <c r="BS112" s="202" t="s">
        <v>474</v>
      </c>
      <c r="BT112" s="985"/>
      <c r="BV112" s="173"/>
      <c r="BW112" s="226" t="s">
        <v>356</v>
      </c>
      <c r="BX112" s="226" t="s">
        <v>476</v>
      </c>
      <c r="BY112" s="201" t="s">
        <v>474</v>
      </c>
      <c r="BZ112" s="201" t="s">
        <v>474</v>
      </c>
      <c r="CA112" s="201" t="s">
        <v>474</v>
      </c>
      <c r="CB112" s="201" t="s">
        <v>474</v>
      </c>
      <c r="CC112" s="948" t="s">
        <v>474</v>
      </c>
      <c r="CD112" s="201" t="s">
        <v>474</v>
      </c>
      <c r="CE112" s="201" t="s">
        <v>474</v>
      </c>
      <c r="CF112" s="201" t="s">
        <v>474</v>
      </c>
      <c r="CG112" s="202" t="s">
        <v>474</v>
      </c>
      <c r="CH112" s="201" t="s">
        <v>474</v>
      </c>
      <c r="CI112" s="201" t="s">
        <v>474</v>
      </c>
      <c r="CJ112" s="201" t="s">
        <v>474</v>
      </c>
      <c r="CK112" s="201" t="s">
        <v>474</v>
      </c>
      <c r="CL112" s="202" t="s">
        <v>474</v>
      </c>
      <c r="CM112" s="201" t="s">
        <v>474</v>
      </c>
      <c r="CN112" s="201" t="s">
        <v>474</v>
      </c>
      <c r="CO112" s="201" t="s">
        <v>474</v>
      </c>
      <c r="CP112" s="201" t="s">
        <v>474</v>
      </c>
      <c r="CQ112" s="202" t="s">
        <v>474</v>
      </c>
      <c r="CR112" s="985"/>
      <c r="CT112" s="173"/>
      <c r="CU112" s="226" t="s">
        <v>356</v>
      </c>
      <c r="CV112" s="226" t="s">
        <v>476</v>
      </c>
      <c r="CW112" s="201" t="s">
        <v>474</v>
      </c>
      <c r="CX112" s="201" t="s">
        <v>474</v>
      </c>
      <c r="CY112" s="201" t="s">
        <v>474</v>
      </c>
      <c r="CZ112" s="201" t="s">
        <v>474</v>
      </c>
      <c r="DA112" s="948" t="s">
        <v>474</v>
      </c>
      <c r="DB112" s="201" t="s">
        <v>474</v>
      </c>
      <c r="DC112" s="201" t="s">
        <v>474</v>
      </c>
      <c r="DD112" s="201" t="s">
        <v>474</v>
      </c>
      <c r="DE112" s="202" t="s">
        <v>474</v>
      </c>
      <c r="DF112" s="201" t="s">
        <v>474</v>
      </c>
      <c r="DG112" s="201" t="s">
        <v>474</v>
      </c>
      <c r="DH112" s="201" t="s">
        <v>474</v>
      </c>
      <c r="DI112" s="201" t="s">
        <v>474</v>
      </c>
      <c r="DJ112" s="202" t="s">
        <v>474</v>
      </c>
      <c r="DK112" s="201" t="s">
        <v>474</v>
      </c>
      <c r="DL112" s="201" t="s">
        <v>474</v>
      </c>
      <c r="DM112" s="201" t="s">
        <v>474</v>
      </c>
      <c r="DN112" s="201" t="s">
        <v>474</v>
      </c>
      <c r="DO112" s="202" t="s">
        <v>474</v>
      </c>
    </row>
    <row r="113" spans="2:119" x14ac:dyDescent="0.3">
      <c r="B113" s="204">
        <v>1</v>
      </c>
      <c r="C113" s="747">
        <f>'Energy NPV'!$D39</f>
        <v>0.6</v>
      </c>
      <c r="D113" s="197">
        <f>'Energy margins'!$L$12</f>
        <v>55</v>
      </c>
      <c r="E113" s="197">
        <f>C113*D113</f>
        <v>33</v>
      </c>
      <c r="F113" s="197">
        <f>'Margins summary'!$S$14</f>
        <v>220</v>
      </c>
      <c r="G113" s="197">
        <f>E113+F113</f>
        <v>253</v>
      </c>
      <c r="H113" s="197">
        <f>'Margins summary'!$R$20</f>
        <v>1993.8119999999999</v>
      </c>
      <c r="I113" s="897">
        <f>'Energy NPV'!U39</f>
        <v>0</v>
      </c>
      <c r="J113" s="197"/>
      <c r="K113" s="197">
        <f>H113+I113+J113</f>
        <v>1993.8119999999999</v>
      </c>
      <c r="L113" s="197">
        <f t="shared" ref="L113:L128" si="265">E113-K113</f>
        <v>-1960.8119999999999</v>
      </c>
      <c r="M113" s="197">
        <f t="shared" ref="M113:M128" si="266">G113-K113</f>
        <v>-1740.8119999999999</v>
      </c>
      <c r="N113" s="1016">
        <f>E113/((1+$B$4)^($B113-1))</f>
        <v>33</v>
      </c>
      <c r="O113" s="213">
        <f>F113/((1+$B$4)^($B113-1))</f>
        <v>220</v>
      </c>
      <c r="P113" s="213">
        <f>K113/((1+$B$4)^($B113-1))</f>
        <v>1993.8119999999999</v>
      </c>
      <c r="Q113" s="213">
        <f>L113/((1+$B$4)^($B113-1))</f>
        <v>-1960.8119999999999</v>
      </c>
      <c r="R113" s="908">
        <f>M113/((1+$B$4)^($B113-1))</f>
        <v>-1740.8119999999999</v>
      </c>
      <c r="S113" s="196">
        <f>N113</f>
        <v>33</v>
      </c>
      <c r="T113" s="197">
        <f>O113</f>
        <v>220</v>
      </c>
      <c r="U113" s="197">
        <f>P113</f>
        <v>1993.8119999999999</v>
      </c>
      <c r="V113" s="197">
        <f>Q113</f>
        <v>-1960.8119999999999</v>
      </c>
      <c r="W113" s="199">
        <f>R113</f>
        <v>-1740.8119999999999</v>
      </c>
      <c r="X113" s="197"/>
      <c r="Z113" s="204">
        <v>1</v>
      </c>
      <c r="AA113" s="747">
        <f>'Energy NPV'!$D39</f>
        <v>0.6</v>
      </c>
      <c r="AB113" s="197">
        <f>'Energy margins'!$L$12</f>
        <v>55</v>
      </c>
      <c r="AC113" s="197">
        <f>AA113*AB113</f>
        <v>33</v>
      </c>
      <c r="AD113" s="197">
        <f>'Margins summary'!$S$14</f>
        <v>220</v>
      </c>
      <c r="AE113" s="197">
        <f>AC113+AD113</f>
        <v>253</v>
      </c>
      <c r="AF113" s="197">
        <f>'Margins summary'!$R$20</f>
        <v>1993.8119999999999</v>
      </c>
      <c r="AG113" s="897">
        <f>'Energy NPV'!U39</f>
        <v>0</v>
      </c>
      <c r="AH113" s="197"/>
      <c r="AI113" s="197">
        <f>AF113+AG113+AH113</f>
        <v>1993.8119999999999</v>
      </c>
      <c r="AJ113" s="197">
        <f t="shared" ref="AJ113:AJ128" si="267">AC113-AI113</f>
        <v>-1960.8119999999999</v>
      </c>
      <c r="AK113" s="197">
        <f t="shared" ref="AK113:AK128" si="268">AE113-AI113</f>
        <v>-1740.8119999999999</v>
      </c>
      <c r="AL113" s="1016">
        <f>AC113/((1+$C$4)^($Z113-1))</f>
        <v>33</v>
      </c>
      <c r="AM113" s="213">
        <f>AD113/((1+$C$4)^($Z113-1))</f>
        <v>220</v>
      </c>
      <c r="AN113" s="213">
        <f>AI113/((1+$C$4)^($Z113-1))</f>
        <v>1993.8119999999999</v>
      </c>
      <c r="AO113" s="213">
        <f>AJ113/((1+$C$4)^($Z113-1))</f>
        <v>-1960.8119999999999</v>
      </c>
      <c r="AP113" s="908">
        <f>AK113/((1+$C$4)^($Z113-1))</f>
        <v>-1740.8119999999999</v>
      </c>
      <c r="AQ113" s="196">
        <f>AL113</f>
        <v>33</v>
      </c>
      <c r="AR113" s="197">
        <f>AM113</f>
        <v>220</v>
      </c>
      <c r="AS113" s="197">
        <f>AN113</f>
        <v>1993.8119999999999</v>
      </c>
      <c r="AT113" s="197">
        <f>AO113</f>
        <v>-1960.8119999999999</v>
      </c>
      <c r="AU113" s="199">
        <f>AP113</f>
        <v>-1740.8119999999999</v>
      </c>
      <c r="AV113" s="197"/>
      <c r="AX113" s="204">
        <v>1</v>
      </c>
      <c r="AY113" s="747">
        <f>'Energy NPV'!$D39</f>
        <v>0.6</v>
      </c>
      <c r="AZ113" s="197">
        <f>'Energy margins'!$L$12</f>
        <v>55</v>
      </c>
      <c r="BA113" s="197">
        <f>AY113*AZ113</f>
        <v>33</v>
      </c>
      <c r="BB113" s="197">
        <f>'Margins summary'!$S$14</f>
        <v>220</v>
      </c>
      <c r="BC113" s="197">
        <f>BA113+BB113</f>
        <v>253</v>
      </c>
      <c r="BD113" s="197">
        <f>'Margins summary'!$R$20</f>
        <v>1993.8119999999999</v>
      </c>
      <c r="BE113" s="897">
        <f>'Energy NPV'!U39</f>
        <v>0</v>
      </c>
      <c r="BF113" s="197"/>
      <c r="BG113" s="197">
        <f>BD113+BE113+BF113</f>
        <v>1993.8119999999999</v>
      </c>
      <c r="BH113" s="197">
        <f t="shared" ref="BH113:BH128" si="269">BA113-BG113</f>
        <v>-1960.8119999999999</v>
      </c>
      <c r="BI113" s="197">
        <f t="shared" ref="BI113:BI128" si="270">BC113-BG113</f>
        <v>-1740.8119999999999</v>
      </c>
      <c r="BJ113" s="1016">
        <f>BA113/((1+$D$4)^($AX113-1))</f>
        <v>33</v>
      </c>
      <c r="BK113" s="213">
        <f>BB113/((1+$D$4)^($AX113-1))</f>
        <v>220</v>
      </c>
      <c r="BL113" s="213">
        <f>BG113/((1+$D$4)^($AX113-1))</f>
        <v>1993.8119999999999</v>
      </c>
      <c r="BM113" s="213">
        <f>BH113/((1+$D$4)^($AX113-1))</f>
        <v>-1960.8119999999999</v>
      </c>
      <c r="BN113" s="908">
        <f>BI113/((1+$D$4)^($AX113-1))</f>
        <v>-1740.8119999999999</v>
      </c>
      <c r="BO113" s="196">
        <f>BJ113</f>
        <v>33</v>
      </c>
      <c r="BP113" s="197">
        <f>BK113</f>
        <v>220</v>
      </c>
      <c r="BQ113" s="197">
        <f>BL113</f>
        <v>1993.8119999999999</v>
      </c>
      <c r="BR113" s="197">
        <f>BM113</f>
        <v>-1960.8119999999999</v>
      </c>
      <c r="BS113" s="199">
        <f>BN113</f>
        <v>-1740.8119999999999</v>
      </c>
      <c r="BT113" s="197"/>
      <c r="BV113" s="204">
        <v>1</v>
      </c>
      <c r="BW113" s="747">
        <f>'Energy NPV'!$D39</f>
        <v>0.6</v>
      </c>
      <c r="BX113" s="197">
        <f>'Energy margins'!$L$12</f>
        <v>55</v>
      </c>
      <c r="BY113" s="197">
        <f>BW113*BX113</f>
        <v>33</v>
      </c>
      <c r="BZ113" s="197">
        <f>'Margins summary'!$S$14</f>
        <v>220</v>
      </c>
      <c r="CA113" s="197">
        <f>BY113+BZ113</f>
        <v>253</v>
      </c>
      <c r="CB113" s="197">
        <f>'Margins summary'!$R$20</f>
        <v>1993.8119999999999</v>
      </c>
      <c r="CC113" s="897">
        <f>'Energy NPV'!U39</f>
        <v>0</v>
      </c>
      <c r="CD113" s="197"/>
      <c r="CE113" s="197">
        <f>CB113+CC113+CD113</f>
        <v>1993.8119999999999</v>
      </c>
      <c r="CF113" s="197">
        <f t="shared" ref="CF113:CF128" si="271">BY113-CE113</f>
        <v>-1960.8119999999999</v>
      </c>
      <c r="CG113" s="197">
        <f t="shared" ref="CG113:CG128" si="272">CA113-CE113</f>
        <v>-1740.8119999999999</v>
      </c>
      <c r="CH113" s="1016">
        <f>BY113/((1+$E$4)^($BV113-1))</f>
        <v>33</v>
      </c>
      <c r="CI113" s="213">
        <f>BZ113/((1+$E$4)^($BV113-1))</f>
        <v>220</v>
      </c>
      <c r="CJ113" s="213">
        <f>CE113/((1+$E$4)^($BV113-1))</f>
        <v>1993.8119999999999</v>
      </c>
      <c r="CK113" s="213">
        <f>CF113/((1+$E$4)^($BV113-1))</f>
        <v>-1960.8119999999999</v>
      </c>
      <c r="CL113" s="908">
        <f>CG113/((1+$E$4)^($BV113-1))</f>
        <v>-1740.8119999999999</v>
      </c>
      <c r="CM113" s="196">
        <f>CH113</f>
        <v>33</v>
      </c>
      <c r="CN113" s="197">
        <f>CI113</f>
        <v>220</v>
      </c>
      <c r="CO113" s="197">
        <f>CJ113</f>
        <v>1993.8119999999999</v>
      </c>
      <c r="CP113" s="197">
        <f>CK113</f>
        <v>-1960.8119999999999</v>
      </c>
      <c r="CQ113" s="199">
        <f>CL113</f>
        <v>-1740.8119999999999</v>
      </c>
      <c r="CR113" s="197"/>
      <c r="CT113" s="204">
        <v>1</v>
      </c>
      <c r="CU113" s="747">
        <f>'Energy NPV'!$D39</f>
        <v>0.6</v>
      </c>
      <c r="CV113" s="197">
        <f>'Energy margins'!$L$12</f>
        <v>55</v>
      </c>
      <c r="CW113" s="197">
        <f>CU113*CV113</f>
        <v>33</v>
      </c>
      <c r="CX113" s="197">
        <f>'Margins summary'!$S$14</f>
        <v>220</v>
      </c>
      <c r="CY113" s="197">
        <f>CW113+CX113</f>
        <v>253</v>
      </c>
      <c r="CZ113" s="197">
        <f>'Margins summary'!$R$20</f>
        <v>1993.8119999999999</v>
      </c>
      <c r="DA113" s="897">
        <f>'Energy NPV'!U39</f>
        <v>0</v>
      </c>
      <c r="DB113" s="197"/>
      <c r="DC113" s="197">
        <f>CZ113+DA113+DB113</f>
        <v>1993.8119999999999</v>
      </c>
      <c r="DD113" s="197">
        <f t="shared" ref="DD113:DD128" si="273">CW113-DC113</f>
        <v>-1960.8119999999999</v>
      </c>
      <c r="DE113" s="197">
        <f t="shared" ref="DE113:DE128" si="274">CY113-DC113</f>
        <v>-1740.8119999999999</v>
      </c>
      <c r="DF113" s="1016">
        <f>CW113/((1+$F$4)^($CT113-1))</f>
        <v>33</v>
      </c>
      <c r="DG113" s="213">
        <f>CX113/((1+$F$4)^($CT113-1))</f>
        <v>220</v>
      </c>
      <c r="DH113" s="213">
        <f>DC113/((1+$F$4)^($CT113-1))</f>
        <v>1993.8119999999999</v>
      </c>
      <c r="DI113" s="213">
        <f>DD113/((1+$F$4)^($CT113-1))</f>
        <v>-1960.8119999999999</v>
      </c>
      <c r="DJ113" s="908">
        <f>DE113/((1+$F$4)^($CT113-1))</f>
        <v>-1740.8119999999999</v>
      </c>
      <c r="DK113" s="196">
        <f>DF113</f>
        <v>33</v>
      </c>
      <c r="DL113" s="197">
        <f>DG113</f>
        <v>220</v>
      </c>
      <c r="DM113" s="197">
        <f>DH113</f>
        <v>1993.8119999999999</v>
      </c>
      <c r="DN113" s="197">
        <f>DI113</f>
        <v>-1960.8119999999999</v>
      </c>
      <c r="DO113" s="199">
        <f>DJ113</f>
        <v>-1740.8119999999999</v>
      </c>
    </row>
    <row r="114" spans="2:119" x14ac:dyDescent="0.3">
      <c r="B114" s="204">
        <v>2</v>
      </c>
      <c r="C114" s="747">
        <f>'Energy NPV'!$D40</f>
        <v>3.9250000000000007</v>
      </c>
      <c r="D114" s="197">
        <f>'Energy margins'!$L$12</f>
        <v>55</v>
      </c>
      <c r="E114" s="197">
        <f>C114*D114</f>
        <v>215.87500000000003</v>
      </c>
      <c r="F114" s="197">
        <f>'Margins summary'!$S$14</f>
        <v>220</v>
      </c>
      <c r="G114" s="197">
        <f t="shared" ref="G114:G128" si="275">E114+F114</f>
        <v>435.875</v>
      </c>
      <c r="H114" s="197"/>
      <c r="I114" s="897">
        <f>'Energy NPV'!U40</f>
        <v>334.11199999999997</v>
      </c>
      <c r="J114" s="197"/>
      <c r="K114" s="197">
        <f t="shared" ref="K114:K128" si="276">H114+I114+J114</f>
        <v>334.11199999999997</v>
      </c>
      <c r="L114" s="197">
        <f t="shared" si="265"/>
        <v>-118.23699999999994</v>
      </c>
      <c r="M114" s="197">
        <f t="shared" si="266"/>
        <v>101.76300000000003</v>
      </c>
      <c r="N114" s="196">
        <f t="shared" ref="N114:O128" si="277">E114/((1+$B$4)^($B114-1))</f>
        <v>207.57211538461542</v>
      </c>
      <c r="O114" s="197">
        <f t="shared" si="277"/>
        <v>211.53846153846152</v>
      </c>
      <c r="P114" s="197">
        <f t="shared" ref="P114:R128" si="278">K114/((1+$B$4)^($B114-1))</f>
        <v>321.26153846153841</v>
      </c>
      <c r="Q114" s="197">
        <f t="shared" si="278"/>
        <v>-113.68942307692301</v>
      </c>
      <c r="R114" s="199">
        <f t="shared" si="278"/>
        <v>97.849038461538484</v>
      </c>
      <c r="S114" s="196">
        <f>S113+N114</f>
        <v>240.57211538461542</v>
      </c>
      <c r="T114" s="197">
        <f t="shared" ref="T114:W128" si="279">T113+O114</f>
        <v>431.53846153846155</v>
      </c>
      <c r="U114" s="197">
        <f t="shared" si="279"/>
        <v>2315.0735384615382</v>
      </c>
      <c r="V114" s="197">
        <f t="shared" si="279"/>
        <v>-2074.5014230769229</v>
      </c>
      <c r="W114" s="199">
        <f t="shared" si="279"/>
        <v>-1642.9629615384615</v>
      </c>
      <c r="X114" s="197"/>
      <c r="Z114" s="204">
        <v>2</v>
      </c>
      <c r="AA114" s="747">
        <f>'Energy NPV'!$D40</f>
        <v>3.9250000000000007</v>
      </c>
      <c r="AB114" s="197">
        <f>'Energy margins'!$L$12</f>
        <v>55</v>
      </c>
      <c r="AC114" s="197">
        <f>AA114*AB114</f>
        <v>215.87500000000003</v>
      </c>
      <c r="AD114" s="197">
        <f>'Margins summary'!$S$14</f>
        <v>220</v>
      </c>
      <c r="AE114" s="197">
        <f t="shared" ref="AE114:AE128" si="280">AC114+AD114</f>
        <v>435.875</v>
      </c>
      <c r="AF114" s="197"/>
      <c r="AG114" s="897">
        <f>'Energy NPV'!U40</f>
        <v>334.11199999999997</v>
      </c>
      <c r="AH114" s="197"/>
      <c r="AI114" s="197">
        <f t="shared" ref="AI114:AI128" si="281">AF114+AG114+AH114</f>
        <v>334.11199999999997</v>
      </c>
      <c r="AJ114" s="197">
        <f t="shared" si="267"/>
        <v>-118.23699999999994</v>
      </c>
      <c r="AK114" s="197">
        <f t="shared" si="268"/>
        <v>101.76300000000003</v>
      </c>
      <c r="AL114" s="196">
        <f t="shared" ref="AL114:AL128" si="282">AC114/((1+$C$4)^($Z114-1))</f>
        <v>203.65566037735852</v>
      </c>
      <c r="AM114" s="197">
        <f t="shared" ref="AM114:AM128" si="283">AD114/((1+$C$4)^($Z114-1))</f>
        <v>207.54716981132074</v>
      </c>
      <c r="AN114" s="197">
        <f t="shared" ref="AN114:AN128" si="284">AI114/((1+$C$4)^($Z114-1))</f>
        <v>315.19999999999993</v>
      </c>
      <c r="AO114" s="197">
        <f t="shared" ref="AO114:AO128" si="285">AJ114/((1+$C$4)^($Z114-1))</f>
        <v>-111.54433962264144</v>
      </c>
      <c r="AP114" s="199">
        <f t="shared" ref="AP114:AP127" si="286">AK114/((1+$C$4)^($Z114-1))</f>
        <v>96.002830188679269</v>
      </c>
      <c r="AQ114" s="196">
        <f>AQ113+AL114</f>
        <v>236.65566037735852</v>
      </c>
      <c r="AR114" s="197">
        <f t="shared" ref="AR114:AU128" si="287">AR113+AM114</f>
        <v>427.54716981132071</v>
      </c>
      <c r="AS114" s="197">
        <f t="shared" si="287"/>
        <v>2309.0119999999997</v>
      </c>
      <c r="AT114" s="197">
        <f t="shared" si="287"/>
        <v>-2072.3563396226414</v>
      </c>
      <c r="AU114" s="199">
        <f t="shared" si="287"/>
        <v>-1644.8091698113205</v>
      </c>
      <c r="AV114" s="197"/>
      <c r="AX114" s="204">
        <v>2</v>
      </c>
      <c r="AY114" s="747">
        <f>'Energy NPV'!$D40</f>
        <v>3.9250000000000007</v>
      </c>
      <c r="AZ114" s="197">
        <f>'Energy margins'!$L$12</f>
        <v>55</v>
      </c>
      <c r="BA114" s="197">
        <f>AY114*AZ114</f>
        <v>215.87500000000003</v>
      </c>
      <c r="BB114" s="197">
        <f>'Margins summary'!$S$14</f>
        <v>220</v>
      </c>
      <c r="BC114" s="197">
        <f t="shared" ref="BC114:BC128" si="288">BA114+BB114</f>
        <v>435.875</v>
      </c>
      <c r="BD114" s="197"/>
      <c r="BE114" s="897">
        <f>'Energy NPV'!U40</f>
        <v>334.11199999999997</v>
      </c>
      <c r="BF114" s="197"/>
      <c r="BG114" s="197">
        <f t="shared" ref="BG114:BG128" si="289">BD114+BE114+BF114</f>
        <v>334.11199999999997</v>
      </c>
      <c r="BH114" s="197">
        <f t="shared" si="269"/>
        <v>-118.23699999999994</v>
      </c>
      <c r="BI114" s="197">
        <f t="shared" si="270"/>
        <v>101.76300000000003</v>
      </c>
      <c r="BJ114" s="196">
        <f t="shared" ref="BJ114:BJ128" si="290">BA114/((1+$D$4)^($AX114-1))</f>
        <v>211.64215686274511</v>
      </c>
      <c r="BK114" s="197">
        <f t="shared" ref="BK114:BK128" si="291">BB114/((1+$D$4)^($AX114-1))</f>
        <v>215.68627450980392</v>
      </c>
      <c r="BL114" s="197">
        <f t="shared" ref="BL114:BL128" si="292">BG114/((1+$D$4)^($AX114-1))</f>
        <v>327.56078431372543</v>
      </c>
      <c r="BM114" s="197">
        <f t="shared" ref="BM114:BM128" si="293">BH114/((1+$D$4)^($AX114-1))</f>
        <v>-115.91862745098032</v>
      </c>
      <c r="BN114" s="199">
        <f t="shared" ref="BN114:BN128" si="294">BI114/((1+$D$4)^($AX114-1))</f>
        <v>99.767647058823556</v>
      </c>
      <c r="BO114" s="196">
        <f>BO113+BJ114</f>
        <v>244.64215686274511</v>
      </c>
      <c r="BP114" s="197">
        <f t="shared" ref="BP114:BS128" si="295">BP113+BK114</f>
        <v>435.68627450980392</v>
      </c>
      <c r="BQ114" s="197">
        <f t="shared" si="295"/>
        <v>2321.3727843137253</v>
      </c>
      <c r="BR114" s="197">
        <f t="shared" si="295"/>
        <v>-2076.7306274509801</v>
      </c>
      <c r="BS114" s="199">
        <f t="shared" si="295"/>
        <v>-1641.0443529411764</v>
      </c>
      <c r="BT114" s="197"/>
      <c r="BV114" s="204">
        <v>2</v>
      </c>
      <c r="BW114" s="747">
        <f>'Energy NPV'!$D40</f>
        <v>3.9250000000000007</v>
      </c>
      <c r="BX114" s="197">
        <f>'Energy margins'!$L$12</f>
        <v>55</v>
      </c>
      <c r="BY114" s="197">
        <f>BW114*BX114</f>
        <v>215.87500000000003</v>
      </c>
      <c r="BZ114" s="197">
        <f>'Margins summary'!$S$14</f>
        <v>220</v>
      </c>
      <c r="CA114" s="197">
        <f t="shared" ref="CA114:CA128" si="296">BY114+BZ114</f>
        <v>435.875</v>
      </c>
      <c r="CB114" s="197"/>
      <c r="CC114" s="897">
        <f>'Energy NPV'!U40</f>
        <v>334.11199999999997</v>
      </c>
      <c r="CD114" s="197"/>
      <c r="CE114" s="197">
        <f t="shared" ref="CE114:CE128" si="297">CB114+CC114+CD114</f>
        <v>334.11199999999997</v>
      </c>
      <c r="CF114" s="197">
        <f t="shared" si="271"/>
        <v>-118.23699999999994</v>
      </c>
      <c r="CG114" s="197">
        <f t="shared" si="272"/>
        <v>101.76300000000003</v>
      </c>
      <c r="CH114" s="196">
        <f t="shared" ref="CH114:CH128" si="298">BY114/((1+$E$4)^($BV114-1))</f>
        <v>199.88425925925927</v>
      </c>
      <c r="CI114" s="197">
        <f t="shared" ref="CI114:CI128" si="299">BZ114/((1+$E$4)^($BV114-1))</f>
        <v>203.7037037037037</v>
      </c>
      <c r="CJ114" s="197">
        <f t="shared" ref="CJ114:CJ128" si="300">CE114/((1+$E$4)^($BV114-1))</f>
        <v>309.36296296296291</v>
      </c>
      <c r="CK114" s="197">
        <f t="shared" ref="CK114:CK128" si="301">CF114/((1+$E$4)^($BV114-1))</f>
        <v>-109.47870370370364</v>
      </c>
      <c r="CL114" s="199">
        <f t="shared" ref="CL114:CL127" si="302">CG114/((1+$E$4)^($BV114-1))</f>
        <v>94.225000000000023</v>
      </c>
      <c r="CM114" s="196">
        <f>CM113+CH114</f>
        <v>232.88425925925927</v>
      </c>
      <c r="CN114" s="197">
        <f t="shared" ref="CN114:CQ128" si="303">CN113+CI114</f>
        <v>423.7037037037037</v>
      </c>
      <c r="CO114" s="197">
        <f t="shared" si="303"/>
        <v>2303.174962962963</v>
      </c>
      <c r="CP114" s="197">
        <f t="shared" si="303"/>
        <v>-2070.2907037037035</v>
      </c>
      <c r="CQ114" s="199">
        <f t="shared" si="303"/>
        <v>-1646.587</v>
      </c>
      <c r="CR114" s="197"/>
      <c r="CT114" s="204">
        <f>CT113+1</f>
        <v>2</v>
      </c>
      <c r="CU114" s="747">
        <f>'Energy NPV'!$D40</f>
        <v>3.9250000000000007</v>
      </c>
      <c r="CV114" s="197">
        <f>'Energy margins'!$L$12</f>
        <v>55</v>
      </c>
      <c r="CW114" s="197">
        <f>CU114*CV114</f>
        <v>215.87500000000003</v>
      </c>
      <c r="CX114" s="197">
        <f>'Margins summary'!$S$14</f>
        <v>220</v>
      </c>
      <c r="CY114" s="197">
        <f t="shared" ref="CY114:CY128" si="304">CW114+CX114</f>
        <v>435.875</v>
      </c>
      <c r="CZ114" s="197"/>
      <c r="DA114" s="897">
        <f>'Energy NPV'!U40</f>
        <v>334.11199999999997</v>
      </c>
      <c r="DB114" s="197"/>
      <c r="DC114" s="197">
        <f t="shared" ref="DC114:DC128" si="305">CZ114+DA114+DB114</f>
        <v>334.11199999999997</v>
      </c>
      <c r="DD114" s="197">
        <f t="shared" si="273"/>
        <v>-118.23699999999994</v>
      </c>
      <c r="DE114" s="197">
        <f t="shared" si="274"/>
        <v>101.76300000000003</v>
      </c>
      <c r="DF114" s="196">
        <f>CW114/((1+$F$4)^($CT114-1))</f>
        <v>215.87500000000003</v>
      </c>
      <c r="DG114" s="197">
        <f t="shared" ref="DG114:DG128" si="306">CX114/((1+$F$4)^($CT114-1))</f>
        <v>220</v>
      </c>
      <c r="DH114" s="197">
        <f t="shared" ref="DH114:DH128" si="307">DC114/((1+$F$4)^($CT114-1))</f>
        <v>334.11199999999997</v>
      </c>
      <c r="DI114" s="197">
        <f t="shared" ref="DI114:DI128" si="308">DD114/((1+$F$4)^($CT114-1))</f>
        <v>-118.23699999999994</v>
      </c>
      <c r="DJ114" s="199">
        <f t="shared" ref="DJ114:DJ127" si="309">DE114/((1+$F$4)^($CT114-1))</f>
        <v>101.76300000000003</v>
      </c>
      <c r="DK114" s="196">
        <f>DK113+DF114</f>
        <v>248.87500000000003</v>
      </c>
      <c r="DL114" s="197">
        <f t="shared" ref="DL114:DO128" si="310">DL113+DG114</f>
        <v>440</v>
      </c>
      <c r="DM114" s="197">
        <f t="shared" si="310"/>
        <v>2327.924</v>
      </c>
      <c r="DN114" s="197">
        <f t="shared" si="310"/>
        <v>-2079.049</v>
      </c>
      <c r="DO114" s="199">
        <f t="shared" si="310"/>
        <v>-1639.049</v>
      </c>
    </row>
    <row r="115" spans="2:119" x14ac:dyDescent="0.3">
      <c r="B115" s="204">
        <f t="shared" ref="B115:B128" si="311">B114+1</f>
        <v>3</v>
      </c>
      <c r="C115" s="747">
        <f>'Energy NPV'!$D41</f>
        <v>11.099999999999998</v>
      </c>
      <c r="D115" s="197">
        <f>'Energy margins'!$L$12</f>
        <v>55</v>
      </c>
      <c r="E115" s="197">
        <f t="shared" ref="E115:E128" si="312">C115*D115</f>
        <v>610.49999999999989</v>
      </c>
      <c r="F115" s="197">
        <f>'Margins summary'!$S$14</f>
        <v>220</v>
      </c>
      <c r="G115" s="197">
        <f t="shared" si="275"/>
        <v>830.49999999999989</v>
      </c>
      <c r="H115" s="197"/>
      <c r="I115" s="897">
        <f>'Energy NPV'!U41</f>
        <v>334.11199999999997</v>
      </c>
      <c r="J115" s="197"/>
      <c r="K115" s="197">
        <f t="shared" si="276"/>
        <v>334.11199999999997</v>
      </c>
      <c r="L115" s="197">
        <f t="shared" si="265"/>
        <v>276.38799999999992</v>
      </c>
      <c r="M115" s="197">
        <f t="shared" si="266"/>
        <v>496.38799999999992</v>
      </c>
      <c r="N115" s="196">
        <f t="shared" si="277"/>
        <v>564.44156804733711</v>
      </c>
      <c r="O115" s="197">
        <f t="shared" si="277"/>
        <v>203.40236686390531</v>
      </c>
      <c r="P115" s="197">
        <f t="shared" si="278"/>
        <v>308.90532544378692</v>
      </c>
      <c r="Q115" s="197">
        <f t="shared" si="278"/>
        <v>255.53624260355019</v>
      </c>
      <c r="R115" s="199">
        <f t="shared" si="278"/>
        <v>458.93860946745548</v>
      </c>
      <c r="S115" s="196">
        <f t="shared" ref="S115:S128" si="313">S114+N115</f>
        <v>805.01368343195259</v>
      </c>
      <c r="T115" s="197">
        <f t="shared" si="279"/>
        <v>634.94082840236683</v>
      </c>
      <c r="U115" s="197">
        <f t="shared" si="279"/>
        <v>2623.9788639053249</v>
      </c>
      <c r="V115" s="197">
        <f t="shared" si="279"/>
        <v>-1818.9651804733728</v>
      </c>
      <c r="W115" s="199">
        <f t="shared" si="279"/>
        <v>-1184.024352071006</v>
      </c>
      <c r="X115" s="197"/>
      <c r="Z115" s="204">
        <f t="shared" ref="Z115:Z128" si="314">Z114+1</f>
        <v>3</v>
      </c>
      <c r="AA115" s="747">
        <f>'Energy NPV'!$D41</f>
        <v>11.099999999999998</v>
      </c>
      <c r="AB115" s="197">
        <f>'Energy margins'!$L$12</f>
        <v>55</v>
      </c>
      <c r="AC115" s="197">
        <f t="shared" ref="AC115:AC128" si="315">AA115*AB115</f>
        <v>610.49999999999989</v>
      </c>
      <c r="AD115" s="197">
        <f>'Margins summary'!$S$14</f>
        <v>220</v>
      </c>
      <c r="AE115" s="197">
        <f t="shared" si="280"/>
        <v>830.49999999999989</v>
      </c>
      <c r="AF115" s="197"/>
      <c r="AG115" s="897">
        <f>'Energy NPV'!U41</f>
        <v>334.11199999999997</v>
      </c>
      <c r="AH115" s="197"/>
      <c r="AI115" s="197">
        <f t="shared" si="281"/>
        <v>334.11199999999997</v>
      </c>
      <c r="AJ115" s="197">
        <f t="shared" si="267"/>
        <v>276.38799999999992</v>
      </c>
      <c r="AK115" s="197">
        <f t="shared" si="268"/>
        <v>496.38799999999992</v>
      </c>
      <c r="AL115" s="196">
        <f t="shared" si="282"/>
        <v>543.34282662869327</v>
      </c>
      <c r="AM115" s="197">
        <f t="shared" si="283"/>
        <v>195.79921680313277</v>
      </c>
      <c r="AN115" s="197">
        <f t="shared" si="284"/>
        <v>297.35849056603769</v>
      </c>
      <c r="AO115" s="197">
        <f t="shared" si="285"/>
        <v>245.98433606265564</v>
      </c>
      <c r="AP115" s="199">
        <f t="shared" si="286"/>
        <v>441.78355286578841</v>
      </c>
      <c r="AQ115" s="196">
        <f t="shared" ref="AQ115:AQ127" si="316">AQ114+AL115</f>
        <v>779.99848700605185</v>
      </c>
      <c r="AR115" s="197">
        <f t="shared" si="287"/>
        <v>623.34638661445342</v>
      </c>
      <c r="AS115" s="197">
        <f t="shared" si="287"/>
        <v>2606.3704905660375</v>
      </c>
      <c r="AT115" s="197">
        <f t="shared" si="287"/>
        <v>-1826.3720035599858</v>
      </c>
      <c r="AU115" s="199">
        <f t="shared" si="287"/>
        <v>-1203.0256169455322</v>
      </c>
      <c r="AV115" s="197"/>
      <c r="AX115" s="204">
        <f t="shared" ref="AX115:AX128" si="317">AX114+1</f>
        <v>3</v>
      </c>
      <c r="AY115" s="747">
        <f>'Energy NPV'!$D41</f>
        <v>11.099999999999998</v>
      </c>
      <c r="AZ115" s="197">
        <f>'Energy margins'!$L$12</f>
        <v>55</v>
      </c>
      <c r="BA115" s="197">
        <f t="shared" ref="BA115:BA128" si="318">AY115*AZ115</f>
        <v>610.49999999999989</v>
      </c>
      <c r="BB115" s="197">
        <f>'Margins summary'!$S$14</f>
        <v>220</v>
      </c>
      <c r="BC115" s="197">
        <f t="shared" si="288"/>
        <v>830.49999999999989</v>
      </c>
      <c r="BD115" s="197"/>
      <c r="BE115" s="897">
        <f>'Energy NPV'!U41</f>
        <v>334.11199999999997</v>
      </c>
      <c r="BF115" s="197"/>
      <c r="BG115" s="197">
        <f t="shared" si="289"/>
        <v>334.11199999999997</v>
      </c>
      <c r="BH115" s="197">
        <f t="shared" si="269"/>
        <v>276.38799999999992</v>
      </c>
      <c r="BI115" s="197">
        <f t="shared" si="270"/>
        <v>496.38799999999992</v>
      </c>
      <c r="BJ115" s="196">
        <f t="shared" si="290"/>
        <v>586.79354094579003</v>
      </c>
      <c r="BK115" s="197">
        <f t="shared" si="291"/>
        <v>211.4571318723568</v>
      </c>
      <c r="BL115" s="197">
        <f t="shared" si="292"/>
        <v>321.13802383698572</v>
      </c>
      <c r="BM115" s="197">
        <f t="shared" si="293"/>
        <v>265.65551710880425</v>
      </c>
      <c r="BN115" s="199">
        <f t="shared" si="294"/>
        <v>477.11264898116104</v>
      </c>
      <c r="BO115" s="196">
        <f t="shared" ref="BO115:BO128" si="319">BO114+BJ115</f>
        <v>831.43569780853511</v>
      </c>
      <c r="BP115" s="197">
        <f t="shared" si="295"/>
        <v>647.14340638216072</v>
      </c>
      <c r="BQ115" s="197">
        <f t="shared" si="295"/>
        <v>2642.510808150711</v>
      </c>
      <c r="BR115" s="197">
        <f t="shared" si="295"/>
        <v>-1811.0751103421758</v>
      </c>
      <c r="BS115" s="199">
        <f t="shared" si="295"/>
        <v>-1163.9317039600153</v>
      </c>
      <c r="BT115" s="197"/>
      <c r="BV115" s="204">
        <f t="shared" ref="BV115:BV128" si="320">BV114+1</f>
        <v>3</v>
      </c>
      <c r="BW115" s="747">
        <f>'Energy NPV'!$D41</f>
        <v>11.099999999999998</v>
      </c>
      <c r="BX115" s="197">
        <f>'Energy margins'!$L$12</f>
        <v>55</v>
      </c>
      <c r="BY115" s="197">
        <f t="shared" ref="BY115:BY128" si="321">BW115*BX115</f>
        <v>610.49999999999989</v>
      </c>
      <c r="BZ115" s="197">
        <f>'Margins summary'!$S$14</f>
        <v>220</v>
      </c>
      <c r="CA115" s="197">
        <f t="shared" si="296"/>
        <v>830.49999999999989</v>
      </c>
      <c r="CB115" s="197"/>
      <c r="CC115" s="897">
        <f>'Energy NPV'!U41</f>
        <v>334.11199999999997</v>
      </c>
      <c r="CD115" s="197"/>
      <c r="CE115" s="197">
        <f t="shared" si="297"/>
        <v>334.11199999999997</v>
      </c>
      <c r="CF115" s="197">
        <f t="shared" si="271"/>
        <v>276.38799999999992</v>
      </c>
      <c r="CG115" s="197">
        <f t="shared" si="272"/>
        <v>496.38799999999992</v>
      </c>
      <c r="CH115" s="196">
        <f t="shared" si="298"/>
        <v>523.40534979423853</v>
      </c>
      <c r="CI115" s="197">
        <f t="shared" si="299"/>
        <v>188.6145404663923</v>
      </c>
      <c r="CJ115" s="197">
        <f t="shared" si="300"/>
        <v>286.44718792866934</v>
      </c>
      <c r="CK115" s="197">
        <f t="shared" si="301"/>
        <v>236.9581618655692</v>
      </c>
      <c r="CL115" s="199">
        <f t="shared" si="302"/>
        <v>425.57270233196147</v>
      </c>
      <c r="CM115" s="196">
        <f t="shared" ref="CM115:CM128" si="322">CM114+CH115</f>
        <v>756.28960905349777</v>
      </c>
      <c r="CN115" s="197">
        <f t="shared" si="303"/>
        <v>612.31824417009602</v>
      </c>
      <c r="CO115" s="197">
        <f t="shared" si="303"/>
        <v>2589.6221508916324</v>
      </c>
      <c r="CP115" s="197">
        <f t="shared" si="303"/>
        <v>-1833.3325418381341</v>
      </c>
      <c r="CQ115" s="199">
        <f t="shared" si="303"/>
        <v>-1221.0142976680386</v>
      </c>
      <c r="CR115" s="197"/>
      <c r="CT115" s="204">
        <f t="shared" ref="CT115:CT128" si="323">CT114+1</f>
        <v>3</v>
      </c>
      <c r="CU115" s="747">
        <f>'Energy NPV'!$D41</f>
        <v>11.099999999999998</v>
      </c>
      <c r="CV115" s="197">
        <f>'Energy margins'!$L$12</f>
        <v>55</v>
      </c>
      <c r="CW115" s="197">
        <f t="shared" ref="CW115:CW128" si="324">CU115*CV115</f>
        <v>610.49999999999989</v>
      </c>
      <c r="CX115" s="197">
        <f>'Margins summary'!$S$14</f>
        <v>220</v>
      </c>
      <c r="CY115" s="197">
        <f t="shared" si="304"/>
        <v>830.49999999999989</v>
      </c>
      <c r="CZ115" s="197"/>
      <c r="DA115" s="897">
        <f>'Energy NPV'!U41</f>
        <v>334.11199999999997</v>
      </c>
      <c r="DB115" s="197"/>
      <c r="DC115" s="197">
        <f t="shared" si="305"/>
        <v>334.11199999999997</v>
      </c>
      <c r="DD115" s="197">
        <f t="shared" si="273"/>
        <v>276.38799999999992</v>
      </c>
      <c r="DE115" s="197">
        <f t="shared" si="274"/>
        <v>496.38799999999992</v>
      </c>
      <c r="DF115" s="196">
        <f t="shared" ref="DF115:DF128" si="325">CW115/((1+$F$4)^($CT115-1))</f>
        <v>610.49999999999989</v>
      </c>
      <c r="DG115" s="197">
        <f t="shared" si="306"/>
        <v>220</v>
      </c>
      <c r="DH115" s="197">
        <f t="shared" si="307"/>
        <v>334.11199999999997</v>
      </c>
      <c r="DI115" s="197">
        <f t="shared" si="308"/>
        <v>276.38799999999992</v>
      </c>
      <c r="DJ115" s="199">
        <f t="shared" si="309"/>
        <v>496.38799999999992</v>
      </c>
      <c r="DK115" s="196">
        <f t="shared" ref="DK115:DK128" si="326">DK114+DF115</f>
        <v>859.37499999999989</v>
      </c>
      <c r="DL115" s="197">
        <f t="shared" si="310"/>
        <v>660</v>
      </c>
      <c r="DM115" s="197">
        <f t="shared" si="310"/>
        <v>2662.0360000000001</v>
      </c>
      <c r="DN115" s="197">
        <f t="shared" si="310"/>
        <v>-1802.6610000000001</v>
      </c>
      <c r="DO115" s="199">
        <f t="shared" si="310"/>
        <v>-1142.6610000000001</v>
      </c>
    </row>
    <row r="116" spans="2:119" x14ac:dyDescent="0.3">
      <c r="B116" s="204">
        <f t="shared" si="311"/>
        <v>4</v>
      </c>
      <c r="C116" s="747">
        <f>'Energy NPV'!$D42</f>
        <v>12.54</v>
      </c>
      <c r="D116" s="197">
        <f>'Energy margins'!$L$12</f>
        <v>55</v>
      </c>
      <c r="E116" s="197">
        <f t="shared" si="312"/>
        <v>689.69999999999993</v>
      </c>
      <c r="F116" s="197">
        <f>'Margins summary'!$S$14</f>
        <v>220</v>
      </c>
      <c r="G116" s="197">
        <f t="shared" si="275"/>
        <v>909.69999999999993</v>
      </c>
      <c r="H116" s="197"/>
      <c r="I116" s="897">
        <f>'Energy NPV'!U42</f>
        <v>233.81200000000001</v>
      </c>
      <c r="J116" s="197"/>
      <c r="K116" s="197">
        <f t="shared" si="276"/>
        <v>233.81200000000001</v>
      </c>
      <c r="L116" s="197">
        <f t="shared" si="265"/>
        <v>455.88799999999992</v>
      </c>
      <c r="M116" s="197">
        <f t="shared" si="266"/>
        <v>675.88799999999992</v>
      </c>
      <c r="N116" s="196">
        <f t="shared" si="277"/>
        <v>613.14078857532991</v>
      </c>
      <c r="O116" s="197">
        <f t="shared" si="277"/>
        <v>195.57919890760127</v>
      </c>
      <c r="P116" s="197">
        <f t="shared" si="278"/>
        <v>207.85801661356393</v>
      </c>
      <c r="Q116" s="197">
        <f t="shared" si="278"/>
        <v>405.28277196176595</v>
      </c>
      <c r="R116" s="199">
        <f t="shared" si="278"/>
        <v>600.86197086936716</v>
      </c>
      <c r="S116" s="196">
        <f t="shared" si="313"/>
        <v>1418.1544720072825</v>
      </c>
      <c r="T116" s="197">
        <f t="shared" si="279"/>
        <v>830.5200273099681</v>
      </c>
      <c r="U116" s="197">
        <f t="shared" si="279"/>
        <v>2831.8368805188888</v>
      </c>
      <c r="V116" s="197">
        <f t="shared" si="279"/>
        <v>-1413.6824085116068</v>
      </c>
      <c r="W116" s="199">
        <f t="shared" si="279"/>
        <v>-583.16238120163882</v>
      </c>
      <c r="X116" s="197"/>
      <c r="Z116" s="204">
        <f t="shared" si="314"/>
        <v>4</v>
      </c>
      <c r="AA116" s="747">
        <f>'Energy NPV'!$D42</f>
        <v>12.54</v>
      </c>
      <c r="AB116" s="197">
        <f>'Energy margins'!$L$12</f>
        <v>55</v>
      </c>
      <c r="AC116" s="197">
        <f t="shared" si="315"/>
        <v>689.69999999999993</v>
      </c>
      <c r="AD116" s="197">
        <f>'Margins summary'!$S$14</f>
        <v>220</v>
      </c>
      <c r="AE116" s="197">
        <f t="shared" si="280"/>
        <v>909.69999999999993</v>
      </c>
      <c r="AF116" s="197"/>
      <c r="AG116" s="897">
        <f>'Energy NPV'!U42</f>
        <v>233.81200000000001</v>
      </c>
      <c r="AH116" s="197"/>
      <c r="AI116" s="197">
        <f t="shared" si="281"/>
        <v>233.81200000000001</v>
      </c>
      <c r="AJ116" s="197">
        <f t="shared" si="267"/>
        <v>455.88799999999992</v>
      </c>
      <c r="AK116" s="197">
        <f t="shared" si="268"/>
        <v>675.88799999999992</v>
      </c>
      <c r="AL116" s="196">
        <f t="shared" si="282"/>
        <v>579.08541950737833</v>
      </c>
      <c r="AM116" s="197">
        <f t="shared" si="283"/>
        <v>184.71624226710637</v>
      </c>
      <c r="AN116" s="197">
        <f t="shared" si="284"/>
        <v>196.31306380434853</v>
      </c>
      <c r="AO116" s="197">
        <f t="shared" si="285"/>
        <v>382.77235570302986</v>
      </c>
      <c r="AP116" s="199">
        <f t="shared" si="286"/>
        <v>567.4885979701362</v>
      </c>
      <c r="AQ116" s="196">
        <f t="shared" si="316"/>
        <v>1359.0839065134301</v>
      </c>
      <c r="AR116" s="197">
        <f t="shared" si="287"/>
        <v>808.06262888155982</v>
      </c>
      <c r="AS116" s="197">
        <f t="shared" si="287"/>
        <v>2802.683554370386</v>
      </c>
      <c r="AT116" s="197">
        <f t="shared" si="287"/>
        <v>-1443.5996478569559</v>
      </c>
      <c r="AU116" s="199">
        <f t="shared" si="287"/>
        <v>-635.53701897539599</v>
      </c>
      <c r="AV116" s="197"/>
      <c r="AX116" s="204">
        <f t="shared" si="317"/>
        <v>4</v>
      </c>
      <c r="AY116" s="747">
        <f>'Energy NPV'!$D42</f>
        <v>12.54</v>
      </c>
      <c r="AZ116" s="197">
        <f>'Energy margins'!$L$12</f>
        <v>55</v>
      </c>
      <c r="BA116" s="197">
        <f t="shared" si="318"/>
        <v>689.69999999999993</v>
      </c>
      <c r="BB116" s="197">
        <f>'Margins summary'!$S$14</f>
        <v>220</v>
      </c>
      <c r="BC116" s="197">
        <f t="shared" si="288"/>
        <v>909.69999999999993</v>
      </c>
      <c r="BD116" s="197"/>
      <c r="BE116" s="897">
        <f>'Energy NPV'!U42</f>
        <v>233.81200000000001</v>
      </c>
      <c r="BF116" s="197"/>
      <c r="BG116" s="197">
        <f t="shared" si="289"/>
        <v>233.81200000000001</v>
      </c>
      <c r="BH116" s="197">
        <f t="shared" si="269"/>
        <v>455.88799999999992</v>
      </c>
      <c r="BI116" s="197">
        <f t="shared" si="270"/>
        <v>675.88799999999992</v>
      </c>
      <c r="BJ116" s="196">
        <f t="shared" si="290"/>
        <v>649.91971413709655</v>
      </c>
      <c r="BK116" s="197">
        <f t="shared" si="291"/>
        <v>207.31091360034981</v>
      </c>
      <c r="BL116" s="197">
        <f t="shared" si="292"/>
        <v>220.3262696851136</v>
      </c>
      <c r="BM116" s="197">
        <f t="shared" si="293"/>
        <v>429.59344445198298</v>
      </c>
      <c r="BN116" s="199">
        <f t="shared" si="294"/>
        <v>636.90435805233278</v>
      </c>
      <c r="BO116" s="196">
        <f t="shared" si="319"/>
        <v>1481.3554119456317</v>
      </c>
      <c r="BP116" s="197">
        <f t="shared" si="295"/>
        <v>854.45431998251047</v>
      </c>
      <c r="BQ116" s="197">
        <f t="shared" si="295"/>
        <v>2862.8370778358244</v>
      </c>
      <c r="BR116" s="197">
        <f t="shared" si="295"/>
        <v>-1381.4816658901927</v>
      </c>
      <c r="BS116" s="199">
        <f t="shared" si="295"/>
        <v>-527.0273459076825</v>
      </c>
      <c r="BT116" s="197"/>
      <c r="BV116" s="204">
        <f t="shared" si="320"/>
        <v>4</v>
      </c>
      <c r="BW116" s="747">
        <f>'Energy NPV'!$D42</f>
        <v>12.54</v>
      </c>
      <c r="BX116" s="197">
        <f>'Energy margins'!$L$12</f>
        <v>55</v>
      </c>
      <c r="BY116" s="197">
        <f t="shared" si="321"/>
        <v>689.69999999999993</v>
      </c>
      <c r="BZ116" s="197">
        <f>'Margins summary'!$S$14</f>
        <v>220</v>
      </c>
      <c r="CA116" s="197">
        <f t="shared" si="296"/>
        <v>909.69999999999993</v>
      </c>
      <c r="CB116" s="197"/>
      <c r="CC116" s="897">
        <f>'Energy NPV'!U42</f>
        <v>233.81200000000001</v>
      </c>
      <c r="CD116" s="197"/>
      <c r="CE116" s="197">
        <f t="shared" si="297"/>
        <v>233.81200000000001</v>
      </c>
      <c r="CF116" s="197">
        <f t="shared" si="271"/>
        <v>455.88799999999992</v>
      </c>
      <c r="CG116" s="197">
        <f t="shared" si="272"/>
        <v>675.88799999999992</v>
      </c>
      <c r="CH116" s="196">
        <f t="shared" si="298"/>
        <v>547.50609663161094</v>
      </c>
      <c r="CI116" s="197">
        <f t="shared" si="299"/>
        <v>174.64309302443732</v>
      </c>
      <c r="CJ116" s="197">
        <f t="shared" si="300"/>
        <v>185.6075039374079</v>
      </c>
      <c r="CK116" s="197">
        <f t="shared" si="301"/>
        <v>361.89859269420299</v>
      </c>
      <c r="CL116" s="199">
        <f t="shared" si="302"/>
        <v>536.54168571864034</v>
      </c>
      <c r="CM116" s="196">
        <f t="shared" si="322"/>
        <v>1303.7957056851087</v>
      </c>
      <c r="CN116" s="197">
        <f t="shared" si="303"/>
        <v>786.96133719453337</v>
      </c>
      <c r="CO116" s="197">
        <f t="shared" si="303"/>
        <v>2775.2296548290401</v>
      </c>
      <c r="CP116" s="197">
        <f t="shared" si="303"/>
        <v>-1471.4339491439312</v>
      </c>
      <c r="CQ116" s="199">
        <f t="shared" si="303"/>
        <v>-684.47261194939824</v>
      </c>
      <c r="CR116" s="197"/>
      <c r="CT116" s="204">
        <f t="shared" si="323"/>
        <v>4</v>
      </c>
      <c r="CU116" s="747">
        <f>'Energy NPV'!$D42</f>
        <v>12.54</v>
      </c>
      <c r="CV116" s="197">
        <f>'Energy margins'!$L$12</f>
        <v>55</v>
      </c>
      <c r="CW116" s="197">
        <f t="shared" si="324"/>
        <v>689.69999999999993</v>
      </c>
      <c r="CX116" s="197">
        <f>'Margins summary'!$S$14</f>
        <v>220</v>
      </c>
      <c r="CY116" s="197">
        <f t="shared" si="304"/>
        <v>909.69999999999993</v>
      </c>
      <c r="CZ116" s="197"/>
      <c r="DA116" s="897">
        <f>'Energy NPV'!U42</f>
        <v>233.81200000000001</v>
      </c>
      <c r="DB116" s="197"/>
      <c r="DC116" s="197">
        <f t="shared" si="305"/>
        <v>233.81200000000001</v>
      </c>
      <c r="DD116" s="197">
        <f t="shared" si="273"/>
        <v>455.88799999999992</v>
      </c>
      <c r="DE116" s="197">
        <f t="shared" si="274"/>
        <v>675.88799999999992</v>
      </c>
      <c r="DF116" s="196">
        <f t="shared" si="325"/>
        <v>689.69999999999993</v>
      </c>
      <c r="DG116" s="197">
        <f t="shared" si="306"/>
        <v>220</v>
      </c>
      <c r="DH116" s="197">
        <f t="shared" si="307"/>
        <v>233.81200000000001</v>
      </c>
      <c r="DI116" s="197">
        <f t="shared" si="308"/>
        <v>455.88799999999992</v>
      </c>
      <c r="DJ116" s="199">
        <f t="shared" si="309"/>
        <v>675.88799999999992</v>
      </c>
      <c r="DK116" s="196">
        <f t="shared" si="326"/>
        <v>1549.0749999999998</v>
      </c>
      <c r="DL116" s="197">
        <f t="shared" si="310"/>
        <v>880</v>
      </c>
      <c r="DM116" s="197">
        <f t="shared" si="310"/>
        <v>2895.848</v>
      </c>
      <c r="DN116" s="197">
        <f t="shared" si="310"/>
        <v>-1346.7730000000001</v>
      </c>
      <c r="DO116" s="199">
        <f t="shared" si="310"/>
        <v>-466.77300000000014</v>
      </c>
    </row>
    <row r="117" spans="2:119" x14ac:dyDescent="0.3">
      <c r="B117" s="204">
        <f t="shared" si="311"/>
        <v>5</v>
      </c>
      <c r="C117" s="747">
        <f>'Energy NPV'!$D43</f>
        <v>12.54</v>
      </c>
      <c r="D117" s="197">
        <f>'Energy margins'!$L$12</f>
        <v>55</v>
      </c>
      <c r="E117" s="197">
        <f t="shared" si="312"/>
        <v>689.69999999999993</v>
      </c>
      <c r="F117" s="197">
        <f>'Margins summary'!$S$14</f>
        <v>220</v>
      </c>
      <c r="G117" s="197">
        <f t="shared" si="275"/>
        <v>909.69999999999993</v>
      </c>
      <c r="H117" s="197"/>
      <c r="I117" s="897">
        <f>'Energy NPV'!U43</f>
        <v>233.81200000000001</v>
      </c>
      <c r="J117" s="197"/>
      <c r="K117" s="197">
        <f t="shared" si="276"/>
        <v>233.81200000000001</v>
      </c>
      <c r="L117" s="197">
        <f t="shared" si="265"/>
        <v>455.88799999999992</v>
      </c>
      <c r="M117" s="197">
        <f t="shared" si="266"/>
        <v>675.88799999999992</v>
      </c>
      <c r="N117" s="196">
        <f t="shared" si="277"/>
        <v>589.55845055320174</v>
      </c>
      <c r="O117" s="197">
        <f t="shared" si="277"/>
        <v>188.05692202653967</v>
      </c>
      <c r="P117" s="197">
        <f t="shared" si="278"/>
        <v>199.86347751304223</v>
      </c>
      <c r="Q117" s="197">
        <f t="shared" si="278"/>
        <v>389.69497304015954</v>
      </c>
      <c r="R117" s="199">
        <f t="shared" si="278"/>
        <v>577.75189506669915</v>
      </c>
      <c r="S117" s="196">
        <f t="shared" si="313"/>
        <v>2007.7129225604842</v>
      </c>
      <c r="T117" s="197">
        <f t="shared" si="279"/>
        <v>1018.5769493365078</v>
      </c>
      <c r="U117" s="197">
        <f t="shared" si="279"/>
        <v>3031.700358031931</v>
      </c>
      <c r="V117" s="197">
        <f t="shared" si="279"/>
        <v>-1023.9874354714473</v>
      </c>
      <c r="W117" s="199">
        <f t="shared" si="279"/>
        <v>-5.4104861349396742</v>
      </c>
      <c r="X117" s="197"/>
      <c r="Z117" s="204">
        <f t="shared" si="314"/>
        <v>5</v>
      </c>
      <c r="AA117" s="747">
        <f>'Energy NPV'!$D43</f>
        <v>12.54</v>
      </c>
      <c r="AB117" s="197">
        <f>'Energy margins'!$L$12</f>
        <v>55</v>
      </c>
      <c r="AC117" s="197">
        <f t="shared" si="315"/>
        <v>689.69999999999993</v>
      </c>
      <c r="AD117" s="197">
        <f>'Margins summary'!$S$14</f>
        <v>220</v>
      </c>
      <c r="AE117" s="197">
        <f t="shared" si="280"/>
        <v>909.69999999999993</v>
      </c>
      <c r="AF117" s="197"/>
      <c r="AG117" s="897">
        <f>'Energy NPV'!U43</f>
        <v>233.81200000000001</v>
      </c>
      <c r="AH117" s="197"/>
      <c r="AI117" s="197">
        <f t="shared" si="281"/>
        <v>233.81200000000001</v>
      </c>
      <c r="AJ117" s="197">
        <f t="shared" si="267"/>
        <v>455.88799999999992</v>
      </c>
      <c r="AK117" s="197">
        <f t="shared" si="268"/>
        <v>675.88799999999992</v>
      </c>
      <c r="AL117" s="196">
        <f t="shared" si="282"/>
        <v>546.30699953526266</v>
      </c>
      <c r="AM117" s="197">
        <f t="shared" si="283"/>
        <v>174.2606059123645</v>
      </c>
      <c r="AN117" s="197">
        <f t="shared" si="284"/>
        <v>185.20100358900802</v>
      </c>
      <c r="AO117" s="197">
        <f t="shared" si="285"/>
        <v>361.10599594625461</v>
      </c>
      <c r="AP117" s="199">
        <f t="shared" si="286"/>
        <v>535.36660185861911</v>
      </c>
      <c r="AQ117" s="196">
        <f t="shared" si="316"/>
        <v>1905.3909060486926</v>
      </c>
      <c r="AR117" s="197">
        <f t="shared" si="287"/>
        <v>982.32323479392426</v>
      </c>
      <c r="AS117" s="197">
        <f t="shared" si="287"/>
        <v>2987.884557959394</v>
      </c>
      <c r="AT117" s="197">
        <f t="shared" si="287"/>
        <v>-1082.4936519107014</v>
      </c>
      <c r="AU117" s="199">
        <f t="shared" si="287"/>
        <v>-100.17041711677689</v>
      </c>
      <c r="AV117" s="197"/>
      <c r="AX117" s="204">
        <f t="shared" si="317"/>
        <v>5</v>
      </c>
      <c r="AY117" s="747">
        <f>'Energy NPV'!$D43</f>
        <v>12.54</v>
      </c>
      <c r="AZ117" s="197">
        <f>'Energy margins'!$L$12</f>
        <v>55</v>
      </c>
      <c r="BA117" s="197">
        <f t="shared" si="318"/>
        <v>689.69999999999993</v>
      </c>
      <c r="BB117" s="197">
        <f>'Margins summary'!$S$14</f>
        <v>220</v>
      </c>
      <c r="BC117" s="197">
        <f t="shared" si="288"/>
        <v>909.69999999999993</v>
      </c>
      <c r="BD117" s="197"/>
      <c r="BE117" s="897">
        <f>'Energy NPV'!U43</f>
        <v>233.81200000000001</v>
      </c>
      <c r="BF117" s="197"/>
      <c r="BG117" s="197">
        <f t="shared" si="289"/>
        <v>233.81200000000001</v>
      </c>
      <c r="BH117" s="197">
        <f t="shared" si="269"/>
        <v>455.88799999999992</v>
      </c>
      <c r="BI117" s="197">
        <f t="shared" si="270"/>
        <v>675.88799999999992</v>
      </c>
      <c r="BJ117" s="196">
        <f t="shared" si="290"/>
        <v>637.17619033048686</v>
      </c>
      <c r="BK117" s="197">
        <f t="shared" si="291"/>
        <v>203.24599372583313</v>
      </c>
      <c r="BL117" s="197">
        <f t="shared" si="292"/>
        <v>216.00614675011136</v>
      </c>
      <c r="BM117" s="197">
        <f t="shared" si="293"/>
        <v>421.17004358037542</v>
      </c>
      <c r="BN117" s="199">
        <f t="shared" si="294"/>
        <v>624.41603730620864</v>
      </c>
      <c r="BO117" s="196">
        <f t="shared" si="319"/>
        <v>2118.5316022761185</v>
      </c>
      <c r="BP117" s="197">
        <f t="shared" si="295"/>
        <v>1057.7003137083436</v>
      </c>
      <c r="BQ117" s="197">
        <f t="shared" si="295"/>
        <v>3078.8432245859358</v>
      </c>
      <c r="BR117" s="197">
        <f t="shared" si="295"/>
        <v>-960.31162230981727</v>
      </c>
      <c r="BS117" s="199">
        <f t="shared" si="295"/>
        <v>97.388691398526134</v>
      </c>
      <c r="BT117" s="197"/>
      <c r="BV117" s="204">
        <f t="shared" si="320"/>
        <v>5</v>
      </c>
      <c r="BW117" s="747">
        <f>'Energy NPV'!$D43</f>
        <v>12.54</v>
      </c>
      <c r="BX117" s="197">
        <f>'Energy margins'!$L$12</f>
        <v>55</v>
      </c>
      <c r="BY117" s="197">
        <f t="shared" si="321"/>
        <v>689.69999999999993</v>
      </c>
      <c r="BZ117" s="197">
        <f>'Margins summary'!$S$14</f>
        <v>220</v>
      </c>
      <c r="CA117" s="197">
        <f t="shared" si="296"/>
        <v>909.69999999999993</v>
      </c>
      <c r="CB117" s="197"/>
      <c r="CC117" s="897">
        <f>'Energy NPV'!U43</f>
        <v>233.81200000000001</v>
      </c>
      <c r="CD117" s="197"/>
      <c r="CE117" s="197">
        <f t="shared" si="297"/>
        <v>233.81200000000001</v>
      </c>
      <c r="CF117" s="197">
        <f t="shared" si="271"/>
        <v>455.88799999999992</v>
      </c>
      <c r="CG117" s="197">
        <f t="shared" si="272"/>
        <v>675.88799999999992</v>
      </c>
      <c r="CH117" s="196">
        <f t="shared" si="298"/>
        <v>506.95008947371377</v>
      </c>
      <c r="CI117" s="197">
        <f t="shared" si="299"/>
        <v>161.70656761521971</v>
      </c>
      <c r="CJ117" s="197">
        <f t="shared" si="300"/>
        <v>171.85879994204433</v>
      </c>
      <c r="CK117" s="197">
        <f t="shared" si="301"/>
        <v>335.09128953166942</v>
      </c>
      <c r="CL117" s="199">
        <f t="shared" si="302"/>
        <v>496.79785714688916</v>
      </c>
      <c r="CM117" s="196">
        <f t="shared" si="322"/>
        <v>1810.7457951588226</v>
      </c>
      <c r="CN117" s="197">
        <f t="shared" si="303"/>
        <v>948.66790480975305</v>
      </c>
      <c r="CO117" s="197">
        <f t="shared" si="303"/>
        <v>2947.0884547710843</v>
      </c>
      <c r="CP117" s="197">
        <f t="shared" si="303"/>
        <v>-1136.3426596122617</v>
      </c>
      <c r="CQ117" s="199">
        <f t="shared" si="303"/>
        <v>-187.67475480250909</v>
      </c>
      <c r="CR117" s="197"/>
      <c r="CT117" s="204">
        <f t="shared" si="323"/>
        <v>5</v>
      </c>
      <c r="CU117" s="747">
        <f>'Energy NPV'!$D43</f>
        <v>12.54</v>
      </c>
      <c r="CV117" s="197">
        <f>'Energy margins'!$L$12</f>
        <v>55</v>
      </c>
      <c r="CW117" s="197">
        <f t="shared" si="324"/>
        <v>689.69999999999993</v>
      </c>
      <c r="CX117" s="197">
        <f>'Margins summary'!$S$14</f>
        <v>220</v>
      </c>
      <c r="CY117" s="197">
        <f t="shared" si="304"/>
        <v>909.69999999999993</v>
      </c>
      <c r="CZ117" s="197"/>
      <c r="DA117" s="897">
        <f>'Energy NPV'!U43</f>
        <v>233.81200000000001</v>
      </c>
      <c r="DB117" s="197"/>
      <c r="DC117" s="197">
        <f t="shared" si="305"/>
        <v>233.81200000000001</v>
      </c>
      <c r="DD117" s="197">
        <f t="shared" si="273"/>
        <v>455.88799999999992</v>
      </c>
      <c r="DE117" s="197">
        <f t="shared" si="274"/>
        <v>675.88799999999992</v>
      </c>
      <c r="DF117" s="196">
        <f t="shared" si="325"/>
        <v>689.69999999999993</v>
      </c>
      <c r="DG117" s="197">
        <f t="shared" si="306"/>
        <v>220</v>
      </c>
      <c r="DH117" s="197">
        <f t="shared" si="307"/>
        <v>233.81200000000001</v>
      </c>
      <c r="DI117" s="197">
        <f t="shared" si="308"/>
        <v>455.88799999999992</v>
      </c>
      <c r="DJ117" s="199">
        <f t="shared" si="309"/>
        <v>675.88799999999992</v>
      </c>
      <c r="DK117" s="196">
        <f t="shared" si="326"/>
        <v>2238.7749999999996</v>
      </c>
      <c r="DL117" s="197">
        <f t="shared" si="310"/>
        <v>1100</v>
      </c>
      <c r="DM117" s="197">
        <f t="shared" si="310"/>
        <v>3129.66</v>
      </c>
      <c r="DN117" s="197">
        <f t="shared" si="310"/>
        <v>-890.88500000000022</v>
      </c>
      <c r="DO117" s="199">
        <f t="shared" si="310"/>
        <v>209.11499999999978</v>
      </c>
    </row>
    <row r="118" spans="2:119" x14ac:dyDescent="0.3">
      <c r="B118" s="204">
        <f t="shared" si="311"/>
        <v>6</v>
      </c>
      <c r="C118" s="747">
        <f>'Energy NPV'!$D44</f>
        <v>12.54</v>
      </c>
      <c r="D118" s="197">
        <f>'Energy margins'!$L$12</f>
        <v>55</v>
      </c>
      <c r="E118" s="197">
        <f t="shared" si="312"/>
        <v>689.69999999999993</v>
      </c>
      <c r="F118" s="197">
        <f>'Margins summary'!$S$14</f>
        <v>220</v>
      </c>
      <c r="G118" s="197">
        <f t="shared" si="275"/>
        <v>909.69999999999993</v>
      </c>
      <c r="H118" s="197"/>
      <c r="I118" s="897">
        <f>'Energy NPV'!U44</f>
        <v>233.81200000000001</v>
      </c>
      <c r="J118" s="197"/>
      <c r="K118" s="197">
        <f t="shared" si="276"/>
        <v>233.81200000000001</v>
      </c>
      <c r="L118" s="197">
        <f t="shared" si="265"/>
        <v>455.88799999999992</v>
      </c>
      <c r="M118" s="197">
        <f t="shared" si="266"/>
        <v>675.88799999999992</v>
      </c>
      <c r="N118" s="196">
        <f t="shared" si="277"/>
        <v>566.88312553192475</v>
      </c>
      <c r="O118" s="197">
        <f t="shared" si="277"/>
        <v>180.82396348705734</v>
      </c>
      <c r="P118" s="197">
        <f t="shared" si="278"/>
        <v>192.1764206856175</v>
      </c>
      <c r="Q118" s="197">
        <f t="shared" si="278"/>
        <v>374.70670484630722</v>
      </c>
      <c r="R118" s="199">
        <f t="shared" si="278"/>
        <v>555.53066833336447</v>
      </c>
      <c r="S118" s="196">
        <f t="shared" si="313"/>
        <v>2574.5960480924091</v>
      </c>
      <c r="T118" s="197">
        <f t="shared" si="279"/>
        <v>1199.4009128235652</v>
      </c>
      <c r="U118" s="197">
        <f t="shared" si="279"/>
        <v>3223.8767787175484</v>
      </c>
      <c r="V118" s="197">
        <f t="shared" si="279"/>
        <v>-649.28073062514</v>
      </c>
      <c r="W118" s="199">
        <f t="shared" si="279"/>
        <v>550.1201821984248</v>
      </c>
      <c r="X118" s="197"/>
      <c r="Z118" s="204">
        <f t="shared" si="314"/>
        <v>6</v>
      </c>
      <c r="AA118" s="747">
        <f>'Energy NPV'!$D44</f>
        <v>12.54</v>
      </c>
      <c r="AB118" s="197">
        <f>'Energy margins'!$L$12</f>
        <v>55</v>
      </c>
      <c r="AC118" s="197">
        <f t="shared" si="315"/>
        <v>689.69999999999993</v>
      </c>
      <c r="AD118" s="197">
        <f>'Margins summary'!$S$14</f>
        <v>220</v>
      </c>
      <c r="AE118" s="197">
        <f t="shared" si="280"/>
        <v>909.69999999999993</v>
      </c>
      <c r="AF118" s="197"/>
      <c r="AG118" s="897">
        <f>'Energy NPV'!U44</f>
        <v>233.81200000000001</v>
      </c>
      <c r="AH118" s="197"/>
      <c r="AI118" s="197">
        <f t="shared" si="281"/>
        <v>233.81200000000001</v>
      </c>
      <c r="AJ118" s="197">
        <f t="shared" si="267"/>
        <v>455.88799999999992</v>
      </c>
      <c r="AK118" s="197">
        <f t="shared" si="268"/>
        <v>675.88799999999992</v>
      </c>
      <c r="AL118" s="196">
        <f t="shared" si="282"/>
        <v>515.38396182571944</v>
      </c>
      <c r="AM118" s="197">
        <f t="shared" si="283"/>
        <v>164.39679803053252</v>
      </c>
      <c r="AN118" s="197">
        <f t="shared" si="284"/>
        <v>174.71792791415851</v>
      </c>
      <c r="AO118" s="197">
        <f t="shared" si="285"/>
        <v>340.66603391156087</v>
      </c>
      <c r="AP118" s="199">
        <f t="shared" si="286"/>
        <v>505.0628319420934</v>
      </c>
      <c r="AQ118" s="196">
        <f t="shared" si="316"/>
        <v>2420.7748678744119</v>
      </c>
      <c r="AR118" s="197">
        <f t="shared" si="287"/>
        <v>1146.7200328244567</v>
      </c>
      <c r="AS118" s="197">
        <f t="shared" si="287"/>
        <v>3162.6024858735527</v>
      </c>
      <c r="AT118" s="197">
        <f t="shared" si="287"/>
        <v>-741.82761799914056</v>
      </c>
      <c r="AU118" s="199">
        <f t="shared" si="287"/>
        <v>404.89241482531651</v>
      </c>
      <c r="AV118" s="197"/>
      <c r="AX118" s="204">
        <f t="shared" si="317"/>
        <v>6</v>
      </c>
      <c r="AY118" s="747">
        <f>'Energy NPV'!$D44</f>
        <v>12.54</v>
      </c>
      <c r="AZ118" s="197">
        <f>'Energy margins'!$L$12</f>
        <v>55</v>
      </c>
      <c r="BA118" s="197">
        <f t="shared" si="318"/>
        <v>689.69999999999993</v>
      </c>
      <c r="BB118" s="197">
        <f>'Margins summary'!$S$14</f>
        <v>220</v>
      </c>
      <c r="BC118" s="197">
        <f t="shared" si="288"/>
        <v>909.69999999999993</v>
      </c>
      <c r="BD118" s="197"/>
      <c r="BE118" s="897">
        <f>'Energy NPV'!U44</f>
        <v>233.81200000000001</v>
      </c>
      <c r="BF118" s="197"/>
      <c r="BG118" s="197">
        <f t="shared" si="289"/>
        <v>233.81200000000001</v>
      </c>
      <c r="BH118" s="197">
        <f t="shared" si="269"/>
        <v>455.88799999999992</v>
      </c>
      <c r="BI118" s="197">
        <f t="shared" si="270"/>
        <v>675.88799999999992</v>
      </c>
      <c r="BJ118" s="196">
        <f t="shared" si="290"/>
        <v>624.68253953969293</v>
      </c>
      <c r="BK118" s="197">
        <f t="shared" si="291"/>
        <v>199.26077816258149</v>
      </c>
      <c r="BL118" s="197">
        <f t="shared" si="292"/>
        <v>211.77073210795231</v>
      </c>
      <c r="BM118" s="197">
        <f t="shared" si="293"/>
        <v>412.91180743174061</v>
      </c>
      <c r="BN118" s="199">
        <f t="shared" si="294"/>
        <v>612.17258559432207</v>
      </c>
      <c r="BO118" s="196">
        <f t="shared" si="319"/>
        <v>2743.2141418158117</v>
      </c>
      <c r="BP118" s="197">
        <f t="shared" si="295"/>
        <v>1256.9610918709252</v>
      </c>
      <c r="BQ118" s="197">
        <f t="shared" si="295"/>
        <v>3290.6139566938882</v>
      </c>
      <c r="BR118" s="197">
        <f t="shared" si="295"/>
        <v>-547.39981487807665</v>
      </c>
      <c r="BS118" s="199">
        <f t="shared" si="295"/>
        <v>709.56127699284821</v>
      </c>
      <c r="BT118" s="197"/>
      <c r="BV118" s="204">
        <f t="shared" si="320"/>
        <v>6</v>
      </c>
      <c r="BW118" s="747">
        <f>'Energy NPV'!$D44</f>
        <v>12.54</v>
      </c>
      <c r="BX118" s="197">
        <f>'Energy margins'!$L$12</f>
        <v>55</v>
      </c>
      <c r="BY118" s="197">
        <f t="shared" si="321"/>
        <v>689.69999999999993</v>
      </c>
      <c r="BZ118" s="197">
        <f>'Margins summary'!$S$14</f>
        <v>220</v>
      </c>
      <c r="CA118" s="197">
        <f t="shared" si="296"/>
        <v>909.69999999999993</v>
      </c>
      <c r="CB118" s="197"/>
      <c r="CC118" s="897">
        <f>'Energy NPV'!U44</f>
        <v>233.81200000000001</v>
      </c>
      <c r="CD118" s="197"/>
      <c r="CE118" s="197">
        <f t="shared" si="297"/>
        <v>233.81200000000001</v>
      </c>
      <c r="CF118" s="197">
        <f t="shared" si="271"/>
        <v>455.88799999999992</v>
      </c>
      <c r="CG118" s="197">
        <f t="shared" si="272"/>
        <v>675.88799999999992</v>
      </c>
      <c r="CH118" s="196">
        <f t="shared" si="298"/>
        <v>469.39823099417941</v>
      </c>
      <c r="CI118" s="197">
        <f t="shared" si="299"/>
        <v>149.72830334742565</v>
      </c>
      <c r="CJ118" s="197">
        <f t="shared" si="300"/>
        <v>159.12851846485586</v>
      </c>
      <c r="CK118" s="197">
        <f t="shared" si="301"/>
        <v>310.26971252932356</v>
      </c>
      <c r="CL118" s="199">
        <f t="shared" si="302"/>
        <v>459.99801587674921</v>
      </c>
      <c r="CM118" s="196">
        <f t="shared" si="322"/>
        <v>2280.144026153002</v>
      </c>
      <c r="CN118" s="197">
        <f t="shared" si="303"/>
        <v>1098.3962081571788</v>
      </c>
      <c r="CO118" s="197">
        <f t="shared" si="303"/>
        <v>3106.2169732359403</v>
      </c>
      <c r="CP118" s="197">
        <f t="shared" si="303"/>
        <v>-826.07294708293819</v>
      </c>
      <c r="CQ118" s="199">
        <f t="shared" si="303"/>
        <v>272.32326107424012</v>
      </c>
      <c r="CR118" s="197"/>
      <c r="CT118" s="204">
        <f t="shared" si="323"/>
        <v>6</v>
      </c>
      <c r="CU118" s="747">
        <f>'Energy NPV'!$D44</f>
        <v>12.54</v>
      </c>
      <c r="CV118" s="197">
        <f>'Energy margins'!$L$12</f>
        <v>55</v>
      </c>
      <c r="CW118" s="197">
        <f t="shared" si="324"/>
        <v>689.69999999999993</v>
      </c>
      <c r="CX118" s="197">
        <f>'Margins summary'!$S$14</f>
        <v>220</v>
      </c>
      <c r="CY118" s="197">
        <f t="shared" si="304"/>
        <v>909.69999999999993</v>
      </c>
      <c r="CZ118" s="197"/>
      <c r="DA118" s="897">
        <f>'Energy NPV'!U44</f>
        <v>233.81200000000001</v>
      </c>
      <c r="DB118" s="197"/>
      <c r="DC118" s="197">
        <f t="shared" si="305"/>
        <v>233.81200000000001</v>
      </c>
      <c r="DD118" s="197">
        <f t="shared" si="273"/>
        <v>455.88799999999992</v>
      </c>
      <c r="DE118" s="197">
        <f t="shared" si="274"/>
        <v>675.88799999999992</v>
      </c>
      <c r="DF118" s="196">
        <f t="shared" si="325"/>
        <v>689.69999999999993</v>
      </c>
      <c r="DG118" s="197">
        <f t="shared" si="306"/>
        <v>220</v>
      </c>
      <c r="DH118" s="197">
        <f t="shared" si="307"/>
        <v>233.81200000000001</v>
      </c>
      <c r="DI118" s="197">
        <f t="shared" si="308"/>
        <v>455.88799999999992</v>
      </c>
      <c r="DJ118" s="199">
        <f t="shared" si="309"/>
        <v>675.88799999999992</v>
      </c>
      <c r="DK118" s="196">
        <f t="shared" si="326"/>
        <v>2928.4749999999995</v>
      </c>
      <c r="DL118" s="197">
        <f t="shared" si="310"/>
        <v>1320</v>
      </c>
      <c r="DM118" s="197">
        <f t="shared" si="310"/>
        <v>3363.4719999999998</v>
      </c>
      <c r="DN118" s="197">
        <f t="shared" si="310"/>
        <v>-434.9970000000003</v>
      </c>
      <c r="DO118" s="199">
        <f t="shared" si="310"/>
        <v>885.0029999999997</v>
      </c>
    </row>
    <row r="119" spans="2:119" x14ac:dyDescent="0.3">
      <c r="B119" s="204">
        <f t="shared" si="311"/>
        <v>7</v>
      </c>
      <c r="C119" s="747">
        <f>'Energy NPV'!$D45</f>
        <v>12.54</v>
      </c>
      <c r="D119" s="197">
        <f>'Energy margins'!$L$12</f>
        <v>55</v>
      </c>
      <c r="E119" s="197">
        <f t="shared" si="312"/>
        <v>689.69999999999993</v>
      </c>
      <c r="F119" s="197">
        <f>'Margins summary'!$S$14</f>
        <v>220</v>
      </c>
      <c r="G119" s="197">
        <f t="shared" si="275"/>
        <v>909.69999999999993</v>
      </c>
      <c r="H119" s="197"/>
      <c r="I119" s="897">
        <f>'Energy NPV'!U45</f>
        <v>233.81200000000001</v>
      </c>
      <c r="J119" s="197"/>
      <c r="K119" s="197">
        <f t="shared" si="276"/>
        <v>233.81200000000001</v>
      </c>
      <c r="L119" s="197">
        <f t="shared" si="265"/>
        <v>455.88799999999992</v>
      </c>
      <c r="M119" s="197">
        <f t="shared" si="266"/>
        <v>675.88799999999992</v>
      </c>
      <c r="N119" s="196">
        <f t="shared" si="277"/>
        <v>545.07992839608141</v>
      </c>
      <c r="O119" s="197">
        <f t="shared" si="277"/>
        <v>173.86919566063204</v>
      </c>
      <c r="P119" s="197">
        <f t="shared" si="278"/>
        <v>184.78501989001683</v>
      </c>
      <c r="Q119" s="197">
        <f t="shared" si="278"/>
        <v>360.29490850606459</v>
      </c>
      <c r="R119" s="199">
        <f t="shared" si="278"/>
        <v>534.16410416669669</v>
      </c>
      <c r="S119" s="196">
        <f t="shared" si="313"/>
        <v>3119.6759764884905</v>
      </c>
      <c r="T119" s="197">
        <f t="shared" si="279"/>
        <v>1373.2701084841974</v>
      </c>
      <c r="U119" s="197">
        <f t="shared" si="279"/>
        <v>3408.6617986075653</v>
      </c>
      <c r="V119" s="197">
        <f t="shared" si="279"/>
        <v>-288.98582211907541</v>
      </c>
      <c r="W119" s="199">
        <f t="shared" si="279"/>
        <v>1084.2842863651215</v>
      </c>
      <c r="X119" s="197"/>
      <c r="Z119" s="204">
        <f t="shared" si="314"/>
        <v>7</v>
      </c>
      <c r="AA119" s="747">
        <f>'Energy NPV'!$D45</f>
        <v>12.54</v>
      </c>
      <c r="AB119" s="197">
        <f>'Energy margins'!$L$12</f>
        <v>55</v>
      </c>
      <c r="AC119" s="197">
        <f t="shared" si="315"/>
        <v>689.69999999999993</v>
      </c>
      <c r="AD119" s="197">
        <f>'Margins summary'!$S$14</f>
        <v>220</v>
      </c>
      <c r="AE119" s="197">
        <f t="shared" si="280"/>
        <v>909.69999999999993</v>
      </c>
      <c r="AF119" s="197"/>
      <c r="AG119" s="897">
        <f>'Energy NPV'!U45</f>
        <v>233.81200000000001</v>
      </c>
      <c r="AH119" s="197"/>
      <c r="AI119" s="197">
        <f t="shared" si="281"/>
        <v>233.81200000000001</v>
      </c>
      <c r="AJ119" s="197">
        <f t="shared" si="267"/>
        <v>455.88799999999992</v>
      </c>
      <c r="AK119" s="197">
        <f t="shared" si="268"/>
        <v>675.88799999999992</v>
      </c>
      <c r="AL119" s="196">
        <f t="shared" si="282"/>
        <v>486.2112847412447</v>
      </c>
      <c r="AM119" s="197">
        <f t="shared" si="283"/>
        <v>155.09131889672878</v>
      </c>
      <c r="AN119" s="197">
        <f t="shared" si="284"/>
        <v>164.82823388128159</v>
      </c>
      <c r="AO119" s="197">
        <f t="shared" si="285"/>
        <v>321.38305085996308</v>
      </c>
      <c r="AP119" s="199">
        <f t="shared" si="286"/>
        <v>476.47436975669189</v>
      </c>
      <c r="AQ119" s="196">
        <f t="shared" si="316"/>
        <v>2906.9861526156565</v>
      </c>
      <c r="AR119" s="197">
        <f t="shared" si="287"/>
        <v>1301.8113517211855</v>
      </c>
      <c r="AS119" s="197">
        <f t="shared" si="287"/>
        <v>3327.4307197548342</v>
      </c>
      <c r="AT119" s="197">
        <f t="shared" si="287"/>
        <v>-420.44456713917748</v>
      </c>
      <c r="AU119" s="199">
        <f t="shared" si="287"/>
        <v>881.36678458200845</v>
      </c>
      <c r="AV119" s="197"/>
      <c r="AX119" s="204">
        <f t="shared" si="317"/>
        <v>7</v>
      </c>
      <c r="AY119" s="747">
        <f>'Energy NPV'!$D45</f>
        <v>12.54</v>
      </c>
      <c r="AZ119" s="197">
        <f>'Energy margins'!$L$12</f>
        <v>55</v>
      </c>
      <c r="BA119" s="197">
        <f t="shared" si="318"/>
        <v>689.69999999999993</v>
      </c>
      <c r="BB119" s="197">
        <f>'Margins summary'!$S$14</f>
        <v>220</v>
      </c>
      <c r="BC119" s="197">
        <f t="shared" si="288"/>
        <v>909.69999999999993</v>
      </c>
      <c r="BD119" s="197"/>
      <c r="BE119" s="897">
        <f>'Energy NPV'!U45</f>
        <v>233.81200000000001</v>
      </c>
      <c r="BF119" s="197"/>
      <c r="BG119" s="197">
        <f t="shared" si="289"/>
        <v>233.81200000000001</v>
      </c>
      <c r="BH119" s="197">
        <f t="shared" si="269"/>
        <v>455.88799999999992</v>
      </c>
      <c r="BI119" s="197">
        <f t="shared" si="270"/>
        <v>675.88799999999992</v>
      </c>
      <c r="BJ119" s="196">
        <f t="shared" si="290"/>
        <v>612.43386229381656</v>
      </c>
      <c r="BK119" s="197">
        <f t="shared" si="291"/>
        <v>195.35370408096225</v>
      </c>
      <c r="BL119" s="197">
        <f t="shared" si="292"/>
        <v>207.61836481171792</v>
      </c>
      <c r="BM119" s="197">
        <f t="shared" si="293"/>
        <v>404.81549748209864</v>
      </c>
      <c r="BN119" s="199">
        <f t="shared" si="294"/>
        <v>600.16920156306082</v>
      </c>
      <c r="BO119" s="196">
        <f t="shared" si="319"/>
        <v>3355.6480041096283</v>
      </c>
      <c r="BP119" s="197">
        <f t="shared" si="295"/>
        <v>1452.3147959518874</v>
      </c>
      <c r="BQ119" s="197">
        <f t="shared" si="295"/>
        <v>3498.2323215056063</v>
      </c>
      <c r="BR119" s="197">
        <f t="shared" si="295"/>
        <v>-142.58431739597802</v>
      </c>
      <c r="BS119" s="199">
        <f t="shared" si="295"/>
        <v>1309.730478555909</v>
      </c>
      <c r="BT119" s="197"/>
      <c r="BV119" s="204">
        <f t="shared" si="320"/>
        <v>7</v>
      </c>
      <c r="BW119" s="747">
        <f>'Energy NPV'!$D45</f>
        <v>12.54</v>
      </c>
      <c r="BX119" s="197">
        <f>'Energy margins'!$L$12</f>
        <v>55</v>
      </c>
      <c r="BY119" s="197">
        <f t="shared" si="321"/>
        <v>689.69999999999993</v>
      </c>
      <c r="BZ119" s="197">
        <f>'Margins summary'!$S$14</f>
        <v>220</v>
      </c>
      <c r="CA119" s="197">
        <f t="shared" si="296"/>
        <v>909.69999999999993</v>
      </c>
      <c r="CB119" s="197"/>
      <c r="CC119" s="897">
        <f>'Energy NPV'!U45</f>
        <v>233.81200000000001</v>
      </c>
      <c r="CD119" s="197"/>
      <c r="CE119" s="197">
        <f t="shared" si="297"/>
        <v>233.81200000000001</v>
      </c>
      <c r="CF119" s="197">
        <f t="shared" si="271"/>
        <v>455.88799999999992</v>
      </c>
      <c r="CG119" s="197">
        <f t="shared" si="272"/>
        <v>675.88799999999992</v>
      </c>
      <c r="CH119" s="196">
        <f t="shared" si="298"/>
        <v>434.62799166127718</v>
      </c>
      <c r="CI119" s="197">
        <f t="shared" si="299"/>
        <v>138.63731791428302</v>
      </c>
      <c r="CJ119" s="197">
        <f t="shared" si="300"/>
        <v>147.34122080079246</v>
      </c>
      <c r="CK119" s="197">
        <f t="shared" si="301"/>
        <v>287.28677086048475</v>
      </c>
      <c r="CL119" s="199">
        <f t="shared" si="302"/>
        <v>425.92408877476771</v>
      </c>
      <c r="CM119" s="196">
        <f t="shared" si="322"/>
        <v>2714.772017814279</v>
      </c>
      <c r="CN119" s="197">
        <f t="shared" si="303"/>
        <v>1237.0335260714619</v>
      </c>
      <c r="CO119" s="197">
        <f t="shared" si="303"/>
        <v>3253.5581940367329</v>
      </c>
      <c r="CP119" s="197">
        <f t="shared" si="303"/>
        <v>-538.78617622245338</v>
      </c>
      <c r="CQ119" s="199">
        <f t="shared" si="303"/>
        <v>698.24734984900783</v>
      </c>
      <c r="CR119" s="197"/>
      <c r="CT119" s="204">
        <f t="shared" si="323"/>
        <v>7</v>
      </c>
      <c r="CU119" s="747">
        <f>'Energy NPV'!$D45</f>
        <v>12.54</v>
      </c>
      <c r="CV119" s="197">
        <f>'Energy margins'!$L$12</f>
        <v>55</v>
      </c>
      <c r="CW119" s="197">
        <f t="shared" si="324"/>
        <v>689.69999999999993</v>
      </c>
      <c r="CX119" s="197">
        <f>'Margins summary'!$S$14</f>
        <v>220</v>
      </c>
      <c r="CY119" s="197">
        <f t="shared" si="304"/>
        <v>909.69999999999993</v>
      </c>
      <c r="CZ119" s="197"/>
      <c r="DA119" s="897">
        <f>'Energy NPV'!U45</f>
        <v>233.81200000000001</v>
      </c>
      <c r="DB119" s="197"/>
      <c r="DC119" s="197">
        <f t="shared" si="305"/>
        <v>233.81200000000001</v>
      </c>
      <c r="DD119" s="197">
        <f t="shared" si="273"/>
        <v>455.88799999999992</v>
      </c>
      <c r="DE119" s="197">
        <f t="shared" si="274"/>
        <v>675.88799999999992</v>
      </c>
      <c r="DF119" s="196">
        <f t="shared" si="325"/>
        <v>689.69999999999993</v>
      </c>
      <c r="DG119" s="197">
        <f t="shared" si="306"/>
        <v>220</v>
      </c>
      <c r="DH119" s="197">
        <f t="shared" si="307"/>
        <v>233.81200000000001</v>
      </c>
      <c r="DI119" s="197">
        <f t="shared" si="308"/>
        <v>455.88799999999992</v>
      </c>
      <c r="DJ119" s="199">
        <f t="shared" si="309"/>
        <v>675.88799999999992</v>
      </c>
      <c r="DK119" s="196">
        <f t="shared" si="326"/>
        <v>3618.1749999999993</v>
      </c>
      <c r="DL119" s="197">
        <f t="shared" si="310"/>
        <v>1540</v>
      </c>
      <c r="DM119" s="197">
        <f t="shared" si="310"/>
        <v>3597.2839999999997</v>
      </c>
      <c r="DN119" s="197">
        <f t="shared" si="310"/>
        <v>20.890999999999622</v>
      </c>
      <c r="DO119" s="199">
        <f t="shared" si="310"/>
        <v>1560.8909999999996</v>
      </c>
    </row>
    <row r="120" spans="2:119" x14ac:dyDescent="0.3">
      <c r="B120" s="204">
        <f t="shared" si="311"/>
        <v>8</v>
      </c>
      <c r="C120" s="747">
        <f>'Energy NPV'!$D46</f>
        <v>12.54</v>
      </c>
      <c r="D120" s="197">
        <f>'Energy margins'!$L$12</f>
        <v>55</v>
      </c>
      <c r="E120" s="197">
        <f t="shared" si="312"/>
        <v>689.69999999999993</v>
      </c>
      <c r="F120" s="197">
        <f>'Margins summary'!$S$14</f>
        <v>220</v>
      </c>
      <c r="G120" s="197">
        <f t="shared" si="275"/>
        <v>909.69999999999993</v>
      </c>
      <c r="H120" s="197"/>
      <c r="I120" s="897">
        <f>'Energy NPV'!U46</f>
        <v>233.81200000000001</v>
      </c>
      <c r="J120" s="197"/>
      <c r="K120" s="197">
        <f t="shared" si="276"/>
        <v>233.81200000000001</v>
      </c>
      <c r="L120" s="197">
        <f t="shared" si="265"/>
        <v>455.88799999999992</v>
      </c>
      <c r="M120" s="197">
        <f t="shared" si="266"/>
        <v>675.88799999999992</v>
      </c>
      <c r="N120" s="196">
        <f t="shared" si="277"/>
        <v>524.11531576546292</v>
      </c>
      <c r="O120" s="197">
        <f t="shared" si="277"/>
        <v>167.18191890445391</v>
      </c>
      <c r="P120" s="197">
        <f t="shared" si="278"/>
        <v>177.67790374040084</v>
      </c>
      <c r="Q120" s="197">
        <f t="shared" si="278"/>
        <v>346.43741202506214</v>
      </c>
      <c r="R120" s="199">
        <f t="shared" si="278"/>
        <v>513.61933092951608</v>
      </c>
      <c r="S120" s="196">
        <f t="shared" si="313"/>
        <v>3643.7912922539535</v>
      </c>
      <c r="T120" s="197">
        <f t="shared" si="279"/>
        <v>1540.4520273886512</v>
      </c>
      <c r="U120" s="197">
        <f t="shared" si="279"/>
        <v>3586.3397023479661</v>
      </c>
      <c r="V120" s="197">
        <f t="shared" si="279"/>
        <v>57.451589905986737</v>
      </c>
      <c r="W120" s="199">
        <f t="shared" si="279"/>
        <v>1597.9036172946376</v>
      </c>
      <c r="X120" s="197"/>
      <c r="Z120" s="204">
        <f t="shared" si="314"/>
        <v>8</v>
      </c>
      <c r="AA120" s="747">
        <f>'Energy NPV'!$D46</f>
        <v>12.54</v>
      </c>
      <c r="AB120" s="197">
        <f>'Energy margins'!$L$12</f>
        <v>55</v>
      </c>
      <c r="AC120" s="197">
        <f t="shared" si="315"/>
        <v>689.69999999999993</v>
      </c>
      <c r="AD120" s="197">
        <f>'Margins summary'!$S$14</f>
        <v>220</v>
      </c>
      <c r="AE120" s="197">
        <f t="shared" si="280"/>
        <v>909.69999999999993</v>
      </c>
      <c r="AF120" s="197"/>
      <c r="AG120" s="897">
        <f>'Energy NPV'!U46</f>
        <v>233.81200000000001</v>
      </c>
      <c r="AH120" s="197"/>
      <c r="AI120" s="197">
        <f t="shared" si="281"/>
        <v>233.81200000000001</v>
      </c>
      <c r="AJ120" s="197">
        <f t="shared" si="267"/>
        <v>455.88799999999992</v>
      </c>
      <c r="AK120" s="197">
        <f t="shared" si="268"/>
        <v>675.88799999999992</v>
      </c>
      <c r="AL120" s="196">
        <f t="shared" si="282"/>
        <v>458.68989126532512</v>
      </c>
      <c r="AM120" s="197">
        <f t="shared" si="283"/>
        <v>146.31256499691392</v>
      </c>
      <c r="AN120" s="197">
        <f t="shared" si="284"/>
        <v>155.49833385026565</v>
      </c>
      <c r="AO120" s="197">
        <f t="shared" si="285"/>
        <v>303.19155741505949</v>
      </c>
      <c r="AP120" s="199">
        <f t="shared" si="286"/>
        <v>449.50412241197341</v>
      </c>
      <c r="AQ120" s="196">
        <f t="shared" si="316"/>
        <v>3365.6760438809815</v>
      </c>
      <c r="AR120" s="197">
        <f t="shared" si="287"/>
        <v>1448.1239167180993</v>
      </c>
      <c r="AS120" s="197">
        <f t="shared" si="287"/>
        <v>3482.9290536050999</v>
      </c>
      <c r="AT120" s="197">
        <f t="shared" si="287"/>
        <v>-117.25300972411799</v>
      </c>
      <c r="AU120" s="199">
        <f t="shared" si="287"/>
        <v>1330.8709069939819</v>
      </c>
      <c r="AV120" s="197"/>
      <c r="AX120" s="204">
        <f t="shared" si="317"/>
        <v>8</v>
      </c>
      <c r="AY120" s="747">
        <f>'Energy NPV'!$D46</f>
        <v>12.54</v>
      </c>
      <c r="AZ120" s="197">
        <f>'Energy margins'!$L$12</f>
        <v>55</v>
      </c>
      <c r="BA120" s="197">
        <f t="shared" si="318"/>
        <v>689.69999999999993</v>
      </c>
      <c r="BB120" s="197">
        <f>'Margins summary'!$S$14</f>
        <v>220</v>
      </c>
      <c r="BC120" s="197">
        <f t="shared" si="288"/>
        <v>909.69999999999993</v>
      </c>
      <c r="BD120" s="197"/>
      <c r="BE120" s="897">
        <f>'Energy NPV'!U46</f>
        <v>233.81200000000001</v>
      </c>
      <c r="BF120" s="197"/>
      <c r="BG120" s="197">
        <f t="shared" si="289"/>
        <v>233.81200000000001</v>
      </c>
      <c r="BH120" s="197">
        <f t="shared" si="269"/>
        <v>455.88799999999992</v>
      </c>
      <c r="BI120" s="197">
        <f t="shared" si="270"/>
        <v>675.88799999999992</v>
      </c>
      <c r="BJ120" s="196">
        <f t="shared" si="290"/>
        <v>600.42535519001638</v>
      </c>
      <c r="BK120" s="197">
        <f t="shared" si="291"/>
        <v>191.52323929506107</v>
      </c>
      <c r="BL120" s="197">
        <f t="shared" si="292"/>
        <v>203.54741648207644</v>
      </c>
      <c r="BM120" s="197">
        <f t="shared" si="293"/>
        <v>396.8779387079399</v>
      </c>
      <c r="BN120" s="199">
        <f t="shared" si="294"/>
        <v>588.40117800300095</v>
      </c>
      <c r="BO120" s="196">
        <f t="shared" si="319"/>
        <v>3956.0733592996448</v>
      </c>
      <c r="BP120" s="197">
        <f t="shared" si="295"/>
        <v>1643.8380352469485</v>
      </c>
      <c r="BQ120" s="197">
        <f t="shared" si="295"/>
        <v>3701.7797379876829</v>
      </c>
      <c r="BR120" s="197">
        <f t="shared" si="295"/>
        <v>254.29362131196189</v>
      </c>
      <c r="BS120" s="199">
        <f t="shared" si="295"/>
        <v>1898.13165655891</v>
      </c>
      <c r="BT120" s="197"/>
      <c r="BV120" s="204">
        <f t="shared" si="320"/>
        <v>8</v>
      </c>
      <c r="BW120" s="747">
        <f>'Energy NPV'!$D46</f>
        <v>12.54</v>
      </c>
      <c r="BX120" s="197">
        <f>'Energy margins'!$L$12</f>
        <v>55</v>
      </c>
      <c r="BY120" s="197">
        <f t="shared" si="321"/>
        <v>689.69999999999993</v>
      </c>
      <c r="BZ120" s="197">
        <f>'Margins summary'!$S$14</f>
        <v>220</v>
      </c>
      <c r="CA120" s="197">
        <f t="shared" si="296"/>
        <v>909.69999999999993</v>
      </c>
      <c r="CB120" s="197"/>
      <c r="CC120" s="897">
        <f>'Energy NPV'!U46</f>
        <v>233.81200000000001</v>
      </c>
      <c r="CD120" s="197"/>
      <c r="CE120" s="197">
        <f t="shared" si="297"/>
        <v>233.81200000000001</v>
      </c>
      <c r="CF120" s="197">
        <f t="shared" si="271"/>
        <v>455.88799999999992</v>
      </c>
      <c r="CG120" s="197">
        <f t="shared" si="272"/>
        <v>675.88799999999992</v>
      </c>
      <c r="CH120" s="196">
        <f t="shared" si="298"/>
        <v>402.43332561229369</v>
      </c>
      <c r="CI120" s="197">
        <f t="shared" si="299"/>
        <v>128.36788695766944</v>
      </c>
      <c r="CJ120" s="197">
        <f t="shared" si="300"/>
        <v>136.42705629703005</v>
      </c>
      <c r="CK120" s="197">
        <f t="shared" si="301"/>
        <v>266.00626931526364</v>
      </c>
      <c r="CL120" s="199">
        <f t="shared" si="302"/>
        <v>394.37415627293308</v>
      </c>
      <c r="CM120" s="196">
        <f t="shared" si="322"/>
        <v>3117.2053434265727</v>
      </c>
      <c r="CN120" s="197">
        <f t="shared" si="303"/>
        <v>1365.4014130291314</v>
      </c>
      <c r="CO120" s="197">
        <f t="shared" si="303"/>
        <v>3389.9852503337629</v>
      </c>
      <c r="CP120" s="197">
        <f t="shared" si="303"/>
        <v>-272.77990690718974</v>
      </c>
      <c r="CQ120" s="199">
        <f t="shared" si="303"/>
        <v>1092.6215061219409</v>
      </c>
      <c r="CR120" s="197"/>
      <c r="CT120" s="204">
        <f t="shared" si="323"/>
        <v>8</v>
      </c>
      <c r="CU120" s="747">
        <f>'Energy NPV'!$D46</f>
        <v>12.54</v>
      </c>
      <c r="CV120" s="197">
        <f>'Energy margins'!$L$12</f>
        <v>55</v>
      </c>
      <c r="CW120" s="197">
        <f t="shared" si="324"/>
        <v>689.69999999999993</v>
      </c>
      <c r="CX120" s="197">
        <f>'Margins summary'!$S$14</f>
        <v>220</v>
      </c>
      <c r="CY120" s="197">
        <f t="shared" si="304"/>
        <v>909.69999999999993</v>
      </c>
      <c r="CZ120" s="197"/>
      <c r="DA120" s="897">
        <f>'Energy NPV'!U46</f>
        <v>233.81200000000001</v>
      </c>
      <c r="DB120" s="197"/>
      <c r="DC120" s="197">
        <f t="shared" si="305"/>
        <v>233.81200000000001</v>
      </c>
      <c r="DD120" s="197">
        <f t="shared" si="273"/>
        <v>455.88799999999992</v>
      </c>
      <c r="DE120" s="197">
        <f t="shared" si="274"/>
        <v>675.88799999999992</v>
      </c>
      <c r="DF120" s="196">
        <f t="shared" si="325"/>
        <v>689.69999999999993</v>
      </c>
      <c r="DG120" s="197">
        <f t="shared" si="306"/>
        <v>220</v>
      </c>
      <c r="DH120" s="197">
        <f t="shared" si="307"/>
        <v>233.81200000000001</v>
      </c>
      <c r="DI120" s="197">
        <f t="shared" si="308"/>
        <v>455.88799999999992</v>
      </c>
      <c r="DJ120" s="199">
        <f t="shared" si="309"/>
        <v>675.88799999999992</v>
      </c>
      <c r="DK120" s="196">
        <f t="shared" si="326"/>
        <v>4307.8749999999991</v>
      </c>
      <c r="DL120" s="197">
        <f t="shared" si="310"/>
        <v>1760</v>
      </c>
      <c r="DM120" s="197">
        <f t="shared" si="310"/>
        <v>3831.0959999999995</v>
      </c>
      <c r="DN120" s="197">
        <f t="shared" si="310"/>
        <v>476.77899999999954</v>
      </c>
      <c r="DO120" s="199">
        <f t="shared" si="310"/>
        <v>2236.7789999999995</v>
      </c>
    </row>
    <row r="121" spans="2:119" x14ac:dyDescent="0.3">
      <c r="B121" s="204">
        <f t="shared" si="311"/>
        <v>9</v>
      </c>
      <c r="C121" s="747">
        <f>'Energy NPV'!$D47</f>
        <v>12.54</v>
      </c>
      <c r="D121" s="197">
        <f>'Energy margins'!$L$12</f>
        <v>55</v>
      </c>
      <c r="E121" s="197">
        <f t="shared" si="312"/>
        <v>689.69999999999993</v>
      </c>
      <c r="F121" s="197">
        <f>'Margins summary'!$S$14</f>
        <v>220</v>
      </c>
      <c r="G121" s="197">
        <f t="shared" si="275"/>
        <v>909.69999999999993</v>
      </c>
      <c r="H121" s="197"/>
      <c r="I121" s="897">
        <f>'Energy NPV'!U47</f>
        <v>233.81200000000001</v>
      </c>
      <c r="J121" s="197"/>
      <c r="K121" s="197">
        <f t="shared" si="276"/>
        <v>233.81200000000001</v>
      </c>
      <c r="L121" s="197">
        <f t="shared" si="265"/>
        <v>455.88799999999992</v>
      </c>
      <c r="M121" s="197">
        <f t="shared" si="266"/>
        <v>675.88799999999992</v>
      </c>
      <c r="N121" s="196">
        <f t="shared" si="277"/>
        <v>503.95703438986817</v>
      </c>
      <c r="O121" s="197">
        <f t="shared" si="277"/>
        <v>160.75184510043644</v>
      </c>
      <c r="P121" s="197">
        <f t="shared" si="278"/>
        <v>170.84413821192385</v>
      </c>
      <c r="Q121" s="197">
        <f t="shared" si="278"/>
        <v>333.11289617794432</v>
      </c>
      <c r="R121" s="199">
        <f t="shared" si="278"/>
        <v>493.86474127838073</v>
      </c>
      <c r="S121" s="196">
        <f t="shared" si="313"/>
        <v>4147.7483266438221</v>
      </c>
      <c r="T121" s="197">
        <f t="shared" si="279"/>
        <v>1701.2038724890876</v>
      </c>
      <c r="U121" s="197">
        <f t="shared" si="279"/>
        <v>3757.1838405598901</v>
      </c>
      <c r="V121" s="197">
        <f t="shared" si="279"/>
        <v>390.56448608393106</v>
      </c>
      <c r="W121" s="199">
        <f t="shared" si="279"/>
        <v>2091.7683585730183</v>
      </c>
      <c r="X121" s="197"/>
      <c r="Z121" s="204">
        <f t="shared" si="314"/>
        <v>9</v>
      </c>
      <c r="AA121" s="747">
        <f>'Energy NPV'!$D47</f>
        <v>12.54</v>
      </c>
      <c r="AB121" s="197">
        <f>'Energy margins'!$L$12</f>
        <v>55</v>
      </c>
      <c r="AC121" s="197">
        <f t="shared" si="315"/>
        <v>689.69999999999993</v>
      </c>
      <c r="AD121" s="197">
        <f>'Margins summary'!$S$14</f>
        <v>220</v>
      </c>
      <c r="AE121" s="197">
        <f t="shared" si="280"/>
        <v>909.69999999999993</v>
      </c>
      <c r="AF121" s="197"/>
      <c r="AG121" s="897">
        <f>'Energy NPV'!U47</f>
        <v>233.81200000000001</v>
      </c>
      <c r="AH121" s="197"/>
      <c r="AI121" s="197">
        <f t="shared" si="281"/>
        <v>233.81200000000001</v>
      </c>
      <c r="AJ121" s="197">
        <f t="shared" si="267"/>
        <v>455.88799999999992</v>
      </c>
      <c r="AK121" s="197">
        <f t="shared" si="268"/>
        <v>675.88799999999992</v>
      </c>
      <c r="AL121" s="196">
        <f t="shared" si="282"/>
        <v>432.72631251445767</v>
      </c>
      <c r="AM121" s="197">
        <f t="shared" si="283"/>
        <v>138.03072169520183</v>
      </c>
      <c r="AN121" s="197">
        <f t="shared" si="284"/>
        <v>146.69654136817513</v>
      </c>
      <c r="AO121" s="197">
        <f t="shared" si="285"/>
        <v>286.02977114628254</v>
      </c>
      <c r="AP121" s="199">
        <f t="shared" si="286"/>
        <v>424.0604928414844</v>
      </c>
      <c r="AQ121" s="196">
        <f t="shared" si="316"/>
        <v>3798.4023563954393</v>
      </c>
      <c r="AR121" s="197">
        <f t="shared" si="287"/>
        <v>1586.1546384133012</v>
      </c>
      <c r="AS121" s="197">
        <f t="shared" si="287"/>
        <v>3629.6255949732749</v>
      </c>
      <c r="AT121" s="197">
        <f t="shared" si="287"/>
        <v>168.77676142216455</v>
      </c>
      <c r="AU121" s="199">
        <f t="shared" si="287"/>
        <v>1754.9313998354662</v>
      </c>
      <c r="AV121" s="197"/>
      <c r="AX121" s="204">
        <f t="shared" si="317"/>
        <v>9</v>
      </c>
      <c r="AY121" s="747">
        <f>'Energy NPV'!$D47</f>
        <v>12.54</v>
      </c>
      <c r="AZ121" s="197">
        <f>'Energy margins'!$L$12</f>
        <v>55</v>
      </c>
      <c r="BA121" s="197">
        <f t="shared" si="318"/>
        <v>689.69999999999993</v>
      </c>
      <c r="BB121" s="197">
        <f>'Margins summary'!$S$14</f>
        <v>220</v>
      </c>
      <c r="BC121" s="197">
        <f t="shared" si="288"/>
        <v>909.69999999999993</v>
      </c>
      <c r="BD121" s="197"/>
      <c r="BE121" s="897">
        <f>'Energy NPV'!U47</f>
        <v>233.81200000000001</v>
      </c>
      <c r="BF121" s="197"/>
      <c r="BG121" s="197">
        <f t="shared" si="289"/>
        <v>233.81200000000001</v>
      </c>
      <c r="BH121" s="197">
        <f t="shared" si="269"/>
        <v>455.88799999999992</v>
      </c>
      <c r="BI121" s="197">
        <f t="shared" si="270"/>
        <v>675.88799999999992</v>
      </c>
      <c r="BJ121" s="196">
        <f t="shared" si="290"/>
        <v>588.65230900981987</v>
      </c>
      <c r="BK121" s="197">
        <f t="shared" si="291"/>
        <v>187.76788166182456</v>
      </c>
      <c r="BL121" s="197">
        <f t="shared" si="292"/>
        <v>199.55629066870239</v>
      </c>
      <c r="BM121" s="197">
        <f t="shared" si="293"/>
        <v>389.09601834111754</v>
      </c>
      <c r="BN121" s="199">
        <f t="shared" si="294"/>
        <v>576.86390000294205</v>
      </c>
      <c r="BO121" s="196">
        <f t="shared" si="319"/>
        <v>4544.7256683094647</v>
      </c>
      <c r="BP121" s="197">
        <f t="shared" si="295"/>
        <v>1831.605916908773</v>
      </c>
      <c r="BQ121" s="197">
        <f t="shared" si="295"/>
        <v>3901.3360286563852</v>
      </c>
      <c r="BR121" s="197">
        <f t="shared" si="295"/>
        <v>643.38963965307948</v>
      </c>
      <c r="BS121" s="199">
        <f t="shared" si="295"/>
        <v>2474.995556561852</v>
      </c>
      <c r="BT121" s="197"/>
      <c r="BV121" s="204">
        <f t="shared" si="320"/>
        <v>9</v>
      </c>
      <c r="BW121" s="747">
        <f>'Energy NPV'!$D47</f>
        <v>12.54</v>
      </c>
      <c r="BX121" s="197">
        <f>'Energy margins'!$L$12</f>
        <v>55</v>
      </c>
      <c r="BY121" s="197">
        <f t="shared" si="321"/>
        <v>689.69999999999993</v>
      </c>
      <c r="BZ121" s="197">
        <f>'Margins summary'!$S$14</f>
        <v>220</v>
      </c>
      <c r="CA121" s="197">
        <f t="shared" si="296"/>
        <v>909.69999999999993</v>
      </c>
      <c r="CB121" s="197"/>
      <c r="CC121" s="897">
        <f>'Energy NPV'!U47</f>
        <v>233.81200000000001</v>
      </c>
      <c r="CD121" s="197"/>
      <c r="CE121" s="197">
        <f t="shared" si="297"/>
        <v>233.81200000000001</v>
      </c>
      <c r="CF121" s="197">
        <f t="shared" si="271"/>
        <v>455.88799999999992</v>
      </c>
      <c r="CG121" s="197">
        <f t="shared" si="272"/>
        <v>675.88799999999992</v>
      </c>
      <c r="CH121" s="196">
        <f t="shared" si="298"/>
        <v>372.62344964101266</v>
      </c>
      <c r="CI121" s="197">
        <f t="shared" si="299"/>
        <v>118.85915459043467</v>
      </c>
      <c r="CJ121" s="197">
        <f t="shared" si="300"/>
        <v>126.32134842317596</v>
      </c>
      <c r="CK121" s="197">
        <f t="shared" si="301"/>
        <v>246.30210121783668</v>
      </c>
      <c r="CL121" s="199">
        <f t="shared" si="302"/>
        <v>365.16125580827133</v>
      </c>
      <c r="CM121" s="196">
        <f t="shared" si="322"/>
        <v>3489.8287930675851</v>
      </c>
      <c r="CN121" s="197">
        <f t="shared" si="303"/>
        <v>1484.260567619566</v>
      </c>
      <c r="CO121" s="197">
        <f t="shared" si="303"/>
        <v>3516.3065987569389</v>
      </c>
      <c r="CP121" s="197">
        <f t="shared" si="303"/>
        <v>-26.477805689353062</v>
      </c>
      <c r="CQ121" s="199">
        <f t="shared" si="303"/>
        <v>1457.7827619302122</v>
      </c>
      <c r="CR121" s="197"/>
      <c r="CT121" s="204">
        <f t="shared" si="323"/>
        <v>9</v>
      </c>
      <c r="CU121" s="747">
        <f>'Energy NPV'!$D47</f>
        <v>12.54</v>
      </c>
      <c r="CV121" s="197">
        <f>'Energy margins'!$L$12</f>
        <v>55</v>
      </c>
      <c r="CW121" s="197">
        <f t="shared" si="324"/>
        <v>689.69999999999993</v>
      </c>
      <c r="CX121" s="197">
        <f>'Margins summary'!$S$14</f>
        <v>220</v>
      </c>
      <c r="CY121" s="197">
        <f t="shared" si="304"/>
        <v>909.69999999999993</v>
      </c>
      <c r="CZ121" s="197"/>
      <c r="DA121" s="897">
        <f>'Energy NPV'!U47</f>
        <v>233.81200000000001</v>
      </c>
      <c r="DB121" s="197"/>
      <c r="DC121" s="197">
        <f t="shared" si="305"/>
        <v>233.81200000000001</v>
      </c>
      <c r="DD121" s="197">
        <f t="shared" si="273"/>
        <v>455.88799999999992</v>
      </c>
      <c r="DE121" s="197">
        <f t="shared" si="274"/>
        <v>675.88799999999992</v>
      </c>
      <c r="DF121" s="196">
        <f t="shared" si="325"/>
        <v>689.69999999999993</v>
      </c>
      <c r="DG121" s="197">
        <f t="shared" si="306"/>
        <v>220</v>
      </c>
      <c r="DH121" s="197">
        <f t="shared" si="307"/>
        <v>233.81200000000001</v>
      </c>
      <c r="DI121" s="197">
        <f t="shared" si="308"/>
        <v>455.88799999999992</v>
      </c>
      <c r="DJ121" s="199">
        <f t="shared" si="309"/>
        <v>675.88799999999992</v>
      </c>
      <c r="DK121" s="196">
        <f t="shared" si="326"/>
        <v>4997.5749999999989</v>
      </c>
      <c r="DL121" s="197">
        <f t="shared" si="310"/>
        <v>1980</v>
      </c>
      <c r="DM121" s="197">
        <f t="shared" si="310"/>
        <v>4064.9079999999994</v>
      </c>
      <c r="DN121" s="197">
        <f t="shared" si="310"/>
        <v>932.66699999999946</v>
      </c>
      <c r="DO121" s="199">
        <f t="shared" si="310"/>
        <v>2912.6669999999995</v>
      </c>
    </row>
    <row r="122" spans="2:119" x14ac:dyDescent="0.3">
      <c r="B122" s="204">
        <f t="shared" si="311"/>
        <v>10</v>
      </c>
      <c r="C122" s="747">
        <f>'Energy NPV'!$D48</f>
        <v>12.54</v>
      </c>
      <c r="D122" s="197">
        <f>'Energy margins'!$L$12</f>
        <v>55</v>
      </c>
      <c r="E122" s="197">
        <f t="shared" si="312"/>
        <v>689.69999999999993</v>
      </c>
      <c r="F122" s="197">
        <f>'Margins summary'!$S$14</f>
        <v>220</v>
      </c>
      <c r="G122" s="197">
        <f t="shared" si="275"/>
        <v>909.69999999999993</v>
      </c>
      <c r="H122" s="197"/>
      <c r="I122" s="897">
        <f>'Energy NPV'!U48</f>
        <v>233.81200000000001</v>
      </c>
      <c r="J122" s="197"/>
      <c r="K122" s="197">
        <f t="shared" si="276"/>
        <v>233.81200000000001</v>
      </c>
      <c r="L122" s="197">
        <f t="shared" si="265"/>
        <v>455.88799999999992</v>
      </c>
      <c r="M122" s="197">
        <f t="shared" si="266"/>
        <v>675.88799999999992</v>
      </c>
      <c r="N122" s="196">
        <f t="shared" si="277"/>
        <v>484.57407152871934</v>
      </c>
      <c r="O122" s="197">
        <f t="shared" si="277"/>
        <v>154.5690818273427</v>
      </c>
      <c r="P122" s="197">
        <f t="shared" si="278"/>
        <v>164.27320981915753</v>
      </c>
      <c r="Q122" s="197">
        <f t="shared" si="278"/>
        <v>320.30086170956184</v>
      </c>
      <c r="R122" s="199">
        <f t="shared" si="278"/>
        <v>474.86994353690454</v>
      </c>
      <c r="S122" s="196">
        <f t="shared" si="313"/>
        <v>4632.3223981725414</v>
      </c>
      <c r="T122" s="197">
        <f t="shared" si="279"/>
        <v>1855.7729543164303</v>
      </c>
      <c r="U122" s="197">
        <f t="shared" si="279"/>
        <v>3921.4570503790478</v>
      </c>
      <c r="V122" s="197">
        <f t="shared" si="279"/>
        <v>710.8653477934929</v>
      </c>
      <c r="W122" s="199">
        <f t="shared" si="279"/>
        <v>2566.6383021099227</v>
      </c>
      <c r="X122" s="197"/>
      <c r="Z122" s="204">
        <f t="shared" si="314"/>
        <v>10</v>
      </c>
      <c r="AA122" s="747">
        <f>'Energy NPV'!$D48</f>
        <v>12.54</v>
      </c>
      <c r="AB122" s="197">
        <f>'Energy margins'!$L$12</f>
        <v>55</v>
      </c>
      <c r="AC122" s="197">
        <f t="shared" si="315"/>
        <v>689.69999999999993</v>
      </c>
      <c r="AD122" s="197">
        <f>'Margins summary'!$S$14</f>
        <v>220</v>
      </c>
      <c r="AE122" s="197">
        <f t="shared" si="280"/>
        <v>909.69999999999993</v>
      </c>
      <c r="AF122" s="197"/>
      <c r="AG122" s="897">
        <f>'Energy NPV'!U48</f>
        <v>233.81200000000001</v>
      </c>
      <c r="AH122" s="197"/>
      <c r="AI122" s="197">
        <f t="shared" si="281"/>
        <v>233.81200000000001</v>
      </c>
      <c r="AJ122" s="197">
        <f t="shared" si="267"/>
        <v>455.88799999999992</v>
      </c>
      <c r="AK122" s="197">
        <f t="shared" si="268"/>
        <v>675.88799999999992</v>
      </c>
      <c r="AL122" s="196">
        <f t="shared" si="282"/>
        <v>408.23237029665819</v>
      </c>
      <c r="AM122" s="197">
        <f t="shared" si="283"/>
        <v>130.21766197660551</v>
      </c>
      <c r="AN122" s="197">
        <f t="shared" si="284"/>
        <v>138.39296355488221</v>
      </c>
      <c r="AO122" s="197">
        <f t="shared" si="285"/>
        <v>269.83940674177597</v>
      </c>
      <c r="AP122" s="199">
        <f t="shared" si="286"/>
        <v>400.05706871838152</v>
      </c>
      <c r="AQ122" s="196">
        <f t="shared" si="316"/>
        <v>4206.6347266920975</v>
      </c>
      <c r="AR122" s="197">
        <f t="shared" si="287"/>
        <v>1716.3723003899067</v>
      </c>
      <c r="AS122" s="197">
        <f t="shared" si="287"/>
        <v>3768.018558528157</v>
      </c>
      <c r="AT122" s="197">
        <f t="shared" si="287"/>
        <v>438.61616816394053</v>
      </c>
      <c r="AU122" s="199">
        <f t="shared" si="287"/>
        <v>2154.9884685538477</v>
      </c>
      <c r="AV122" s="197"/>
      <c r="AX122" s="204">
        <f t="shared" si="317"/>
        <v>10</v>
      </c>
      <c r="AY122" s="747">
        <f>'Energy NPV'!$D48</f>
        <v>12.54</v>
      </c>
      <c r="AZ122" s="197">
        <f>'Energy margins'!$L$12</f>
        <v>55</v>
      </c>
      <c r="BA122" s="197">
        <f t="shared" si="318"/>
        <v>689.69999999999993</v>
      </c>
      <c r="BB122" s="197">
        <f>'Margins summary'!$S$14</f>
        <v>220</v>
      </c>
      <c r="BC122" s="197">
        <f t="shared" si="288"/>
        <v>909.69999999999993</v>
      </c>
      <c r="BD122" s="197"/>
      <c r="BE122" s="897">
        <f>'Energy NPV'!U48</f>
        <v>233.81200000000001</v>
      </c>
      <c r="BF122" s="197"/>
      <c r="BG122" s="197">
        <f t="shared" si="289"/>
        <v>233.81200000000001</v>
      </c>
      <c r="BH122" s="197">
        <f t="shared" si="269"/>
        <v>455.88799999999992</v>
      </c>
      <c r="BI122" s="197">
        <f t="shared" si="270"/>
        <v>675.88799999999992</v>
      </c>
      <c r="BJ122" s="196">
        <f t="shared" si="290"/>
        <v>577.11010687237251</v>
      </c>
      <c r="BK122" s="197">
        <f t="shared" si="291"/>
        <v>184.08615849198486</v>
      </c>
      <c r="BL122" s="197">
        <f t="shared" si="292"/>
        <v>195.64342222421803</v>
      </c>
      <c r="BM122" s="197">
        <f t="shared" si="293"/>
        <v>381.46668464815446</v>
      </c>
      <c r="BN122" s="199">
        <f t="shared" si="294"/>
        <v>565.55284314013932</v>
      </c>
      <c r="BO122" s="196">
        <f t="shared" si="319"/>
        <v>5121.8357751818376</v>
      </c>
      <c r="BP122" s="197">
        <f t="shared" si="295"/>
        <v>2015.6920754007579</v>
      </c>
      <c r="BQ122" s="197">
        <f t="shared" si="295"/>
        <v>4096.9794508806035</v>
      </c>
      <c r="BR122" s="197">
        <f t="shared" si="295"/>
        <v>1024.8563243012341</v>
      </c>
      <c r="BS122" s="199">
        <f t="shared" si="295"/>
        <v>3040.5483997019915</v>
      </c>
      <c r="BT122" s="197"/>
      <c r="BV122" s="204">
        <f t="shared" si="320"/>
        <v>10</v>
      </c>
      <c r="BW122" s="747">
        <f>'Energy NPV'!$D48</f>
        <v>12.54</v>
      </c>
      <c r="BX122" s="197">
        <f>'Energy margins'!$L$12</f>
        <v>55</v>
      </c>
      <c r="BY122" s="197">
        <f t="shared" si="321"/>
        <v>689.69999999999993</v>
      </c>
      <c r="BZ122" s="197">
        <f>'Margins summary'!$S$14</f>
        <v>220</v>
      </c>
      <c r="CA122" s="197">
        <f t="shared" si="296"/>
        <v>909.69999999999993</v>
      </c>
      <c r="CB122" s="197"/>
      <c r="CC122" s="897">
        <f>'Energy NPV'!U48</f>
        <v>233.81200000000001</v>
      </c>
      <c r="CD122" s="197"/>
      <c r="CE122" s="197">
        <f t="shared" si="297"/>
        <v>233.81200000000001</v>
      </c>
      <c r="CF122" s="197">
        <f t="shared" si="271"/>
        <v>455.88799999999992</v>
      </c>
      <c r="CG122" s="197">
        <f t="shared" si="272"/>
        <v>675.88799999999992</v>
      </c>
      <c r="CH122" s="196">
        <f t="shared" si="298"/>
        <v>345.02171263056727</v>
      </c>
      <c r="CI122" s="197">
        <f t="shared" si="299"/>
        <v>110.05477276892098</v>
      </c>
      <c r="CJ122" s="197">
        <f t="shared" si="300"/>
        <v>116.9642115029407</v>
      </c>
      <c r="CK122" s="197">
        <f t="shared" si="301"/>
        <v>228.05750112762655</v>
      </c>
      <c r="CL122" s="199">
        <f t="shared" si="302"/>
        <v>338.11227389654755</v>
      </c>
      <c r="CM122" s="196">
        <f t="shared" si="322"/>
        <v>3834.8505056981526</v>
      </c>
      <c r="CN122" s="197">
        <f t="shared" si="303"/>
        <v>1594.3153403884869</v>
      </c>
      <c r="CO122" s="197">
        <f t="shared" si="303"/>
        <v>3633.2708102598795</v>
      </c>
      <c r="CP122" s="197">
        <f t="shared" si="303"/>
        <v>201.57969543827349</v>
      </c>
      <c r="CQ122" s="199">
        <f t="shared" si="303"/>
        <v>1795.8950358267598</v>
      </c>
      <c r="CR122" s="197"/>
      <c r="CT122" s="204">
        <f t="shared" si="323"/>
        <v>10</v>
      </c>
      <c r="CU122" s="747">
        <f>'Energy NPV'!$D48</f>
        <v>12.54</v>
      </c>
      <c r="CV122" s="197">
        <f>'Energy margins'!$L$12</f>
        <v>55</v>
      </c>
      <c r="CW122" s="197">
        <f t="shared" si="324"/>
        <v>689.69999999999993</v>
      </c>
      <c r="CX122" s="197">
        <f>'Margins summary'!$S$14</f>
        <v>220</v>
      </c>
      <c r="CY122" s="197">
        <f t="shared" si="304"/>
        <v>909.69999999999993</v>
      </c>
      <c r="CZ122" s="197"/>
      <c r="DA122" s="897">
        <f>'Energy NPV'!U48</f>
        <v>233.81200000000001</v>
      </c>
      <c r="DB122" s="197"/>
      <c r="DC122" s="197">
        <f t="shared" si="305"/>
        <v>233.81200000000001</v>
      </c>
      <c r="DD122" s="197">
        <f t="shared" si="273"/>
        <v>455.88799999999992</v>
      </c>
      <c r="DE122" s="197">
        <f t="shared" si="274"/>
        <v>675.88799999999992</v>
      </c>
      <c r="DF122" s="196">
        <f t="shared" si="325"/>
        <v>689.69999999999993</v>
      </c>
      <c r="DG122" s="197">
        <f t="shared" si="306"/>
        <v>220</v>
      </c>
      <c r="DH122" s="197">
        <f t="shared" si="307"/>
        <v>233.81200000000001</v>
      </c>
      <c r="DI122" s="197">
        <f t="shared" si="308"/>
        <v>455.88799999999992</v>
      </c>
      <c r="DJ122" s="199">
        <f t="shared" si="309"/>
        <v>675.88799999999992</v>
      </c>
      <c r="DK122" s="196">
        <f t="shared" si="326"/>
        <v>5687.2749999999987</v>
      </c>
      <c r="DL122" s="197">
        <f t="shared" si="310"/>
        <v>2200</v>
      </c>
      <c r="DM122" s="197">
        <f t="shared" si="310"/>
        <v>4298.7199999999993</v>
      </c>
      <c r="DN122" s="197">
        <f t="shared" si="310"/>
        <v>1388.5549999999994</v>
      </c>
      <c r="DO122" s="199">
        <f t="shared" si="310"/>
        <v>3588.5549999999994</v>
      </c>
    </row>
    <row r="123" spans="2:119" x14ac:dyDescent="0.3">
      <c r="B123" s="204">
        <f t="shared" si="311"/>
        <v>11</v>
      </c>
      <c r="C123" s="747">
        <f>'Energy NPV'!$D49</f>
        <v>12.54</v>
      </c>
      <c r="D123" s="197">
        <f>'Energy margins'!$L$12</f>
        <v>55</v>
      </c>
      <c r="E123" s="197">
        <f t="shared" si="312"/>
        <v>689.69999999999993</v>
      </c>
      <c r="F123" s="197">
        <f>'Margins summary'!$S$14</f>
        <v>220</v>
      </c>
      <c r="G123" s="197">
        <f t="shared" si="275"/>
        <v>909.69999999999993</v>
      </c>
      <c r="H123" s="197"/>
      <c r="I123" s="897">
        <f>'Energy NPV'!U49</f>
        <v>233.81200000000001</v>
      </c>
      <c r="J123" s="197"/>
      <c r="K123" s="197">
        <f t="shared" si="276"/>
        <v>233.81200000000001</v>
      </c>
      <c r="L123" s="197">
        <f t="shared" si="265"/>
        <v>455.88799999999992</v>
      </c>
      <c r="M123" s="197">
        <f t="shared" si="266"/>
        <v>675.88799999999992</v>
      </c>
      <c r="N123" s="196">
        <f t="shared" si="277"/>
        <v>465.9366072391532</v>
      </c>
      <c r="O123" s="197">
        <f t="shared" si="277"/>
        <v>148.62411714167567</v>
      </c>
      <c r="P123" s="197">
        <f t="shared" si="278"/>
        <v>157.95500944149762</v>
      </c>
      <c r="Q123" s="197">
        <f t="shared" si="278"/>
        <v>307.98159779765558</v>
      </c>
      <c r="R123" s="199">
        <f t="shared" si="278"/>
        <v>456.60571493933128</v>
      </c>
      <c r="S123" s="196">
        <f t="shared" si="313"/>
        <v>5098.2590054116945</v>
      </c>
      <c r="T123" s="197">
        <f t="shared" si="279"/>
        <v>2004.397071458106</v>
      </c>
      <c r="U123" s="197">
        <f t="shared" si="279"/>
        <v>4079.4120598205454</v>
      </c>
      <c r="V123" s="197">
        <f t="shared" si="279"/>
        <v>1018.8469455911485</v>
      </c>
      <c r="W123" s="199">
        <f t="shared" si="279"/>
        <v>3023.2440170492541</v>
      </c>
      <c r="X123" s="197"/>
      <c r="Z123" s="204">
        <f t="shared" si="314"/>
        <v>11</v>
      </c>
      <c r="AA123" s="747">
        <f>'Energy NPV'!$D49</f>
        <v>12.54</v>
      </c>
      <c r="AB123" s="197">
        <f>'Energy margins'!$L$12</f>
        <v>55</v>
      </c>
      <c r="AC123" s="197">
        <f t="shared" si="315"/>
        <v>689.69999999999993</v>
      </c>
      <c r="AD123" s="197">
        <f>'Margins summary'!$S$14</f>
        <v>220</v>
      </c>
      <c r="AE123" s="197">
        <f t="shared" si="280"/>
        <v>909.69999999999993</v>
      </c>
      <c r="AF123" s="197"/>
      <c r="AG123" s="897">
        <f>'Energy NPV'!U49</f>
        <v>233.81200000000001</v>
      </c>
      <c r="AH123" s="197"/>
      <c r="AI123" s="197">
        <f t="shared" si="281"/>
        <v>233.81200000000001</v>
      </c>
      <c r="AJ123" s="197">
        <f t="shared" si="267"/>
        <v>455.88799999999992</v>
      </c>
      <c r="AK123" s="197">
        <f t="shared" si="268"/>
        <v>675.88799999999992</v>
      </c>
      <c r="AL123" s="196">
        <f t="shared" si="282"/>
        <v>385.12487763835674</v>
      </c>
      <c r="AM123" s="197">
        <f t="shared" si="283"/>
        <v>122.84685092132594</v>
      </c>
      <c r="AN123" s="197">
        <f t="shared" si="284"/>
        <v>130.55939958007755</v>
      </c>
      <c r="AO123" s="197">
        <f t="shared" si="285"/>
        <v>254.56547805827921</v>
      </c>
      <c r="AP123" s="199">
        <f t="shared" si="286"/>
        <v>377.41232897960515</v>
      </c>
      <c r="AQ123" s="196">
        <f t="shared" si="316"/>
        <v>4591.7596043304538</v>
      </c>
      <c r="AR123" s="197">
        <f t="shared" si="287"/>
        <v>1839.2191513112327</v>
      </c>
      <c r="AS123" s="197">
        <f t="shared" si="287"/>
        <v>3898.5779581082347</v>
      </c>
      <c r="AT123" s="197">
        <f t="shared" si="287"/>
        <v>693.1816462222198</v>
      </c>
      <c r="AU123" s="199">
        <f t="shared" si="287"/>
        <v>2532.400797533453</v>
      </c>
      <c r="AV123" s="197"/>
      <c r="AX123" s="204">
        <f t="shared" si="317"/>
        <v>11</v>
      </c>
      <c r="AY123" s="747">
        <f>'Energy NPV'!$D49</f>
        <v>12.54</v>
      </c>
      <c r="AZ123" s="197">
        <f>'Energy margins'!$L$12</f>
        <v>55</v>
      </c>
      <c r="BA123" s="197">
        <f t="shared" si="318"/>
        <v>689.69999999999993</v>
      </c>
      <c r="BB123" s="197">
        <f>'Margins summary'!$S$14</f>
        <v>220</v>
      </c>
      <c r="BC123" s="197">
        <f t="shared" si="288"/>
        <v>909.69999999999993</v>
      </c>
      <c r="BD123" s="197"/>
      <c r="BE123" s="897">
        <f>'Energy NPV'!U49</f>
        <v>233.81200000000001</v>
      </c>
      <c r="BF123" s="197"/>
      <c r="BG123" s="197">
        <f t="shared" si="289"/>
        <v>233.81200000000001</v>
      </c>
      <c r="BH123" s="197">
        <f t="shared" si="269"/>
        <v>455.88799999999992</v>
      </c>
      <c r="BI123" s="197">
        <f t="shared" si="270"/>
        <v>675.88799999999992</v>
      </c>
      <c r="BJ123" s="196">
        <f t="shared" si="290"/>
        <v>565.79422242389455</v>
      </c>
      <c r="BK123" s="197">
        <f t="shared" si="291"/>
        <v>180.47662597253415</v>
      </c>
      <c r="BL123" s="197">
        <f t="shared" si="292"/>
        <v>191.80727669040982</v>
      </c>
      <c r="BM123" s="197">
        <f t="shared" si="293"/>
        <v>373.98694573348473</v>
      </c>
      <c r="BN123" s="199">
        <f t="shared" si="294"/>
        <v>554.46357170601891</v>
      </c>
      <c r="BO123" s="196">
        <f t="shared" si="319"/>
        <v>5687.6299976057326</v>
      </c>
      <c r="BP123" s="197">
        <f t="shared" si="295"/>
        <v>2196.1687013732922</v>
      </c>
      <c r="BQ123" s="197">
        <f t="shared" si="295"/>
        <v>4288.7867275710132</v>
      </c>
      <c r="BR123" s="197">
        <f t="shared" si="295"/>
        <v>1398.8432700347189</v>
      </c>
      <c r="BS123" s="199">
        <f t="shared" si="295"/>
        <v>3595.0119714080101</v>
      </c>
      <c r="BT123" s="197"/>
      <c r="BV123" s="204">
        <f t="shared" si="320"/>
        <v>11</v>
      </c>
      <c r="BW123" s="747">
        <f>'Energy NPV'!$D49</f>
        <v>12.54</v>
      </c>
      <c r="BX123" s="197">
        <f>'Energy margins'!$L$12</f>
        <v>55</v>
      </c>
      <c r="BY123" s="197">
        <f t="shared" si="321"/>
        <v>689.69999999999993</v>
      </c>
      <c r="BZ123" s="197">
        <f>'Margins summary'!$S$14</f>
        <v>220</v>
      </c>
      <c r="CA123" s="197">
        <f t="shared" si="296"/>
        <v>909.69999999999993</v>
      </c>
      <c r="CB123" s="197"/>
      <c r="CC123" s="897">
        <f>'Energy NPV'!U49</f>
        <v>233.81200000000001</v>
      </c>
      <c r="CD123" s="197"/>
      <c r="CE123" s="197">
        <f t="shared" si="297"/>
        <v>233.81200000000001</v>
      </c>
      <c r="CF123" s="197">
        <f t="shared" si="271"/>
        <v>455.88799999999992</v>
      </c>
      <c r="CG123" s="197">
        <f t="shared" si="272"/>
        <v>675.88799999999992</v>
      </c>
      <c r="CH123" s="196">
        <f t="shared" si="298"/>
        <v>319.46454873200668</v>
      </c>
      <c r="CI123" s="197">
        <f t="shared" si="299"/>
        <v>101.90256737863054</v>
      </c>
      <c r="CJ123" s="197">
        <f t="shared" si="300"/>
        <v>108.3001958360562</v>
      </c>
      <c r="CK123" s="197">
        <f t="shared" si="301"/>
        <v>211.16435289595049</v>
      </c>
      <c r="CL123" s="199">
        <f t="shared" si="302"/>
        <v>313.06692027458104</v>
      </c>
      <c r="CM123" s="196">
        <f t="shared" si="322"/>
        <v>4154.3150544301589</v>
      </c>
      <c r="CN123" s="197">
        <f t="shared" si="303"/>
        <v>1696.2179077671174</v>
      </c>
      <c r="CO123" s="197">
        <f t="shared" si="303"/>
        <v>3741.5710060959354</v>
      </c>
      <c r="CP123" s="197">
        <f t="shared" si="303"/>
        <v>412.74404833422398</v>
      </c>
      <c r="CQ123" s="199">
        <f t="shared" si="303"/>
        <v>2108.961956101341</v>
      </c>
      <c r="CR123" s="197"/>
      <c r="CT123" s="204">
        <f t="shared" si="323"/>
        <v>11</v>
      </c>
      <c r="CU123" s="747">
        <f>'Energy NPV'!$D49</f>
        <v>12.54</v>
      </c>
      <c r="CV123" s="197">
        <f>'Energy margins'!$L$12</f>
        <v>55</v>
      </c>
      <c r="CW123" s="197">
        <f t="shared" si="324"/>
        <v>689.69999999999993</v>
      </c>
      <c r="CX123" s="197">
        <f>'Margins summary'!$S$14</f>
        <v>220</v>
      </c>
      <c r="CY123" s="197">
        <f t="shared" si="304"/>
        <v>909.69999999999993</v>
      </c>
      <c r="CZ123" s="197"/>
      <c r="DA123" s="897">
        <f>'Energy NPV'!U49</f>
        <v>233.81200000000001</v>
      </c>
      <c r="DB123" s="197"/>
      <c r="DC123" s="197">
        <f t="shared" si="305"/>
        <v>233.81200000000001</v>
      </c>
      <c r="DD123" s="197">
        <f t="shared" si="273"/>
        <v>455.88799999999992</v>
      </c>
      <c r="DE123" s="197">
        <f t="shared" si="274"/>
        <v>675.88799999999992</v>
      </c>
      <c r="DF123" s="196">
        <f t="shared" si="325"/>
        <v>689.69999999999993</v>
      </c>
      <c r="DG123" s="197">
        <f t="shared" si="306"/>
        <v>220</v>
      </c>
      <c r="DH123" s="197">
        <f t="shared" si="307"/>
        <v>233.81200000000001</v>
      </c>
      <c r="DI123" s="197">
        <f t="shared" si="308"/>
        <v>455.88799999999992</v>
      </c>
      <c r="DJ123" s="199">
        <f t="shared" si="309"/>
        <v>675.88799999999992</v>
      </c>
      <c r="DK123" s="196">
        <f t="shared" si="326"/>
        <v>6376.9749999999985</v>
      </c>
      <c r="DL123" s="197">
        <f t="shared" si="310"/>
        <v>2420</v>
      </c>
      <c r="DM123" s="197">
        <f t="shared" si="310"/>
        <v>4532.5319999999992</v>
      </c>
      <c r="DN123" s="197">
        <f t="shared" si="310"/>
        <v>1844.4429999999993</v>
      </c>
      <c r="DO123" s="199">
        <f t="shared" si="310"/>
        <v>4264.4429999999993</v>
      </c>
    </row>
    <row r="124" spans="2:119" x14ac:dyDescent="0.3">
      <c r="B124" s="204">
        <f t="shared" si="311"/>
        <v>12</v>
      </c>
      <c r="C124" s="747">
        <f>'Energy NPV'!$D50</f>
        <v>12.54</v>
      </c>
      <c r="D124" s="197">
        <f>'Energy margins'!$L$12</f>
        <v>55</v>
      </c>
      <c r="E124" s="197">
        <f t="shared" si="312"/>
        <v>689.69999999999993</v>
      </c>
      <c r="F124" s="197">
        <f>'Margins summary'!$S$14</f>
        <v>220</v>
      </c>
      <c r="G124" s="197">
        <f t="shared" si="275"/>
        <v>909.69999999999993</v>
      </c>
      <c r="H124" s="197"/>
      <c r="I124" s="897">
        <f>'Energy NPV'!U50</f>
        <v>233.81200000000001</v>
      </c>
      <c r="J124" s="197"/>
      <c r="K124" s="197">
        <f t="shared" si="276"/>
        <v>233.81200000000001</v>
      </c>
      <c r="L124" s="197">
        <f t="shared" si="265"/>
        <v>455.88799999999992</v>
      </c>
      <c r="M124" s="197">
        <f t="shared" si="266"/>
        <v>675.88799999999992</v>
      </c>
      <c r="N124" s="196">
        <f t="shared" si="277"/>
        <v>448.01596849918582</v>
      </c>
      <c r="O124" s="197">
        <f t="shared" si="277"/>
        <v>142.90780494391893</v>
      </c>
      <c r="P124" s="197">
        <f t="shared" si="278"/>
        <v>151.8798167706708</v>
      </c>
      <c r="Q124" s="197">
        <f t="shared" si="278"/>
        <v>296.13615172851502</v>
      </c>
      <c r="R124" s="199">
        <f t="shared" si="278"/>
        <v>439.04395667243398</v>
      </c>
      <c r="S124" s="196">
        <f t="shared" si="313"/>
        <v>5546.2749739108804</v>
      </c>
      <c r="T124" s="197">
        <f t="shared" si="279"/>
        <v>2147.304876402025</v>
      </c>
      <c r="U124" s="197">
        <f t="shared" si="279"/>
        <v>4231.2918765912164</v>
      </c>
      <c r="V124" s="197">
        <f t="shared" si="279"/>
        <v>1314.9830973196636</v>
      </c>
      <c r="W124" s="199">
        <f t="shared" si="279"/>
        <v>3462.2879737216881</v>
      </c>
      <c r="X124" s="197"/>
      <c r="Z124" s="204">
        <f t="shared" si="314"/>
        <v>12</v>
      </c>
      <c r="AA124" s="747">
        <f>'Energy NPV'!$D50</f>
        <v>12.54</v>
      </c>
      <c r="AB124" s="197">
        <f>'Energy margins'!$L$12</f>
        <v>55</v>
      </c>
      <c r="AC124" s="197">
        <f t="shared" si="315"/>
        <v>689.69999999999993</v>
      </c>
      <c r="AD124" s="197">
        <f>'Margins summary'!$S$14</f>
        <v>220</v>
      </c>
      <c r="AE124" s="197">
        <f t="shared" si="280"/>
        <v>909.69999999999993</v>
      </c>
      <c r="AF124" s="197"/>
      <c r="AG124" s="897">
        <f>'Energy NPV'!U50</f>
        <v>233.81200000000001</v>
      </c>
      <c r="AH124" s="197"/>
      <c r="AI124" s="197">
        <f t="shared" si="281"/>
        <v>233.81200000000001</v>
      </c>
      <c r="AJ124" s="197">
        <f t="shared" si="267"/>
        <v>455.88799999999992</v>
      </c>
      <c r="AK124" s="197">
        <f t="shared" si="268"/>
        <v>675.88799999999992</v>
      </c>
      <c r="AL124" s="196">
        <f t="shared" si="282"/>
        <v>363.32535626260068</v>
      </c>
      <c r="AM124" s="197">
        <f t="shared" si="283"/>
        <v>115.89325558615653</v>
      </c>
      <c r="AN124" s="197">
        <f t="shared" si="284"/>
        <v>123.16924488686558</v>
      </c>
      <c r="AO124" s="197">
        <f t="shared" si="285"/>
        <v>240.15611137573507</v>
      </c>
      <c r="AP124" s="199">
        <f t="shared" si="286"/>
        <v>356.04936696189156</v>
      </c>
      <c r="AQ124" s="196">
        <f t="shared" si="316"/>
        <v>4955.0849605930543</v>
      </c>
      <c r="AR124" s="197">
        <f t="shared" si="287"/>
        <v>1955.1124068973893</v>
      </c>
      <c r="AS124" s="197">
        <f t="shared" si="287"/>
        <v>4021.7472029951005</v>
      </c>
      <c r="AT124" s="197">
        <f t="shared" si="287"/>
        <v>933.33775759795481</v>
      </c>
      <c r="AU124" s="199">
        <f t="shared" si="287"/>
        <v>2888.4501644953443</v>
      </c>
      <c r="AV124" s="197"/>
      <c r="AX124" s="204">
        <f t="shared" si="317"/>
        <v>12</v>
      </c>
      <c r="AY124" s="747">
        <f>'Energy NPV'!$D50</f>
        <v>12.54</v>
      </c>
      <c r="AZ124" s="197">
        <f>'Energy margins'!$L$12</f>
        <v>55</v>
      </c>
      <c r="BA124" s="197">
        <f t="shared" si="318"/>
        <v>689.69999999999993</v>
      </c>
      <c r="BB124" s="197">
        <f>'Margins summary'!$S$14</f>
        <v>220</v>
      </c>
      <c r="BC124" s="197">
        <f t="shared" si="288"/>
        <v>909.69999999999993</v>
      </c>
      <c r="BD124" s="197"/>
      <c r="BE124" s="897">
        <f>'Energy NPV'!U50</f>
        <v>233.81200000000001</v>
      </c>
      <c r="BF124" s="197"/>
      <c r="BG124" s="197">
        <f t="shared" si="289"/>
        <v>233.81200000000001</v>
      </c>
      <c r="BH124" s="197">
        <f t="shared" si="269"/>
        <v>455.88799999999992</v>
      </c>
      <c r="BI124" s="197">
        <f t="shared" si="270"/>
        <v>675.88799999999992</v>
      </c>
      <c r="BJ124" s="196">
        <f t="shared" si="290"/>
        <v>554.70021806264185</v>
      </c>
      <c r="BK124" s="197">
        <f t="shared" si="291"/>
        <v>176.93786860052373</v>
      </c>
      <c r="BL124" s="197">
        <f t="shared" si="292"/>
        <v>188.04634969648026</v>
      </c>
      <c r="BM124" s="197">
        <f t="shared" si="293"/>
        <v>366.65386836616159</v>
      </c>
      <c r="BN124" s="199">
        <f t="shared" si="294"/>
        <v>543.59173696668529</v>
      </c>
      <c r="BO124" s="196">
        <f t="shared" si="319"/>
        <v>6242.3302156683749</v>
      </c>
      <c r="BP124" s="197">
        <f t="shared" si="295"/>
        <v>2373.106569973816</v>
      </c>
      <c r="BQ124" s="197">
        <f t="shared" si="295"/>
        <v>4476.8330772674935</v>
      </c>
      <c r="BR124" s="197">
        <f t="shared" si="295"/>
        <v>1765.4971384008804</v>
      </c>
      <c r="BS124" s="199">
        <f t="shared" si="295"/>
        <v>4138.6037083746951</v>
      </c>
      <c r="BT124" s="197"/>
      <c r="BV124" s="204">
        <f t="shared" si="320"/>
        <v>12</v>
      </c>
      <c r="BW124" s="747">
        <f>'Energy NPV'!$D50</f>
        <v>12.54</v>
      </c>
      <c r="BX124" s="197">
        <f>'Energy margins'!$L$12</f>
        <v>55</v>
      </c>
      <c r="BY124" s="197">
        <f t="shared" si="321"/>
        <v>689.69999999999993</v>
      </c>
      <c r="BZ124" s="197">
        <f>'Margins summary'!$S$14</f>
        <v>220</v>
      </c>
      <c r="CA124" s="197">
        <f t="shared" si="296"/>
        <v>909.69999999999993</v>
      </c>
      <c r="CB124" s="197"/>
      <c r="CC124" s="897">
        <f>'Energy NPV'!U50</f>
        <v>233.81200000000001</v>
      </c>
      <c r="CD124" s="197"/>
      <c r="CE124" s="197">
        <f t="shared" si="297"/>
        <v>233.81200000000001</v>
      </c>
      <c r="CF124" s="197">
        <f t="shared" si="271"/>
        <v>455.88799999999992</v>
      </c>
      <c r="CG124" s="197">
        <f t="shared" si="272"/>
        <v>675.88799999999992</v>
      </c>
      <c r="CH124" s="196">
        <f t="shared" si="298"/>
        <v>295.80050808519138</v>
      </c>
      <c r="CI124" s="197">
        <f t="shared" si="299"/>
        <v>94.354229054287529</v>
      </c>
      <c r="CJ124" s="197">
        <f t="shared" si="300"/>
        <v>100.27795910745945</v>
      </c>
      <c r="CK124" s="197">
        <f t="shared" si="301"/>
        <v>195.52254897773196</v>
      </c>
      <c r="CL124" s="199">
        <f t="shared" si="302"/>
        <v>289.8767780320195</v>
      </c>
      <c r="CM124" s="196">
        <f t="shared" si="322"/>
        <v>4450.1155625153506</v>
      </c>
      <c r="CN124" s="197">
        <f t="shared" si="303"/>
        <v>1790.5721368214049</v>
      </c>
      <c r="CO124" s="197">
        <f t="shared" si="303"/>
        <v>3841.848965203395</v>
      </c>
      <c r="CP124" s="197">
        <f t="shared" si="303"/>
        <v>608.26659731195593</v>
      </c>
      <c r="CQ124" s="199">
        <f t="shared" si="303"/>
        <v>2398.8387341333605</v>
      </c>
      <c r="CR124" s="197"/>
      <c r="CT124" s="204">
        <f t="shared" si="323"/>
        <v>12</v>
      </c>
      <c r="CU124" s="747">
        <f>'Energy NPV'!$D50</f>
        <v>12.54</v>
      </c>
      <c r="CV124" s="197">
        <f>'Energy margins'!$L$12</f>
        <v>55</v>
      </c>
      <c r="CW124" s="197">
        <f t="shared" si="324"/>
        <v>689.69999999999993</v>
      </c>
      <c r="CX124" s="197">
        <f>'Margins summary'!$S$14</f>
        <v>220</v>
      </c>
      <c r="CY124" s="197">
        <f t="shared" si="304"/>
        <v>909.69999999999993</v>
      </c>
      <c r="CZ124" s="197"/>
      <c r="DA124" s="897">
        <f>'Energy NPV'!U50</f>
        <v>233.81200000000001</v>
      </c>
      <c r="DB124" s="197"/>
      <c r="DC124" s="197">
        <f t="shared" si="305"/>
        <v>233.81200000000001</v>
      </c>
      <c r="DD124" s="197">
        <f t="shared" si="273"/>
        <v>455.88799999999992</v>
      </c>
      <c r="DE124" s="197">
        <f t="shared" si="274"/>
        <v>675.88799999999992</v>
      </c>
      <c r="DF124" s="196">
        <f t="shared" si="325"/>
        <v>689.69999999999993</v>
      </c>
      <c r="DG124" s="197">
        <f t="shared" si="306"/>
        <v>220</v>
      </c>
      <c r="DH124" s="197">
        <f t="shared" si="307"/>
        <v>233.81200000000001</v>
      </c>
      <c r="DI124" s="197">
        <f t="shared" si="308"/>
        <v>455.88799999999992</v>
      </c>
      <c r="DJ124" s="199">
        <f t="shared" si="309"/>
        <v>675.88799999999992</v>
      </c>
      <c r="DK124" s="196">
        <f t="shared" si="326"/>
        <v>7066.6749999999984</v>
      </c>
      <c r="DL124" s="197">
        <f t="shared" si="310"/>
        <v>2640</v>
      </c>
      <c r="DM124" s="197">
        <f t="shared" si="310"/>
        <v>4766.3439999999991</v>
      </c>
      <c r="DN124" s="197">
        <f t="shared" si="310"/>
        <v>2300.3309999999992</v>
      </c>
      <c r="DO124" s="199">
        <f t="shared" si="310"/>
        <v>4940.3309999999992</v>
      </c>
    </row>
    <row r="125" spans="2:119" x14ac:dyDescent="0.3">
      <c r="B125" s="204">
        <f t="shared" si="311"/>
        <v>13</v>
      </c>
      <c r="C125" s="747">
        <f>'Energy NPV'!$D51</f>
        <v>12.54</v>
      </c>
      <c r="D125" s="197">
        <f>'Energy margins'!$L$12</f>
        <v>55</v>
      </c>
      <c r="E125" s="197">
        <f t="shared" si="312"/>
        <v>689.69999999999993</v>
      </c>
      <c r="F125" s="197">
        <f>'Margins summary'!$S$14</f>
        <v>220</v>
      </c>
      <c r="G125" s="197">
        <f t="shared" si="275"/>
        <v>909.69999999999993</v>
      </c>
      <c r="H125" s="197"/>
      <c r="I125" s="897">
        <f>'Energy NPV'!U51</f>
        <v>233.81200000000001</v>
      </c>
      <c r="J125" s="197"/>
      <c r="K125" s="197">
        <f t="shared" si="276"/>
        <v>233.81200000000001</v>
      </c>
      <c r="L125" s="197">
        <f t="shared" si="265"/>
        <v>455.88799999999992</v>
      </c>
      <c r="M125" s="197">
        <f t="shared" si="266"/>
        <v>675.88799999999992</v>
      </c>
      <c r="N125" s="196">
        <f t="shared" si="277"/>
        <v>430.78458509537086</v>
      </c>
      <c r="O125" s="197">
        <f t="shared" si="277"/>
        <v>137.41135090761432</v>
      </c>
      <c r="P125" s="197">
        <f t="shared" si="278"/>
        <v>146.03828535641421</v>
      </c>
      <c r="Q125" s="197">
        <f t="shared" si="278"/>
        <v>284.74629973895668</v>
      </c>
      <c r="R125" s="199">
        <f t="shared" si="278"/>
        <v>422.15765064657103</v>
      </c>
      <c r="S125" s="196">
        <f t="shared" si="313"/>
        <v>5977.0595590062512</v>
      </c>
      <c r="T125" s="197">
        <f t="shared" si="279"/>
        <v>2284.7162273096392</v>
      </c>
      <c r="U125" s="197">
        <f t="shared" si="279"/>
        <v>4377.3301619476306</v>
      </c>
      <c r="V125" s="197">
        <f t="shared" si="279"/>
        <v>1599.7293970586202</v>
      </c>
      <c r="W125" s="199">
        <f t="shared" si="279"/>
        <v>3884.4456243682589</v>
      </c>
      <c r="X125" s="197"/>
      <c r="Z125" s="204">
        <f t="shared" si="314"/>
        <v>13</v>
      </c>
      <c r="AA125" s="747">
        <f>'Energy NPV'!$D51</f>
        <v>12.54</v>
      </c>
      <c r="AB125" s="197">
        <f>'Energy margins'!$L$12</f>
        <v>55</v>
      </c>
      <c r="AC125" s="197">
        <f t="shared" si="315"/>
        <v>689.69999999999993</v>
      </c>
      <c r="AD125" s="197">
        <f>'Margins summary'!$S$14</f>
        <v>220</v>
      </c>
      <c r="AE125" s="197">
        <f t="shared" si="280"/>
        <v>909.69999999999993</v>
      </c>
      <c r="AF125" s="197"/>
      <c r="AG125" s="897">
        <f>'Energy NPV'!U51</f>
        <v>233.81200000000001</v>
      </c>
      <c r="AH125" s="197"/>
      <c r="AI125" s="197">
        <f t="shared" si="281"/>
        <v>233.81200000000001</v>
      </c>
      <c r="AJ125" s="197">
        <f t="shared" si="267"/>
        <v>455.88799999999992</v>
      </c>
      <c r="AK125" s="197">
        <f t="shared" si="268"/>
        <v>675.88799999999992</v>
      </c>
      <c r="AL125" s="196">
        <f t="shared" si="282"/>
        <v>342.75977005905719</v>
      </c>
      <c r="AM125" s="197">
        <f t="shared" si="283"/>
        <v>109.33325998694011</v>
      </c>
      <c r="AN125" s="197">
        <f t="shared" si="284"/>
        <v>116.19740083666565</v>
      </c>
      <c r="AO125" s="197">
        <f t="shared" si="285"/>
        <v>226.56236922239157</v>
      </c>
      <c r="AP125" s="199">
        <f t="shared" si="286"/>
        <v>335.89562920933167</v>
      </c>
      <c r="AQ125" s="196">
        <f t="shared" si="316"/>
        <v>5297.8447306521111</v>
      </c>
      <c r="AR125" s="197">
        <f t="shared" si="287"/>
        <v>2064.4456668843295</v>
      </c>
      <c r="AS125" s="197">
        <f t="shared" si="287"/>
        <v>4137.9446038317665</v>
      </c>
      <c r="AT125" s="197">
        <f t="shared" si="287"/>
        <v>1159.9001268203465</v>
      </c>
      <c r="AU125" s="199">
        <f t="shared" si="287"/>
        <v>3224.345793704676</v>
      </c>
      <c r="AV125" s="197"/>
      <c r="AX125" s="204">
        <f t="shared" si="317"/>
        <v>13</v>
      </c>
      <c r="AY125" s="747">
        <f>'Energy NPV'!$D51</f>
        <v>12.54</v>
      </c>
      <c r="AZ125" s="197">
        <f>'Energy margins'!$L$12</f>
        <v>55</v>
      </c>
      <c r="BA125" s="197">
        <f t="shared" si="318"/>
        <v>689.69999999999993</v>
      </c>
      <c r="BB125" s="197">
        <f>'Margins summary'!$S$14</f>
        <v>220</v>
      </c>
      <c r="BC125" s="197">
        <f t="shared" si="288"/>
        <v>909.69999999999993</v>
      </c>
      <c r="BD125" s="197"/>
      <c r="BE125" s="897">
        <f>'Energy NPV'!U51</f>
        <v>233.81200000000001</v>
      </c>
      <c r="BF125" s="197"/>
      <c r="BG125" s="197">
        <f t="shared" si="289"/>
        <v>233.81200000000001</v>
      </c>
      <c r="BH125" s="197">
        <f t="shared" si="269"/>
        <v>455.88799999999992</v>
      </c>
      <c r="BI125" s="197">
        <f t="shared" si="270"/>
        <v>675.88799999999992</v>
      </c>
      <c r="BJ125" s="196">
        <f t="shared" si="290"/>
        <v>543.82374319866835</v>
      </c>
      <c r="BK125" s="197">
        <f t="shared" si="291"/>
        <v>173.46849862796441</v>
      </c>
      <c r="BL125" s="197">
        <f t="shared" si="292"/>
        <v>184.35916636909826</v>
      </c>
      <c r="BM125" s="197">
        <f t="shared" si="293"/>
        <v>359.46457682957009</v>
      </c>
      <c r="BN125" s="199">
        <f t="shared" si="294"/>
        <v>532.93307545753453</v>
      </c>
      <c r="BO125" s="196">
        <f t="shared" si="319"/>
        <v>6786.153958867043</v>
      </c>
      <c r="BP125" s="197">
        <f t="shared" si="295"/>
        <v>2546.5750686017805</v>
      </c>
      <c r="BQ125" s="197">
        <f t="shared" si="295"/>
        <v>4661.1922436365921</v>
      </c>
      <c r="BR125" s="197">
        <f t="shared" si="295"/>
        <v>2124.9617152304504</v>
      </c>
      <c r="BS125" s="199">
        <f t="shared" si="295"/>
        <v>4671.53678383223</v>
      </c>
      <c r="BT125" s="197"/>
      <c r="BV125" s="204">
        <f t="shared" si="320"/>
        <v>13</v>
      </c>
      <c r="BW125" s="747">
        <f>'Energy NPV'!$D51</f>
        <v>12.54</v>
      </c>
      <c r="BX125" s="197">
        <f>'Energy margins'!$L$12</f>
        <v>55</v>
      </c>
      <c r="BY125" s="197">
        <f t="shared" si="321"/>
        <v>689.69999999999993</v>
      </c>
      <c r="BZ125" s="197">
        <f>'Margins summary'!$S$14</f>
        <v>220</v>
      </c>
      <c r="CA125" s="197">
        <f t="shared" si="296"/>
        <v>909.69999999999993</v>
      </c>
      <c r="CB125" s="197"/>
      <c r="CC125" s="897">
        <f>'Energy NPV'!U51</f>
        <v>233.81200000000001</v>
      </c>
      <c r="CD125" s="197"/>
      <c r="CE125" s="197">
        <f t="shared" si="297"/>
        <v>233.81200000000001</v>
      </c>
      <c r="CF125" s="197">
        <f t="shared" si="271"/>
        <v>455.88799999999992</v>
      </c>
      <c r="CG125" s="197">
        <f t="shared" si="272"/>
        <v>675.88799999999992</v>
      </c>
      <c r="CH125" s="196">
        <f t="shared" si="298"/>
        <v>273.88935933814014</v>
      </c>
      <c r="CI125" s="197">
        <f t="shared" si="299"/>
        <v>87.365026902118075</v>
      </c>
      <c r="CJ125" s="197">
        <f t="shared" si="300"/>
        <v>92.849962136536519</v>
      </c>
      <c r="CK125" s="197">
        <f t="shared" si="301"/>
        <v>181.03939720160363</v>
      </c>
      <c r="CL125" s="199">
        <f t="shared" si="302"/>
        <v>268.40442410372174</v>
      </c>
      <c r="CM125" s="196">
        <f t="shared" si="322"/>
        <v>4724.0049218534905</v>
      </c>
      <c r="CN125" s="197">
        <f t="shared" si="303"/>
        <v>1877.9371637235231</v>
      </c>
      <c r="CO125" s="197">
        <f t="shared" si="303"/>
        <v>3934.6989273399313</v>
      </c>
      <c r="CP125" s="197">
        <f t="shared" si="303"/>
        <v>789.30599451355954</v>
      </c>
      <c r="CQ125" s="199">
        <f t="shared" si="303"/>
        <v>2667.2431582370823</v>
      </c>
      <c r="CR125" s="197"/>
      <c r="CT125" s="204">
        <f t="shared" si="323"/>
        <v>13</v>
      </c>
      <c r="CU125" s="747">
        <f>'Energy NPV'!$D51</f>
        <v>12.54</v>
      </c>
      <c r="CV125" s="197">
        <f>'Energy margins'!$L$12</f>
        <v>55</v>
      </c>
      <c r="CW125" s="197">
        <f t="shared" si="324"/>
        <v>689.69999999999993</v>
      </c>
      <c r="CX125" s="197">
        <f>'Margins summary'!$S$14</f>
        <v>220</v>
      </c>
      <c r="CY125" s="197">
        <f t="shared" si="304"/>
        <v>909.69999999999993</v>
      </c>
      <c r="CZ125" s="197"/>
      <c r="DA125" s="897">
        <f>'Energy NPV'!U51</f>
        <v>233.81200000000001</v>
      </c>
      <c r="DB125" s="197"/>
      <c r="DC125" s="197">
        <f t="shared" si="305"/>
        <v>233.81200000000001</v>
      </c>
      <c r="DD125" s="197">
        <f t="shared" si="273"/>
        <v>455.88799999999992</v>
      </c>
      <c r="DE125" s="197">
        <f t="shared" si="274"/>
        <v>675.88799999999992</v>
      </c>
      <c r="DF125" s="196">
        <f t="shared" si="325"/>
        <v>689.69999999999993</v>
      </c>
      <c r="DG125" s="197">
        <f t="shared" si="306"/>
        <v>220</v>
      </c>
      <c r="DH125" s="197">
        <f t="shared" si="307"/>
        <v>233.81200000000001</v>
      </c>
      <c r="DI125" s="197">
        <f t="shared" si="308"/>
        <v>455.88799999999992</v>
      </c>
      <c r="DJ125" s="199">
        <f t="shared" si="309"/>
        <v>675.88799999999992</v>
      </c>
      <c r="DK125" s="196">
        <f t="shared" si="326"/>
        <v>7756.3749999999982</v>
      </c>
      <c r="DL125" s="197">
        <f t="shared" si="310"/>
        <v>2860</v>
      </c>
      <c r="DM125" s="197">
        <f t="shared" si="310"/>
        <v>5000.155999999999</v>
      </c>
      <c r="DN125" s="197">
        <f t="shared" si="310"/>
        <v>2756.2189999999991</v>
      </c>
      <c r="DO125" s="199">
        <f t="shared" si="310"/>
        <v>5616.2189999999991</v>
      </c>
    </row>
    <row r="126" spans="2:119" x14ac:dyDescent="0.3">
      <c r="B126" s="204">
        <f t="shared" si="311"/>
        <v>14</v>
      </c>
      <c r="C126" s="747">
        <f>'Energy NPV'!$D52</f>
        <v>12.54</v>
      </c>
      <c r="D126" s="197">
        <f>'Energy margins'!$L$12</f>
        <v>55</v>
      </c>
      <c r="E126" s="197">
        <f t="shared" si="312"/>
        <v>689.69999999999993</v>
      </c>
      <c r="F126" s="197">
        <f>'Margins summary'!$S$14</f>
        <v>220</v>
      </c>
      <c r="G126" s="197">
        <f t="shared" si="275"/>
        <v>909.69999999999993</v>
      </c>
      <c r="H126" s="197"/>
      <c r="I126" s="897">
        <f>'Energy NPV'!U52</f>
        <v>233.81200000000001</v>
      </c>
      <c r="J126" s="197"/>
      <c r="K126" s="197">
        <f t="shared" si="276"/>
        <v>233.81200000000001</v>
      </c>
      <c r="L126" s="197">
        <f t="shared" si="265"/>
        <v>455.88799999999992</v>
      </c>
      <c r="M126" s="197">
        <f t="shared" si="266"/>
        <v>675.88799999999992</v>
      </c>
      <c r="N126" s="196">
        <f t="shared" si="277"/>
        <v>414.21594720708737</v>
      </c>
      <c r="O126" s="197">
        <f t="shared" si="277"/>
        <v>132.12629894962916</v>
      </c>
      <c r="P126" s="197">
        <f t="shared" si="278"/>
        <v>140.42142822732134</v>
      </c>
      <c r="Q126" s="197">
        <f t="shared" si="278"/>
        <v>273.79451897976605</v>
      </c>
      <c r="R126" s="199">
        <f t="shared" si="278"/>
        <v>405.92081792939518</v>
      </c>
      <c r="S126" s="196">
        <f t="shared" si="313"/>
        <v>6391.2755062133383</v>
      </c>
      <c r="T126" s="197">
        <f t="shared" si="279"/>
        <v>2416.8425262592682</v>
      </c>
      <c r="U126" s="197">
        <f t="shared" si="279"/>
        <v>4517.7515901749521</v>
      </c>
      <c r="V126" s="197">
        <f t="shared" si="279"/>
        <v>1873.5239160383862</v>
      </c>
      <c r="W126" s="199">
        <f t="shared" si="279"/>
        <v>4290.3664422976544</v>
      </c>
      <c r="X126" s="197"/>
      <c r="Z126" s="204">
        <f t="shared" si="314"/>
        <v>14</v>
      </c>
      <c r="AA126" s="747">
        <f>'Energy NPV'!$D52</f>
        <v>12.54</v>
      </c>
      <c r="AB126" s="197">
        <f>'Energy margins'!$L$12</f>
        <v>55</v>
      </c>
      <c r="AC126" s="197">
        <f t="shared" si="315"/>
        <v>689.69999999999993</v>
      </c>
      <c r="AD126" s="197">
        <f>'Margins summary'!$S$14</f>
        <v>220</v>
      </c>
      <c r="AE126" s="197">
        <f t="shared" si="280"/>
        <v>909.69999999999993</v>
      </c>
      <c r="AF126" s="197"/>
      <c r="AG126" s="897">
        <f>'Energy NPV'!U52</f>
        <v>233.81200000000001</v>
      </c>
      <c r="AH126" s="197"/>
      <c r="AI126" s="197">
        <f t="shared" si="281"/>
        <v>233.81200000000001</v>
      </c>
      <c r="AJ126" s="197">
        <f t="shared" si="267"/>
        <v>455.88799999999992</v>
      </c>
      <c r="AK126" s="197">
        <f t="shared" si="268"/>
        <v>675.88799999999992</v>
      </c>
      <c r="AL126" s="196">
        <f t="shared" si="282"/>
        <v>323.35827364061998</v>
      </c>
      <c r="AM126" s="197">
        <f t="shared" si="283"/>
        <v>103.14458489333971</v>
      </c>
      <c r="AN126" s="197">
        <f t="shared" si="284"/>
        <v>109.62018946855248</v>
      </c>
      <c r="AO126" s="197">
        <f t="shared" si="285"/>
        <v>213.73808417206749</v>
      </c>
      <c r="AP126" s="199">
        <f t="shared" si="286"/>
        <v>316.88266906540719</v>
      </c>
      <c r="AQ126" s="196">
        <f t="shared" si="316"/>
        <v>5621.2030042927308</v>
      </c>
      <c r="AR126" s="197">
        <f t="shared" si="287"/>
        <v>2167.5902517776694</v>
      </c>
      <c r="AS126" s="197">
        <f t="shared" si="287"/>
        <v>4247.5647933003193</v>
      </c>
      <c r="AT126" s="197">
        <f t="shared" si="287"/>
        <v>1373.6382109924139</v>
      </c>
      <c r="AU126" s="199">
        <f t="shared" si="287"/>
        <v>3541.2284627700833</v>
      </c>
      <c r="AV126" s="197"/>
      <c r="AX126" s="204">
        <f t="shared" si="317"/>
        <v>14</v>
      </c>
      <c r="AY126" s="747">
        <f>'Energy NPV'!$D52</f>
        <v>12.54</v>
      </c>
      <c r="AZ126" s="197">
        <f>'Energy margins'!$L$12</f>
        <v>55</v>
      </c>
      <c r="BA126" s="197">
        <f t="shared" si="318"/>
        <v>689.69999999999993</v>
      </c>
      <c r="BB126" s="197">
        <f>'Margins summary'!$S$14</f>
        <v>220</v>
      </c>
      <c r="BC126" s="197">
        <f t="shared" si="288"/>
        <v>909.69999999999993</v>
      </c>
      <c r="BD126" s="197"/>
      <c r="BE126" s="897">
        <f>'Energy NPV'!U52</f>
        <v>233.81200000000001</v>
      </c>
      <c r="BF126" s="197"/>
      <c r="BG126" s="197">
        <f t="shared" si="289"/>
        <v>233.81200000000001</v>
      </c>
      <c r="BH126" s="197">
        <f t="shared" si="269"/>
        <v>455.88799999999992</v>
      </c>
      <c r="BI126" s="197">
        <f t="shared" si="270"/>
        <v>675.88799999999992</v>
      </c>
      <c r="BJ126" s="196">
        <f t="shared" si="290"/>
        <v>533.16053254771407</v>
      </c>
      <c r="BK126" s="197">
        <f t="shared" si="291"/>
        <v>170.06715551761218</v>
      </c>
      <c r="BL126" s="197">
        <f t="shared" si="292"/>
        <v>180.74428075401789</v>
      </c>
      <c r="BM126" s="197">
        <f t="shared" si="293"/>
        <v>352.41625179369618</v>
      </c>
      <c r="BN126" s="199">
        <f t="shared" si="294"/>
        <v>522.48340731130838</v>
      </c>
      <c r="BO126" s="196">
        <f t="shared" si="319"/>
        <v>7319.314491414757</v>
      </c>
      <c r="BP126" s="197">
        <f t="shared" si="295"/>
        <v>2716.6422241193927</v>
      </c>
      <c r="BQ126" s="197">
        <f t="shared" si="295"/>
        <v>4841.9365243906104</v>
      </c>
      <c r="BR126" s="197">
        <f t="shared" si="295"/>
        <v>2477.3779670241465</v>
      </c>
      <c r="BS126" s="199">
        <f t="shared" si="295"/>
        <v>5194.0201911435379</v>
      </c>
      <c r="BT126" s="197"/>
      <c r="BV126" s="204">
        <f t="shared" si="320"/>
        <v>14</v>
      </c>
      <c r="BW126" s="747">
        <f>'Energy NPV'!$D52</f>
        <v>12.54</v>
      </c>
      <c r="BX126" s="197">
        <f>'Energy margins'!$L$12</f>
        <v>55</v>
      </c>
      <c r="BY126" s="197">
        <f t="shared" si="321"/>
        <v>689.69999999999993</v>
      </c>
      <c r="BZ126" s="197">
        <f>'Margins summary'!$S$14</f>
        <v>220</v>
      </c>
      <c r="CA126" s="197">
        <f t="shared" si="296"/>
        <v>909.69999999999993</v>
      </c>
      <c r="CB126" s="197"/>
      <c r="CC126" s="897">
        <f>'Energy NPV'!U52</f>
        <v>233.81200000000001</v>
      </c>
      <c r="CD126" s="197"/>
      <c r="CE126" s="197">
        <f t="shared" si="297"/>
        <v>233.81200000000001</v>
      </c>
      <c r="CF126" s="197">
        <f t="shared" si="271"/>
        <v>455.88799999999992</v>
      </c>
      <c r="CG126" s="197">
        <f t="shared" si="272"/>
        <v>675.88799999999992</v>
      </c>
      <c r="CH126" s="196">
        <f t="shared" si="298"/>
        <v>253.60125864642606</v>
      </c>
      <c r="CI126" s="197">
        <f t="shared" si="299"/>
        <v>80.89354342788711</v>
      </c>
      <c r="CJ126" s="197">
        <f t="shared" si="300"/>
        <v>85.972187163459736</v>
      </c>
      <c r="CK126" s="197">
        <f t="shared" si="301"/>
        <v>167.62907148296634</v>
      </c>
      <c r="CL126" s="199">
        <f t="shared" si="302"/>
        <v>248.52261491085343</v>
      </c>
      <c r="CM126" s="196">
        <f t="shared" si="322"/>
        <v>4977.6061804999163</v>
      </c>
      <c r="CN126" s="197">
        <f t="shared" si="303"/>
        <v>1958.8307071514103</v>
      </c>
      <c r="CO126" s="197">
        <f t="shared" si="303"/>
        <v>4020.671114503391</v>
      </c>
      <c r="CP126" s="197">
        <f t="shared" si="303"/>
        <v>956.93506599652585</v>
      </c>
      <c r="CQ126" s="199">
        <f t="shared" si="303"/>
        <v>2915.7657731479358</v>
      </c>
      <c r="CR126" s="197"/>
      <c r="CT126" s="204">
        <f t="shared" si="323"/>
        <v>14</v>
      </c>
      <c r="CU126" s="747">
        <f>'Energy NPV'!$D52</f>
        <v>12.54</v>
      </c>
      <c r="CV126" s="197">
        <f>'Energy margins'!$L$12</f>
        <v>55</v>
      </c>
      <c r="CW126" s="197">
        <f t="shared" si="324"/>
        <v>689.69999999999993</v>
      </c>
      <c r="CX126" s="197">
        <f>'Margins summary'!$S$14</f>
        <v>220</v>
      </c>
      <c r="CY126" s="197">
        <f t="shared" si="304"/>
        <v>909.69999999999993</v>
      </c>
      <c r="CZ126" s="197"/>
      <c r="DA126" s="897">
        <f>'Energy NPV'!U52</f>
        <v>233.81200000000001</v>
      </c>
      <c r="DB126" s="197"/>
      <c r="DC126" s="197">
        <f t="shared" si="305"/>
        <v>233.81200000000001</v>
      </c>
      <c r="DD126" s="197">
        <f t="shared" si="273"/>
        <v>455.88799999999992</v>
      </c>
      <c r="DE126" s="197">
        <f t="shared" si="274"/>
        <v>675.88799999999992</v>
      </c>
      <c r="DF126" s="196">
        <f t="shared" si="325"/>
        <v>689.69999999999993</v>
      </c>
      <c r="DG126" s="197">
        <f t="shared" si="306"/>
        <v>220</v>
      </c>
      <c r="DH126" s="197">
        <f t="shared" si="307"/>
        <v>233.81200000000001</v>
      </c>
      <c r="DI126" s="197">
        <f t="shared" si="308"/>
        <v>455.88799999999992</v>
      </c>
      <c r="DJ126" s="199">
        <f t="shared" si="309"/>
        <v>675.88799999999992</v>
      </c>
      <c r="DK126" s="196">
        <f t="shared" si="326"/>
        <v>8446.0749999999989</v>
      </c>
      <c r="DL126" s="197">
        <f t="shared" si="310"/>
        <v>3080</v>
      </c>
      <c r="DM126" s="197">
        <f t="shared" si="310"/>
        <v>5233.9679999999989</v>
      </c>
      <c r="DN126" s="197">
        <f t="shared" si="310"/>
        <v>3212.1069999999991</v>
      </c>
      <c r="DO126" s="199">
        <f t="shared" si="310"/>
        <v>6292.1069999999991</v>
      </c>
    </row>
    <row r="127" spans="2:119" x14ac:dyDescent="0.3">
      <c r="B127" s="204">
        <f t="shared" si="311"/>
        <v>15</v>
      </c>
      <c r="C127" s="747">
        <f>'Energy NPV'!$D53</f>
        <v>12.54</v>
      </c>
      <c r="D127" s="197">
        <f>'Energy margins'!$L$12</f>
        <v>55</v>
      </c>
      <c r="E127" s="197">
        <f t="shared" si="312"/>
        <v>689.69999999999993</v>
      </c>
      <c r="F127" s="197">
        <f>'Margins summary'!$S$14</f>
        <v>220</v>
      </c>
      <c r="G127" s="197">
        <f t="shared" si="275"/>
        <v>909.69999999999993</v>
      </c>
      <c r="H127" s="197"/>
      <c r="I127" s="897">
        <f>'Energy NPV'!U53</f>
        <v>233.81200000000001</v>
      </c>
      <c r="J127" s="197"/>
      <c r="K127" s="197">
        <f t="shared" si="276"/>
        <v>233.81200000000001</v>
      </c>
      <c r="L127" s="197">
        <f t="shared" si="265"/>
        <v>455.88799999999992</v>
      </c>
      <c r="M127" s="197">
        <f t="shared" si="266"/>
        <v>675.88799999999992</v>
      </c>
      <c r="N127" s="196">
        <f t="shared" si="277"/>
        <v>398.28456462219941</v>
      </c>
      <c r="O127" s="197">
        <f t="shared" si="277"/>
        <v>127.04451822079727</v>
      </c>
      <c r="P127" s="197">
        <f t="shared" si="278"/>
        <v>135.02060406473205</v>
      </c>
      <c r="Q127" s="197">
        <f t="shared" si="278"/>
        <v>263.26396055746733</v>
      </c>
      <c r="R127" s="199">
        <f t="shared" si="278"/>
        <v>390.3084787782646</v>
      </c>
      <c r="S127" s="196">
        <f t="shared" si="313"/>
        <v>6789.5600708355378</v>
      </c>
      <c r="T127" s="197">
        <f t="shared" si="279"/>
        <v>2543.8870444800655</v>
      </c>
      <c r="U127" s="197">
        <f t="shared" si="279"/>
        <v>4652.7721942396838</v>
      </c>
      <c r="V127" s="197">
        <f t="shared" si="279"/>
        <v>2136.7878765958535</v>
      </c>
      <c r="W127" s="199">
        <f t="shared" si="279"/>
        <v>4680.674921075919</v>
      </c>
      <c r="X127" s="197"/>
      <c r="Z127" s="204">
        <f t="shared" si="314"/>
        <v>15</v>
      </c>
      <c r="AA127" s="747">
        <f>'Energy NPV'!$D53</f>
        <v>12.54</v>
      </c>
      <c r="AB127" s="197">
        <f>'Energy margins'!$L$12</f>
        <v>55</v>
      </c>
      <c r="AC127" s="197">
        <f t="shared" si="315"/>
        <v>689.69999999999993</v>
      </c>
      <c r="AD127" s="197">
        <f>'Margins summary'!$S$14</f>
        <v>220</v>
      </c>
      <c r="AE127" s="197">
        <f t="shared" si="280"/>
        <v>909.69999999999993</v>
      </c>
      <c r="AF127" s="197"/>
      <c r="AG127" s="897">
        <f>'Energy NPV'!U53</f>
        <v>233.81200000000001</v>
      </c>
      <c r="AH127" s="197"/>
      <c r="AI127" s="197">
        <f t="shared" si="281"/>
        <v>233.81200000000001</v>
      </c>
      <c r="AJ127" s="197">
        <f t="shared" si="267"/>
        <v>455.88799999999992</v>
      </c>
      <c r="AK127" s="197">
        <f t="shared" si="268"/>
        <v>675.88799999999992</v>
      </c>
      <c r="AL127" s="196">
        <f t="shared" si="282"/>
        <v>305.05497513266039</v>
      </c>
      <c r="AM127" s="197">
        <f t="shared" si="283"/>
        <v>97.306212163528045</v>
      </c>
      <c r="AN127" s="197">
        <f t="shared" si="284"/>
        <v>103.41527308354009</v>
      </c>
      <c r="AO127" s="197">
        <f t="shared" si="285"/>
        <v>201.63970204912027</v>
      </c>
      <c r="AP127" s="199">
        <f t="shared" si="286"/>
        <v>298.94591421264835</v>
      </c>
      <c r="AQ127" s="196">
        <f t="shared" si="316"/>
        <v>5926.2579794253916</v>
      </c>
      <c r="AR127" s="197">
        <f t="shared" si="287"/>
        <v>2264.8964639411975</v>
      </c>
      <c r="AS127" s="197">
        <f t="shared" si="287"/>
        <v>4350.9800663838596</v>
      </c>
      <c r="AT127" s="197">
        <f t="shared" si="287"/>
        <v>1575.2779130415342</v>
      </c>
      <c r="AU127" s="199">
        <f t="shared" si="287"/>
        <v>3840.1743769827317</v>
      </c>
      <c r="AV127" s="197"/>
      <c r="AX127" s="204">
        <f t="shared" si="317"/>
        <v>15</v>
      </c>
      <c r="AY127" s="747">
        <f>'Energy NPV'!$D53</f>
        <v>12.54</v>
      </c>
      <c r="AZ127" s="197">
        <f>'Energy margins'!$L$12</f>
        <v>55</v>
      </c>
      <c r="BA127" s="197">
        <f t="shared" si="318"/>
        <v>689.69999999999993</v>
      </c>
      <c r="BB127" s="197">
        <f>'Margins summary'!$S$14</f>
        <v>220</v>
      </c>
      <c r="BC127" s="197">
        <f t="shared" si="288"/>
        <v>909.69999999999993</v>
      </c>
      <c r="BD127" s="197"/>
      <c r="BE127" s="897">
        <f>'Energy NPV'!U53</f>
        <v>233.81200000000001</v>
      </c>
      <c r="BF127" s="197"/>
      <c r="BG127" s="197">
        <f t="shared" si="289"/>
        <v>233.81200000000001</v>
      </c>
      <c r="BH127" s="197">
        <f t="shared" si="269"/>
        <v>455.88799999999992</v>
      </c>
      <c r="BI127" s="197">
        <f t="shared" si="270"/>
        <v>675.88799999999992</v>
      </c>
      <c r="BJ127" s="196">
        <f t="shared" si="290"/>
        <v>522.70640445854315</v>
      </c>
      <c r="BK127" s="197">
        <f t="shared" si="291"/>
        <v>166.73250540942368</v>
      </c>
      <c r="BL127" s="197">
        <f t="shared" si="292"/>
        <v>177.20027524903713</v>
      </c>
      <c r="BM127" s="197">
        <f t="shared" si="293"/>
        <v>345.50612920950607</v>
      </c>
      <c r="BN127" s="199">
        <f t="shared" si="294"/>
        <v>512.23863461892972</v>
      </c>
      <c r="BO127" s="196">
        <f t="shared" si="319"/>
        <v>7842.0208958733001</v>
      </c>
      <c r="BP127" s="197">
        <f t="shared" si="295"/>
        <v>2883.3747295288163</v>
      </c>
      <c r="BQ127" s="197">
        <f t="shared" si="295"/>
        <v>5019.1367996396475</v>
      </c>
      <c r="BR127" s="197">
        <f t="shared" si="295"/>
        <v>2822.8840962336526</v>
      </c>
      <c r="BS127" s="199">
        <f t="shared" si="295"/>
        <v>5706.2588257624675</v>
      </c>
      <c r="BT127" s="197"/>
      <c r="BV127" s="204">
        <f t="shared" si="320"/>
        <v>15</v>
      </c>
      <c r="BW127" s="747">
        <f>'Energy NPV'!$D53</f>
        <v>12.54</v>
      </c>
      <c r="BX127" s="197">
        <f>'Energy margins'!$L$12</f>
        <v>55</v>
      </c>
      <c r="BY127" s="197">
        <f t="shared" si="321"/>
        <v>689.69999999999993</v>
      </c>
      <c r="BZ127" s="197">
        <f>'Margins summary'!$S$14</f>
        <v>220</v>
      </c>
      <c r="CA127" s="197">
        <f t="shared" si="296"/>
        <v>909.69999999999993</v>
      </c>
      <c r="CB127" s="197"/>
      <c r="CC127" s="897">
        <f>'Energy NPV'!U53</f>
        <v>233.81200000000001</v>
      </c>
      <c r="CD127" s="197"/>
      <c r="CE127" s="197">
        <f t="shared" si="297"/>
        <v>233.81200000000001</v>
      </c>
      <c r="CF127" s="197">
        <f t="shared" si="271"/>
        <v>455.88799999999992</v>
      </c>
      <c r="CG127" s="197">
        <f t="shared" si="272"/>
        <v>675.88799999999992</v>
      </c>
      <c r="CH127" s="196">
        <f t="shared" si="298"/>
        <v>234.81598022817224</v>
      </c>
      <c r="CI127" s="197">
        <f t="shared" si="299"/>
        <v>74.901429099895452</v>
      </c>
      <c r="CJ127" s="197">
        <f t="shared" si="300"/>
        <v>79.603877003203451</v>
      </c>
      <c r="CK127" s="197">
        <f t="shared" si="301"/>
        <v>155.21210322496879</v>
      </c>
      <c r="CL127" s="199">
        <f t="shared" si="302"/>
        <v>230.11353232486425</v>
      </c>
      <c r="CM127" s="196">
        <f t="shared" si="322"/>
        <v>5212.4221607280888</v>
      </c>
      <c r="CN127" s="197">
        <f t="shared" si="303"/>
        <v>2033.7321362513057</v>
      </c>
      <c r="CO127" s="197">
        <f t="shared" si="303"/>
        <v>4100.2749915065942</v>
      </c>
      <c r="CP127" s="197">
        <f t="shared" si="303"/>
        <v>1112.1471692214946</v>
      </c>
      <c r="CQ127" s="199">
        <f t="shared" si="303"/>
        <v>3145.8793054727998</v>
      </c>
      <c r="CR127" s="197"/>
      <c r="CT127" s="204">
        <f t="shared" si="323"/>
        <v>15</v>
      </c>
      <c r="CU127" s="747">
        <f>'Energy NPV'!$D53</f>
        <v>12.54</v>
      </c>
      <c r="CV127" s="197">
        <f>'Energy margins'!$L$12</f>
        <v>55</v>
      </c>
      <c r="CW127" s="197">
        <f t="shared" si="324"/>
        <v>689.69999999999993</v>
      </c>
      <c r="CX127" s="197">
        <f>'Margins summary'!$S$14</f>
        <v>220</v>
      </c>
      <c r="CY127" s="197">
        <f t="shared" si="304"/>
        <v>909.69999999999993</v>
      </c>
      <c r="CZ127" s="197"/>
      <c r="DA127" s="897">
        <f>'Energy NPV'!U53</f>
        <v>233.81200000000001</v>
      </c>
      <c r="DB127" s="197"/>
      <c r="DC127" s="197">
        <f t="shared" si="305"/>
        <v>233.81200000000001</v>
      </c>
      <c r="DD127" s="197">
        <f t="shared" si="273"/>
        <v>455.88799999999992</v>
      </c>
      <c r="DE127" s="197">
        <f t="shared" si="274"/>
        <v>675.88799999999992</v>
      </c>
      <c r="DF127" s="196">
        <f t="shared" si="325"/>
        <v>689.69999999999993</v>
      </c>
      <c r="DG127" s="197">
        <f t="shared" si="306"/>
        <v>220</v>
      </c>
      <c r="DH127" s="197">
        <f t="shared" si="307"/>
        <v>233.81200000000001</v>
      </c>
      <c r="DI127" s="197">
        <f t="shared" si="308"/>
        <v>455.88799999999992</v>
      </c>
      <c r="DJ127" s="199">
        <f t="shared" si="309"/>
        <v>675.88799999999992</v>
      </c>
      <c r="DK127" s="196">
        <f t="shared" si="326"/>
        <v>9135.7749999999996</v>
      </c>
      <c r="DL127" s="197">
        <f t="shared" si="310"/>
        <v>3300</v>
      </c>
      <c r="DM127" s="197">
        <f t="shared" si="310"/>
        <v>5467.7799999999988</v>
      </c>
      <c r="DN127" s="197">
        <f t="shared" si="310"/>
        <v>3667.994999999999</v>
      </c>
      <c r="DO127" s="199">
        <f t="shared" si="310"/>
        <v>6967.994999999999</v>
      </c>
    </row>
    <row r="128" spans="2:119" x14ac:dyDescent="0.3">
      <c r="B128" s="206">
        <f t="shared" si="311"/>
        <v>16</v>
      </c>
      <c r="C128" s="748">
        <f>'Energy NPV'!$D54</f>
        <v>12.54</v>
      </c>
      <c r="D128" s="207">
        <f>'Energy margins'!$L$12</f>
        <v>55</v>
      </c>
      <c r="E128" s="207">
        <f t="shared" si="312"/>
        <v>689.69999999999993</v>
      </c>
      <c r="F128" s="207">
        <f>'Margins summary'!$S$14</f>
        <v>220</v>
      </c>
      <c r="G128" s="207">
        <f t="shared" si="275"/>
        <v>909.69999999999993</v>
      </c>
      <c r="H128" s="207"/>
      <c r="I128" s="898">
        <f>'Energy NPV'!U54</f>
        <v>233.81200000000001</v>
      </c>
      <c r="J128" s="207">
        <f>'Energy margins'!$Q$67</f>
        <v>170</v>
      </c>
      <c r="K128" s="207">
        <f t="shared" si="276"/>
        <v>403.81200000000001</v>
      </c>
      <c r="L128" s="207">
        <f t="shared" si="265"/>
        <v>285.88799999999992</v>
      </c>
      <c r="M128" s="207">
        <f t="shared" si="266"/>
        <v>505.88799999999992</v>
      </c>
      <c r="N128" s="208">
        <f t="shared" si="277"/>
        <v>382.96592752134558</v>
      </c>
      <c r="O128" s="207">
        <f t="shared" si="277"/>
        <v>122.15819059692046</v>
      </c>
      <c r="P128" s="207">
        <f t="shared" si="278"/>
        <v>224.22246936965294</v>
      </c>
      <c r="Q128" s="207">
        <f>L128/((1+$B$4)^($B128-1))</f>
        <v>158.74345815169266</v>
      </c>
      <c r="R128" s="209">
        <f>M128/((1+$B$4)^($B128-1))</f>
        <v>280.90164874861313</v>
      </c>
      <c r="S128" s="208">
        <f t="shared" si="313"/>
        <v>7172.5259983568831</v>
      </c>
      <c r="T128" s="207">
        <f t="shared" si="279"/>
        <v>2666.045235076986</v>
      </c>
      <c r="U128" s="207">
        <f t="shared" si="279"/>
        <v>4876.9946636093364</v>
      </c>
      <c r="V128" s="207">
        <f t="shared" si="279"/>
        <v>2295.5313347475462</v>
      </c>
      <c r="W128" s="209">
        <f t="shared" si="279"/>
        <v>4961.5765698245323</v>
      </c>
      <c r="X128" s="197"/>
      <c r="Z128" s="206">
        <f t="shared" si="314"/>
        <v>16</v>
      </c>
      <c r="AA128" s="748">
        <f>'Energy NPV'!$D54</f>
        <v>12.54</v>
      </c>
      <c r="AB128" s="207">
        <f>'Energy margins'!$L$12</f>
        <v>55</v>
      </c>
      <c r="AC128" s="207">
        <f t="shared" si="315"/>
        <v>689.69999999999993</v>
      </c>
      <c r="AD128" s="207">
        <f>'Margins summary'!$S$14</f>
        <v>220</v>
      </c>
      <c r="AE128" s="207">
        <f t="shared" si="280"/>
        <v>909.69999999999993</v>
      </c>
      <c r="AF128" s="207"/>
      <c r="AG128" s="898">
        <f>'Energy NPV'!U54</f>
        <v>233.81200000000001</v>
      </c>
      <c r="AH128" s="207">
        <f>'Energy margins'!$Q$67</f>
        <v>170</v>
      </c>
      <c r="AI128" s="207">
        <f t="shared" si="281"/>
        <v>403.81200000000001</v>
      </c>
      <c r="AJ128" s="207">
        <f t="shared" si="267"/>
        <v>285.88799999999992</v>
      </c>
      <c r="AK128" s="207">
        <f t="shared" si="268"/>
        <v>505.88799999999992</v>
      </c>
      <c r="AL128" s="208">
        <f t="shared" si="282"/>
        <v>287.78771238930216</v>
      </c>
      <c r="AM128" s="207">
        <f t="shared" si="283"/>
        <v>91.79831336181887</v>
      </c>
      <c r="AN128" s="207">
        <f t="shared" si="284"/>
        <v>168.49663870574003</v>
      </c>
      <c r="AO128" s="207">
        <f t="shared" si="285"/>
        <v>119.29107368356213</v>
      </c>
      <c r="AP128" s="209">
        <f>AK128/((1+$C$4)^($Z128-1))</f>
        <v>211.08938704538102</v>
      </c>
      <c r="AQ128" s="208">
        <f>AQ127+AL128</f>
        <v>6214.0456918146938</v>
      </c>
      <c r="AR128" s="207">
        <f t="shared" si="287"/>
        <v>2356.6947773030165</v>
      </c>
      <c r="AS128" s="207">
        <f t="shared" si="287"/>
        <v>4519.4767050895998</v>
      </c>
      <c r="AT128" s="207">
        <f t="shared" si="287"/>
        <v>1694.5689867250965</v>
      </c>
      <c r="AU128" s="209">
        <f t="shared" si="287"/>
        <v>4051.2637640281127</v>
      </c>
      <c r="AV128" s="197"/>
      <c r="AX128" s="206">
        <f t="shared" si="317"/>
        <v>16</v>
      </c>
      <c r="AY128" s="748">
        <f>'Energy NPV'!$D54</f>
        <v>12.54</v>
      </c>
      <c r="AZ128" s="207">
        <f>'Energy margins'!$L$12</f>
        <v>55</v>
      </c>
      <c r="BA128" s="207">
        <f t="shared" si="318"/>
        <v>689.69999999999993</v>
      </c>
      <c r="BB128" s="207">
        <f>'Margins summary'!$S$14</f>
        <v>220</v>
      </c>
      <c r="BC128" s="207">
        <f t="shared" si="288"/>
        <v>909.69999999999993</v>
      </c>
      <c r="BD128" s="207"/>
      <c r="BE128" s="898">
        <f>'Energy NPV'!U54</f>
        <v>233.81200000000001</v>
      </c>
      <c r="BF128" s="207">
        <f>'Energy margins'!$Q$67</f>
        <v>170</v>
      </c>
      <c r="BG128" s="207">
        <f t="shared" si="289"/>
        <v>403.81200000000001</v>
      </c>
      <c r="BH128" s="207">
        <f t="shared" si="269"/>
        <v>285.88799999999992</v>
      </c>
      <c r="BI128" s="207">
        <f t="shared" si="270"/>
        <v>505.88799999999992</v>
      </c>
      <c r="BJ128" s="208">
        <f t="shared" si="290"/>
        <v>512.45725927308172</v>
      </c>
      <c r="BK128" s="207">
        <f t="shared" si="291"/>
        <v>163.46324059747425</v>
      </c>
      <c r="BL128" s="207">
        <f t="shared" si="292"/>
        <v>300.03826414612394</v>
      </c>
      <c r="BM128" s="207">
        <f t="shared" si="293"/>
        <v>212.41899512695775</v>
      </c>
      <c r="BN128" s="209">
        <f t="shared" si="294"/>
        <v>375.88223572443201</v>
      </c>
      <c r="BO128" s="208">
        <f t="shared" si="319"/>
        <v>8354.4781551463821</v>
      </c>
      <c r="BP128" s="207">
        <f t="shared" si="295"/>
        <v>3046.8379701262907</v>
      </c>
      <c r="BQ128" s="207">
        <f t="shared" si="295"/>
        <v>5319.1750637857713</v>
      </c>
      <c r="BR128" s="207">
        <f t="shared" si="295"/>
        <v>3035.3030913606103</v>
      </c>
      <c r="BS128" s="209">
        <f t="shared" si="295"/>
        <v>6082.1410614868992</v>
      </c>
      <c r="BT128" s="197"/>
      <c r="BV128" s="206">
        <f t="shared" si="320"/>
        <v>16</v>
      </c>
      <c r="BW128" s="748">
        <f>'Energy NPV'!$D54</f>
        <v>12.54</v>
      </c>
      <c r="BX128" s="207">
        <f>'Energy margins'!$L$12</f>
        <v>55</v>
      </c>
      <c r="BY128" s="207">
        <f t="shared" si="321"/>
        <v>689.69999999999993</v>
      </c>
      <c r="BZ128" s="207">
        <f>'Margins summary'!$S$14</f>
        <v>220</v>
      </c>
      <c r="CA128" s="207">
        <f t="shared" si="296"/>
        <v>909.69999999999993</v>
      </c>
      <c r="CB128" s="207"/>
      <c r="CC128" s="898">
        <f>'Energy NPV'!U54</f>
        <v>233.81200000000001</v>
      </c>
      <c r="CD128" s="207">
        <f>'Energy margins'!$Q$67</f>
        <v>170</v>
      </c>
      <c r="CE128" s="207">
        <f t="shared" si="297"/>
        <v>403.81200000000001</v>
      </c>
      <c r="CF128" s="207">
        <f t="shared" si="271"/>
        <v>285.88799999999992</v>
      </c>
      <c r="CG128" s="207">
        <f t="shared" si="272"/>
        <v>505.88799999999992</v>
      </c>
      <c r="CH128" s="208">
        <f t="shared" si="298"/>
        <v>217.42220391497429</v>
      </c>
      <c r="CI128" s="207">
        <f t="shared" si="299"/>
        <v>69.353175092495789</v>
      </c>
      <c r="CJ128" s="207">
        <f t="shared" si="300"/>
        <v>127.29838336568596</v>
      </c>
      <c r="CK128" s="207">
        <f t="shared" si="301"/>
        <v>90.123820549288325</v>
      </c>
      <c r="CL128" s="209">
        <f>CG128/((1+$E$4)^($BV128-1))</f>
        <v>159.4769956417841</v>
      </c>
      <c r="CM128" s="208">
        <f t="shared" si="322"/>
        <v>5429.8443646430633</v>
      </c>
      <c r="CN128" s="207">
        <f t="shared" si="303"/>
        <v>2103.0853113438015</v>
      </c>
      <c r="CO128" s="207">
        <f t="shared" si="303"/>
        <v>4227.5733748722805</v>
      </c>
      <c r="CP128" s="207">
        <f t="shared" si="303"/>
        <v>1202.2709897707828</v>
      </c>
      <c r="CQ128" s="209">
        <f t="shared" si="303"/>
        <v>3305.3563011145839</v>
      </c>
      <c r="CR128" s="197"/>
      <c r="CT128" s="206">
        <f t="shared" si="323"/>
        <v>16</v>
      </c>
      <c r="CU128" s="748">
        <f>'Energy NPV'!$D54</f>
        <v>12.54</v>
      </c>
      <c r="CV128" s="207">
        <f>'Energy margins'!$L$12</f>
        <v>55</v>
      </c>
      <c r="CW128" s="207">
        <f t="shared" si="324"/>
        <v>689.69999999999993</v>
      </c>
      <c r="CX128" s="207">
        <f>'Margins summary'!$S$14</f>
        <v>220</v>
      </c>
      <c r="CY128" s="207">
        <f t="shared" si="304"/>
        <v>909.69999999999993</v>
      </c>
      <c r="CZ128" s="207"/>
      <c r="DA128" s="898">
        <f>'Energy NPV'!U54</f>
        <v>233.81200000000001</v>
      </c>
      <c r="DB128" s="207">
        <f>'Energy margins'!$Q$67</f>
        <v>170</v>
      </c>
      <c r="DC128" s="207">
        <f t="shared" si="305"/>
        <v>403.81200000000001</v>
      </c>
      <c r="DD128" s="207">
        <f t="shared" si="273"/>
        <v>285.88799999999992</v>
      </c>
      <c r="DE128" s="207">
        <f t="shared" si="274"/>
        <v>505.88799999999992</v>
      </c>
      <c r="DF128" s="208">
        <f t="shared" si="325"/>
        <v>689.69999999999993</v>
      </c>
      <c r="DG128" s="207">
        <f t="shared" si="306"/>
        <v>220</v>
      </c>
      <c r="DH128" s="207">
        <f t="shared" si="307"/>
        <v>403.81200000000001</v>
      </c>
      <c r="DI128" s="207">
        <f t="shared" si="308"/>
        <v>285.88799999999992</v>
      </c>
      <c r="DJ128" s="209">
        <f>DE128/((1+$F$4)^($CT128-1))</f>
        <v>505.88799999999992</v>
      </c>
      <c r="DK128" s="208">
        <f t="shared" si="326"/>
        <v>9825.4750000000004</v>
      </c>
      <c r="DL128" s="207">
        <f t="shared" si="310"/>
        <v>3520</v>
      </c>
      <c r="DM128" s="207">
        <f t="shared" si="310"/>
        <v>5871.5919999999987</v>
      </c>
      <c r="DN128" s="207">
        <f t="shared" si="310"/>
        <v>3953.8829999999989</v>
      </c>
      <c r="DO128" s="209">
        <f t="shared" si="310"/>
        <v>7473.8829999999989</v>
      </c>
    </row>
    <row r="134" spans="2:118" x14ac:dyDescent="0.3">
      <c r="B134" s="212" t="s">
        <v>260</v>
      </c>
      <c r="C134" s="750" t="s">
        <v>433</v>
      </c>
      <c r="D134" s="269" t="s">
        <v>418</v>
      </c>
      <c r="E134" s="894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260</v>
      </c>
      <c r="AA134" s="211" t="s">
        <v>441</v>
      </c>
      <c r="AB134" s="269"/>
      <c r="AC134" s="894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260</v>
      </c>
      <c r="AY134" s="211" t="s">
        <v>440</v>
      </c>
      <c r="AZ134" s="269"/>
      <c r="BA134" s="894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260</v>
      </c>
      <c r="BW134" s="211" t="s">
        <v>439</v>
      </c>
      <c r="BX134" s="269"/>
      <c r="BY134" s="894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260</v>
      </c>
      <c r="CU134" s="211" t="s">
        <v>438</v>
      </c>
      <c r="CV134" s="269"/>
      <c r="CW134" s="894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45"/>
      <c r="F135" s="745"/>
      <c r="G135" s="745"/>
      <c r="H135" s="148"/>
      <c r="I135" s="148"/>
      <c r="J135" s="745"/>
      <c r="K135" s="148"/>
      <c r="L135" s="148"/>
      <c r="M135" s="875" t="s">
        <v>279</v>
      </c>
      <c r="N135" s="876"/>
      <c r="O135" s="876"/>
      <c r="P135" s="876"/>
      <c r="Q135" s="877"/>
      <c r="R135" s="875" t="s">
        <v>280</v>
      </c>
      <c r="S135" s="876"/>
      <c r="T135" s="876"/>
      <c r="U135" s="876"/>
      <c r="V135" s="877"/>
      <c r="Z135" s="203"/>
      <c r="AB135" s="158"/>
      <c r="AC135" s="745"/>
      <c r="AD135" s="745"/>
      <c r="AE135" s="745"/>
      <c r="AF135" s="148"/>
      <c r="AG135" s="148"/>
      <c r="AH135" s="745"/>
      <c r="AI135" s="148"/>
      <c r="AJ135" s="148"/>
      <c r="AK135" s="875" t="s">
        <v>279</v>
      </c>
      <c r="AL135" s="876"/>
      <c r="AM135" s="876"/>
      <c r="AN135" s="876"/>
      <c r="AO135" s="877"/>
      <c r="AP135" s="875" t="s">
        <v>280</v>
      </c>
      <c r="AQ135" s="876"/>
      <c r="AR135" s="876"/>
      <c r="AS135" s="876"/>
      <c r="AT135" s="877"/>
      <c r="AX135" s="203"/>
      <c r="AZ135" s="158"/>
      <c r="BA135" s="745"/>
      <c r="BB135" s="745"/>
      <c r="BC135" s="745"/>
      <c r="BD135" s="148"/>
      <c r="BE135" s="148"/>
      <c r="BF135" s="745"/>
      <c r="BG135" s="148"/>
      <c r="BH135" s="148"/>
      <c r="BI135" s="875" t="s">
        <v>279</v>
      </c>
      <c r="BJ135" s="876"/>
      <c r="BK135" s="876"/>
      <c r="BL135" s="876"/>
      <c r="BM135" s="877"/>
      <c r="BN135" s="875" t="s">
        <v>280</v>
      </c>
      <c r="BO135" s="876"/>
      <c r="BP135" s="876"/>
      <c r="BQ135" s="876"/>
      <c r="BR135" s="877"/>
      <c r="BV135" s="203"/>
      <c r="BX135" s="158"/>
      <c r="BY135" s="745"/>
      <c r="BZ135" s="745"/>
      <c r="CA135" s="745"/>
      <c r="CB135" s="148"/>
      <c r="CC135" s="148"/>
      <c r="CD135" s="745"/>
      <c r="CE135" s="148"/>
      <c r="CF135" s="148"/>
      <c r="CG135" s="875" t="s">
        <v>279</v>
      </c>
      <c r="CH135" s="876"/>
      <c r="CI135" s="876"/>
      <c r="CJ135" s="876"/>
      <c r="CK135" s="877"/>
      <c r="CL135" s="875" t="s">
        <v>280</v>
      </c>
      <c r="CM135" s="876"/>
      <c r="CN135" s="876"/>
      <c r="CO135" s="876"/>
      <c r="CP135" s="877"/>
      <c r="CT135" s="203"/>
      <c r="CV135" s="158"/>
      <c r="CW135" s="745"/>
      <c r="CX135" s="745"/>
      <c r="CY135" s="745"/>
      <c r="CZ135" s="148"/>
      <c r="DA135" s="148"/>
      <c r="DB135" s="745"/>
      <c r="DC135" s="148"/>
      <c r="DD135" s="148"/>
      <c r="DE135" s="875" t="s">
        <v>279</v>
      </c>
      <c r="DF135" s="876"/>
      <c r="DG135" s="876"/>
      <c r="DH135" s="876"/>
      <c r="DI135" s="877"/>
      <c r="DJ135" s="875" t="s">
        <v>280</v>
      </c>
      <c r="DK135" s="876"/>
      <c r="DL135" s="876"/>
      <c r="DM135" s="876"/>
      <c r="DN135" s="877"/>
    </row>
    <row r="136" spans="2:118" ht="51" x14ac:dyDescent="0.3">
      <c r="B136" s="204" t="s">
        <v>281</v>
      </c>
      <c r="C136" s="205" t="s">
        <v>307</v>
      </c>
      <c r="D136" s="205" t="s">
        <v>308</v>
      </c>
      <c r="E136" s="171" t="s">
        <v>283</v>
      </c>
      <c r="F136" s="171" t="s">
        <v>10</v>
      </c>
      <c r="G136" s="171" t="s">
        <v>284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287</v>
      </c>
      <c r="K136" s="171" t="s">
        <v>288</v>
      </c>
      <c r="L136" s="171" t="s">
        <v>289</v>
      </c>
      <c r="M136" s="195" t="s">
        <v>290</v>
      </c>
      <c r="N136" s="171" t="s">
        <v>291</v>
      </c>
      <c r="O136" s="171" t="s">
        <v>292</v>
      </c>
      <c r="P136" s="171" t="s">
        <v>293</v>
      </c>
      <c r="Q136" s="198" t="s">
        <v>294</v>
      </c>
      <c r="R136" s="195" t="s">
        <v>295</v>
      </c>
      <c r="S136" s="171" t="s">
        <v>296</v>
      </c>
      <c r="T136" s="171" t="s">
        <v>297</v>
      </c>
      <c r="U136" s="171" t="s">
        <v>298</v>
      </c>
      <c r="V136" s="198" t="s">
        <v>299</v>
      </c>
      <c r="Z136" s="204" t="s">
        <v>281</v>
      </c>
      <c r="AA136" s="205" t="s">
        <v>307</v>
      </c>
      <c r="AB136" s="205" t="s">
        <v>308</v>
      </c>
      <c r="AC136" s="171" t="s">
        <v>283</v>
      </c>
      <c r="AD136" s="171" t="s">
        <v>10</v>
      </c>
      <c r="AE136" s="171" t="s">
        <v>284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287</v>
      </c>
      <c r="AI136" s="171" t="s">
        <v>288</v>
      </c>
      <c r="AJ136" s="171" t="s">
        <v>289</v>
      </c>
      <c r="AK136" s="195" t="s">
        <v>290</v>
      </c>
      <c r="AL136" s="171" t="s">
        <v>291</v>
      </c>
      <c r="AM136" s="171" t="s">
        <v>292</v>
      </c>
      <c r="AN136" s="171" t="s">
        <v>293</v>
      </c>
      <c r="AO136" s="198" t="s">
        <v>294</v>
      </c>
      <c r="AP136" s="195" t="s">
        <v>295</v>
      </c>
      <c r="AQ136" s="171" t="s">
        <v>296</v>
      </c>
      <c r="AR136" s="171" t="s">
        <v>297</v>
      </c>
      <c r="AS136" s="171" t="s">
        <v>298</v>
      </c>
      <c r="AT136" s="198" t="s">
        <v>299</v>
      </c>
      <c r="AX136" s="204" t="s">
        <v>281</v>
      </c>
      <c r="AY136" s="205" t="s">
        <v>307</v>
      </c>
      <c r="AZ136" s="205" t="s">
        <v>308</v>
      </c>
      <c r="BA136" s="171" t="s">
        <v>283</v>
      </c>
      <c r="BB136" s="171" t="s">
        <v>10</v>
      </c>
      <c r="BC136" s="171" t="s">
        <v>284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287</v>
      </c>
      <c r="BG136" s="171" t="s">
        <v>288</v>
      </c>
      <c r="BH136" s="171" t="s">
        <v>289</v>
      </c>
      <c r="BI136" s="195" t="s">
        <v>290</v>
      </c>
      <c r="BJ136" s="171" t="s">
        <v>291</v>
      </c>
      <c r="BK136" s="171" t="s">
        <v>292</v>
      </c>
      <c r="BL136" s="171" t="s">
        <v>293</v>
      </c>
      <c r="BM136" s="198" t="s">
        <v>294</v>
      </c>
      <c r="BN136" s="195" t="s">
        <v>295</v>
      </c>
      <c r="BO136" s="171" t="s">
        <v>296</v>
      </c>
      <c r="BP136" s="171" t="s">
        <v>297</v>
      </c>
      <c r="BQ136" s="171" t="s">
        <v>298</v>
      </c>
      <c r="BR136" s="198" t="s">
        <v>299</v>
      </c>
      <c r="BV136" s="204" t="s">
        <v>281</v>
      </c>
      <c r="BW136" s="205" t="s">
        <v>307</v>
      </c>
      <c r="BX136" s="205" t="s">
        <v>308</v>
      </c>
      <c r="BY136" s="171" t="s">
        <v>283</v>
      </c>
      <c r="BZ136" s="171" t="s">
        <v>10</v>
      </c>
      <c r="CA136" s="171" t="s">
        <v>284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287</v>
      </c>
      <c r="CE136" s="171" t="s">
        <v>288</v>
      </c>
      <c r="CF136" s="171" t="s">
        <v>289</v>
      </c>
      <c r="CG136" s="195" t="s">
        <v>290</v>
      </c>
      <c r="CH136" s="171" t="s">
        <v>291</v>
      </c>
      <c r="CI136" s="171" t="s">
        <v>292</v>
      </c>
      <c r="CJ136" s="171" t="s">
        <v>293</v>
      </c>
      <c r="CK136" s="198" t="s">
        <v>294</v>
      </c>
      <c r="CL136" s="195" t="s">
        <v>295</v>
      </c>
      <c r="CM136" s="171" t="s">
        <v>296</v>
      </c>
      <c r="CN136" s="171" t="s">
        <v>297</v>
      </c>
      <c r="CO136" s="171" t="s">
        <v>298</v>
      </c>
      <c r="CP136" s="198" t="s">
        <v>299</v>
      </c>
      <c r="CT136" s="204" t="s">
        <v>281</v>
      </c>
      <c r="CU136" s="205" t="s">
        <v>307</v>
      </c>
      <c r="CV136" s="205" t="s">
        <v>308</v>
      </c>
      <c r="CW136" s="171" t="s">
        <v>283</v>
      </c>
      <c r="CX136" s="171" t="s">
        <v>10</v>
      </c>
      <c r="CY136" s="171" t="s">
        <v>284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287</v>
      </c>
      <c r="DC136" s="171" t="s">
        <v>288</v>
      </c>
      <c r="DD136" s="171" t="s">
        <v>289</v>
      </c>
      <c r="DE136" s="195" t="s">
        <v>290</v>
      </c>
      <c r="DF136" s="171" t="s">
        <v>291</v>
      </c>
      <c r="DG136" s="171" t="s">
        <v>292</v>
      </c>
      <c r="DH136" s="171" t="s">
        <v>293</v>
      </c>
      <c r="DI136" s="198" t="s">
        <v>294</v>
      </c>
      <c r="DJ136" s="195" t="s">
        <v>295</v>
      </c>
      <c r="DK136" s="171" t="s">
        <v>296</v>
      </c>
      <c r="DL136" s="171" t="s">
        <v>297</v>
      </c>
      <c r="DM136" s="171" t="s">
        <v>298</v>
      </c>
      <c r="DN136" s="198" t="s">
        <v>299</v>
      </c>
    </row>
    <row r="137" spans="2:118" x14ac:dyDescent="0.3">
      <c r="B137" s="173"/>
      <c r="C137" s="226" t="s">
        <v>356</v>
      </c>
      <c r="D137" s="226" t="s">
        <v>476</v>
      </c>
      <c r="E137" s="201" t="s">
        <v>474</v>
      </c>
      <c r="F137" s="201" t="s">
        <v>474</v>
      </c>
      <c r="G137" s="201" t="s">
        <v>474</v>
      </c>
      <c r="H137" s="201" t="s">
        <v>474</v>
      </c>
      <c r="I137" s="201" t="s">
        <v>474</v>
      </c>
      <c r="J137" s="201" t="s">
        <v>474</v>
      </c>
      <c r="K137" s="201" t="s">
        <v>474</v>
      </c>
      <c r="L137" s="202" t="s">
        <v>474</v>
      </c>
      <c r="M137" s="201" t="s">
        <v>474</v>
      </c>
      <c r="N137" s="201" t="s">
        <v>474</v>
      </c>
      <c r="O137" s="201" t="s">
        <v>474</v>
      </c>
      <c r="P137" s="201" t="s">
        <v>474</v>
      </c>
      <c r="Q137" s="202" t="s">
        <v>474</v>
      </c>
      <c r="R137" s="201" t="s">
        <v>474</v>
      </c>
      <c r="S137" s="201" t="s">
        <v>474</v>
      </c>
      <c r="T137" s="201" t="s">
        <v>474</v>
      </c>
      <c r="U137" s="201" t="s">
        <v>474</v>
      </c>
      <c r="V137" s="202" t="s">
        <v>474</v>
      </c>
      <c r="Z137" s="173"/>
      <c r="AA137" s="226" t="s">
        <v>356</v>
      </c>
      <c r="AB137" s="226" t="s">
        <v>476</v>
      </c>
      <c r="AC137" s="201" t="s">
        <v>474</v>
      </c>
      <c r="AD137" s="201" t="s">
        <v>474</v>
      </c>
      <c r="AE137" s="201" t="s">
        <v>474</v>
      </c>
      <c r="AF137" s="201" t="s">
        <v>474</v>
      </c>
      <c r="AG137" s="201" t="s">
        <v>474</v>
      </c>
      <c r="AH137" s="201" t="s">
        <v>474</v>
      </c>
      <c r="AI137" s="201" t="s">
        <v>474</v>
      </c>
      <c r="AJ137" s="202" t="s">
        <v>474</v>
      </c>
      <c r="AK137" s="201" t="s">
        <v>474</v>
      </c>
      <c r="AL137" s="201" t="s">
        <v>474</v>
      </c>
      <c r="AM137" s="201" t="s">
        <v>474</v>
      </c>
      <c r="AN137" s="201" t="s">
        <v>474</v>
      </c>
      <c r="AO137" s="202" t="s">
        <v>474</v>
      </c>
      <c r="AP137" s="201" t="s">
        <v>474</v>
      </c>
      <c r="AQ137" s="201" t="s">
        <v>474</v>
      </c>
      <c r="AR137" s="201" t="s">
        <v>474</v>
      </c>
      <c r="AS137" s="201" t="s">
        <v>474</v>
      </c>
      <c r="AT137" s="202" t="s">
        <v>474</v>
      </c>
      <c r="AX137" s="173"/>
      <c r="AY137" s="226" t="s">
        <v>356</v>
      </c>
      <c r="AZ137" s="226" t="s">
        <v>476</v>
      </c>
      <c r="BA137" s="201" t="s">
        <v>474</v>
      </c>
      <c r="BB137" s="201" t="s">
        <v>474</v>
      </c>
      <c r="BC137" s="201" t="s">
        <v>474</v>
      </c>
      <c r="BD137" s="201" t="s">
        <v>474</v>
      </c>
      <c r="BE137" s="201" t="s">
        <v>474</v>
      </c>
      <c r="BF137" s="201" t="s">
        <v>474</v>
      </c>
      <c r="BG137" s="201" t="s">
        <v>474</v>
      </c>
      <c r="BH137" s="202" t="s">
        <v>474</v>
      </c>
      <c r="BI137" s="201" t="s">
        <v>474</v>
      </c>
      <c r="BJ137" s="201" t="s">
        <v>474</v>
      </c>
      <c r="BK137" s="201" t="s">
        <v>474</v>
      </c>
      <c r="BL137" s="201" t="s">
        <v>474</v>
      </c>
      <c r="BM137" s="202" t="s">
        <v>474</v>
      </c>
      <c r="BN137" s="201" t="s">
        <v>474</v>
      </c>
      <c r="BO137" s="201" t="s">
        <v>474</v>
      </c>
      <c r="BP137" s="201" t="s">
        <v>474</v>
      </c>
      <c r="BQ137" s="201" t="s">
        <v>474</v>
      </c>
      <c r="BR137" s="202" t="s">
        <v>474</v>
      </c>
      <c r="BV137" s="173"/>
      <c r="BW137" s="226" t="s">
        <v>356</v>
      </c>
      <c r="BX137" s="226" t="s">
        <v>476</v>
      </c>
      <c r="BY137" s="201" t="s">
        <v>474</v>
      </c>
      <c r="BZ137" s="201" t="s">
        <v>474</v>
      </c>
      <c r="CA137" s="201" t="s">
        <v>474</v>
      </c>
      <c r="CB137" s="201" t="s">
        <v>474</v>
      </c>
      <c r="CC137" s="201" t="s">
        <v>474</v>
      </c>
      <c r="CD137" s="201" t="s">
        <v>474</v>
      </c>
      <c r="CE137" s="201" t="s">
        <v>474</v>
      </c>
      <c r="CF137" s="202" t="s">
        <v>474</v>
      </c>
      <c r="CG137" s="201" t="s">
        <v>474</v>
      </c>
      <c r="CH137" s="201" t="s">
        <v>474</v>
      </c>
      <c r="CI137" s="201" t="s">
        <v>474</v>
      </c>
      <c r="CJ137" s="201" t="s">
        <v>474</v>
      </c>
      <c r="CK137" s="202" t="s">
        <v>474</v>
      </c>
      <c r="CL137" s="201" t="s">
        <v>474</v>
      </c>
      <c r="CM137" s="201" t="s">
        <v>474</v>
      </c>
      <c r="CN137" s="201" t="s">
        <v>474</v>
      </c>
      <c r="CO137" s="201" t="s">
        <v>474</v>
      </c>
      <c r="CP137" s="202" t="s">
        <v>474</v>
      </c>
      <c r="CT137" s="173"/>
      <c r="CU137" s="226" t="s">
        <v>356</v>
      </c>
      <c r="CV137" s="226" t="s">
        <v>476</v>
      </c>
      <c r="CW137" s="201" t="s">
        <v>474</v>
      </c>
      <c r="CX137" s="201" t="s">
        <v>474</v>
      </c>
      <c r="CY137" s="201" t="s">
        <v>474</v>
      </c>
      <c r="CZ137" s="201" t="s">
        <v>474</v>
      </c>
      <c r="DA137" s="201" t="s">
        <v>474</v>
      </c>
      <c r="DB137" s="201" t="s">
        <v>474</v>
      </c>
      <c r="DC137" s="201" t="s">
        <v>474</v>
      </c>
      <c r="DD137" s="202" t="s">
        <v>474</v>
      </c>
      <c r="DE137" s="201" t="s">
        <v>474</v>
      </c>
      <c r="DF137" s="201" t="s">
        <v>474</v>
      </c>
      <c r="DG137" s="201" t="s">
        <v>474</v>
      </c>
      <c r="DH137" s="201" t="s">
        <v>474</v>
      </c>
      <c r="DI137" s="202" t="s">
        <v>474</v>
      </c>
      <c r="DJ137" s="201" t="s">
        <v>474</v>
      </c>
      <c r="DK137" s="201" t="s">
        <v>474</v>
      </c>
      <c r="DL137" s="201" t="s">
        <v>474</v>
      </c>
      <c r="DM137" s="201" t="s">
        <v>474</v>
      </c>
      <c r="DN137" s="202" t="s">
        <v>474</v>
      </c>
    </row>
    <row r="138" spans="2:118" x14ac:dyDescent="0.3">
      <c r="B138" s="880">
        <v>1</v>
      </c>
      <c r="C138" s="892">
        <f>'Arable Inputs'!$H$18</f>
        <v>12</v>
      </c>
      <c r="D138" s="747">
        <f>'Arable Inputs'!$H$25</f>
        <v>107.1</v>
      </c>
      <c r="E138" s="749">
        <f>C138*D138</f>
        <v>1285.1999999999998</v>
      </c>
      <c r="F138" s="197">
        <f>'Arable NPV'!$D117</f>
        <v>220</v>
      </c>
      <c r="G138" s="197">
        <f>E138+F138</f>
        <v>1505.1999999999998</v>
      </c>
      <c r="H138" s="197">
        <f>'Arable NPV'!$F117</f>
        <v>528.51499999999999</v>
      </c>
      <c r="I138" s="197">
        <f>'Arable NPV'!$G117</f>
        <v>552.40000000000009</v>
      </c>
      <c r="J138" s="197">
        <f>(H138+I138)</f>
        <v>1080.915</v>
      </c>
      <c r="K138" s="197">
        <f>E138-J138</f>
        <v>204.28499999999985</v>
      </c>
      <c r="L138" s="197">
        <f>G138-J138</f>
        <v>424.28499999999985</v>
      </c>
      <c r="M138" s="1016">
        <f>E138/(1+$B$4)^(B138-1)</f>
        <v>1285.1999999999998</v>
      </c>
      <c r="N138" s="213">
        <f>F138/(1+$B$4)^(B138-1)</f>
        <v>220</v>
      </c>
      <c r="O138" s="213">
        <f>J138/(1+$B$4)^(B138-1)</f>
        <v>1080.915</v>
      </c>
      <c r="P138" s="213">
        <f>K138/(1+$B$4)^(B138-1)</f>
        <v>204.28499999999985</v>
      </c>
      <c r="Q138" s="908">
        <f>L138/(1+$B$4)^(B138-1)</f>
        <v>424.28499999999985</v>
      </c>
      <c r="R138" s="196">
        <f>M138</f>
        <v>1285.1999999999998</v>
      </c>
      <c r="S138" s="197">
        <f>N138</f>
        <v>220</v>
      </c>
      <c r="T138" s="197">
        <f>O138</f>
        <v>1080.915</v>
      </c>
      <c r="U138" s="197">
        <f>P138</f>
        <v>204.28499999999985</v>
      </c>
      <c r="V138" s="199">
        <f>Q138</f>
        <v>424.28499999999985</v>
      </c>
      <c r="Z138" s="880">
        <v>1</v>
      </c>
      <c r="AA138" s="892">
        <f>'Arable Inputs'!$H$18</f>
        <v>12</v>
      </c>
      <c r="AB138" s="747">
        <f>'Arable Inputs'!$H$25</f>
        <v>107.1</v>
      </c>
      <c r="AC138" s="749">
        <f>AA138*AB138</f>
        <v>1285.1999999999998</v>
      </c>
      <c r="AD138" s="197">
        <f>'Arable NPV'!$D117</f>
        <v>220</v>
      </c>
      <c r="AE138" s="197">
        <f>AC138+AD138</f>
        <v>1505.1999999999998</v>
      </c>
      <c r="AF138" s="197">
        <f>'Arable NPV'!$F117</f>
        <v>528.51499999999999</v>
      </c>
      <c r="AG138" s="197">
        <f>'Arable NPV'!$G117</f>
        <v>552.40000000000009</v>
      </c>
      <c r="AH138" s="197">
        <f>(AF138+AG138)</f>
        <v>1080.915</v>
      </c>
      <c r="AI138" s="197">
        <f>AC138-AH138</f>
        <v>204.28499999999985</v>
      </c>
      <c r="AJ138" s="197">
        <f>AE138-AH138</f>
        <v>424.28499999999985</v>
      </c>
      <c r="AK138" s="1016">
        <f>AC138/(1+$C$4)^(Z138-1)</f>
        <v>1285.1999999999998</v>
      </c>
      <c r="AL138" s="213">
        <f>AD138/(1+$C$4)^(Z138-1)</f>
        <v>220</v>
      </c>
      <c r="AM138" s="213">
        <f>AH138/(1+$C$4)^(Z138-1)</f>
        <v>1080.915</v>
      </c>
      <c r="AN138" s="213">
        <f>AI138/(1+$C$4)^(Z138-1)</f>
        <v>204.28499999999985</v>
      </c>
      <c r="AO138" s="908">
        <f>AJ138/(1+$C$4)^(Z138-1)</f>
        <v>424.28499999999985</v>
      </c>
      <c r="AP138" s="196">
        <f>AK138</f>
        <v>1285.1999999999998</v>
      </c>
      <c r="AQ138" s="197">
        <f>AL138</f>
        <v>220</v>
      </c>
      <c r="AR138" s="197">
        <f>AM138</f>
        <v>1080.915</v>
      </c>
      <c r="AS138" s="197">
        <f>AN138</f>
        <v>204.28499999999985</v>
      </c>
      <c r="AT138" s="199">
        <f>AO138</f>
        <v>424.28499999999985</v>
      </c>
      <c r="AX138" s="880">
        <v>1</v>
      </c>
      <c r="AY138" s="892">
        <f>'Arable Inputs'!$H$18</f>
        <v>12</v>
      </c>
      <c r="AZ138" s="747">
        <f>'Arable Inputs'!$H$25</f>
        <v>107.1</v>
      </c>
      <c r="BA138" s="749">
        <f>AY138*AZ138</f>
        <v>1285.1999999999998</v>
      </c>
      <c r="BB138" s="197">
        <f>'Arable NPV'!$D117</f>
        <v>220</v>
      </c>
      <c r="BC138" s="197">
        <f>BA138+BB138</f>
        <v>1505.1999999999998</v>
      </c>
      <c r="BD138" s="197">
        <f>'Arable NPV'!$F117</f>
        <v>528.51499999999999</v>
      </c>
      <c r="BE138" s="197">
        <f>'Arable NPV'!$G117</f>
        <v>552.40000000000009</v>
      </c>
      <c r="BF138" s="197">
        <f>(BD138+BE138)</f>
        <v>1080.915</v>
      </c>
      <c r="BG138" s="197">
        <f>BA138-BF138</f>
        <v>204.28499999999985</v>
      </c>
      <c r="BH138" s="197">
        <f>BC138-BF138</f>
        <v>424.28499999999985</v>
      </c>
      <c r="BI138" s="1016">
        <f>BA138/(1+$D$4)^(AX138-1)</f>
        <v>1285.1999999999998</v>
      </c>
      <c r="BJ138" s="213">
        <f>BB138/(1+$D$4)^(AX138-1)</f>
        <v>220</v>
      </c>
      <c r="BK138" s="213">
        <f>BF138/(1+$D$4)^(AX138-1)</f>
        <v>1080.915</v>
      </c>
      <c r="BL138" s="213">
        <f>BG138/(1+$D$4)^(AX138-1)</f>
        <v>204.28499999999985</v>
      </c>
      <c r="BM138" s="908">
        <f>BH138/(1+$D$4)^(AX138-1)</f>
        <v>424.28499999999985</v>
      </c>
      <c r="BN138" s="196">
        <f>BI138</f>
        <v>1285.1999999999998</v>
      </c>
      <c r="BO138" s="197">
        <f>BJ138</f>
        <v>220</v>
      </c>
      <c r="BP138" s="197">
        <f>BK138</f>
        <v>1080.915</v>
      </c>
      <c r="BQ138" s="197">
        <f>BL138</f>
        <v>204.28499999999985</v>
      </c>
      <c r="BR138" s="199">
        <f>BM138</f>
        <v>424.28499999999985</v>
      </c>
      <c r="BV138" s="880">
        <v>1</v>
      </c>
      <c r="BW138" s="892">
        <f>'Arable Inputs'!$H$18</f>
        <v>12</v>
      </c>
      <c r="BX138" s="747">
        <f>'Arable Inputs'!$H$25</f>
        <v>107.1</v>
      </c>
      <c r="BY138" s="749">
        <f>BW138*BX138</f>
        <v>1285.1999999999998</v>
      </c>
      <c r="BZ138" s="197">
        <f>'Arable NPV'!$D117</f>
        <v>220</v>
      </c>
      <c r="CA138" s="197">
        <f>BY138+BZ138</f>
        <v>1505.1999999999998</v>
      </c>
      <c r="CB138" s="197">
        <f>'Arable NPV'!$F117</f>
        <v>528.51499999999999</v>
      </c>
      <c r="CC138" s="197">
        <f>'Arable NPV'!$G117</f>
        <v>552.40000000000009</v>
      </c>
      <c r="CD138" s="197">
        <f>(CB138+CC138)</f>
        <v>1080.915</v>
      </c>
      <c r="CE138" s="197">
        <f>BY138-CD138</f>
        <v>204.28499999999985</v>
      </c>
      <c r="CF138" s="197">
        <f>CA138-CD138</f>
        <v>424.28499999999985</v>
      </c>
      <c r="CG138" s="1016">
        <f>BY138/(1+$E$4)^(BV138-1)</f>
        <v>1285.1999999999998</v>
      </c>
      <c r="CH138" s="213">
        <f>BZ138/(1+$E$4)^(BV138-1)</f>
        <v>220</v>
      </c>
      <c r="CI138" s="213">
        <f>CD138/(1+$E$4)^(BV138-1)</f>
        <v>1080.915</v>
      </c>
      <c r="CJ138" s="213">
        <f>CE138/(1+$E$4)^(BV138-1)</f>
        <v>204.28499999999985</v>
      </c>
      <c r="CK138" s="908">
        <f>CF138/(1+$E$4)^(BV138-1)</f>
        <v>424.28499999999985</v>
      </c>
      <c r="CL138" s="196">
        <f>CG138</f>
        <v>1285.1999999999998</v>
      </c>
      <c r="CM138" s="197">
        <f>CH138</f>
        <v>220</v>
      </c>
      <c r="CN138" s="197">
        <f>CI138</f>
        <v>1080.915</v>
      </c>
      <c r="CO138" s="197">
        <f>CJ138</f>
        <v>204.28499999999985</v>
      </c>
      <c r="CP138" s="199">
        <f>CK138</f>
        <v>424.28499999999985</v>
      </c>
      <c r="CT138" s="880">
        <v>1</v>
      </c>
      <c r="CU138" s="892">
        <f>'Arable Inputs'!$H$18</f>
        <v>12</v>
      </c>
      <c r="CV138" s="747">
        <f>'Arable Inputs'!$H$25</f>
        <v>107.1</v>
      </c>
      <c r="CW138" s="749">
        <f>CU138*CV138</f>
        <v>1285.1999999999998</v>
      </c>
      <c r="CX138" s="197">
        <f>'Arable NPV'!$D117</f>
        <v>220</v>
      </c>
      <c r="CY138" s="197">
        <f>CW138+CX138</f>
        <v>1505.1999999999998</v>
      </c>
      <c r="CZ138" s="197">
        <f>'Arable NPV'!$F117</f>
        <v>528.51499999999999</v>
      </c>
      <c r="DA138" s="197">
        <f>'Arable NPV'!$G117</f>
        <v>552.40000000000009</v>
      </c>
      <c r="DB138" s="197">
        <f>(CZ138+DA138)</f>
        <v>1080.915</v>
      </c>
      <c r="DC138" s="197">
        <f>CW138-DB138</f>
        <v>204.28499999999985</v>
      </c>
      <c r="DD138" s="197">
        <f>CY138-DB138</f>
        <v>424.28499999999985</v>
      </c>
      <c r="DE138" s="1016">
        <f>CW138/(1+$F$4)^(CT138-1)</f>
        <v>1285.1999999999998</v>
      </c>
      <c r="DF138" s="213">
        <f>CX138/(1+$F$4)^(CT138-1)</f>
        <v>220</v>
      </c>
      <c r="DG138" s="213">
        <f>DB138/(1+$F$4)^(CT138-1)</f>
        <v>1080.915</v>
      </c>
      <c r="DH138" s="213">
        <f>DC138/(1+$F$4)^(CT138-1)</f>
        <v>204.28499999999985</v>
      </c>
      <c r="DI138" s="908">
        <f>DD138/(1+$F$4)^(CT138-1)</f>
        <v>424.28499999999985</v>
      </c>
      <c r="DJ138" s="196">
        <f>DE138</f>
        <v>1285.1999999999998</v>
      </c>
      <c r="DK138" s="197">
        <f>DF138</f>
        <v>220</v>
      </c>
      <c r="DL138" s="197">
        <f>DG138</f>
        <v>1080.915</v>
      </c>
      <c r="DM138" s="197">
        <f>DH138</f>
        <v>204.28499999999985</v>
      </c>
      <c r="DN138" s="199">
        <f>DI138</f>
        <v>424.28499999999985</v>
      </c>
    </row>
    <row r="139" spans="2:118" x14ac:dyDescent="0.3">
      <c r="B139" s="881">
        <v>2</v>
      </c>
      <c r="C139" s="892">
        <f>'Arable Inputs'!$H$18</f>
        <v>12</v>
      </c>
      <c r="D139" s="747">
        <f>'Arable Inputs'!$H$25</f>
        <v>107.1</v>
      </c>
      <c r="E139" s="749">
        <f t="shared" ref="E139:E153" si="327">C139*D139</f>
        <v>1285.1999999999998</v>
      </c>
      <c r="F139" s="197">
        <f>'Arable NPV'!$D118</f>
        <v>220</v>
      </c>
      <c r="G139" s="197">
        <f>E139+F139</f>
        <v>1505.1999999999998</v>
      </c>
      <c r="H139" s="197">
        <f>'Arable NPV'!$F118</f>
        <v>528.51499999999999</v>
      </c>
      <c r="I139" s="197">
        <f>'Arable NPV'!$G118</f>
        <v>552.40000000000009</v>
      </c>
      <c r="J139" s="197">
        <f t="shared" ref="J139:J153" si="328">(H139+I139)</f>
        <v>1080.915</v>
      </c>
      <c r="K139" s="197">
        <f t="shared" ref="K139:K153" si="329">E139-J139</f>
        <v>204.28499999999985</v>
      </c>
      <c r="L139" s="197">
        <f t="shared" ref="L139:L153" si="330">G139-J139</f>
        <v>424.28499999999985</v>
      </c>
      <c r="M139" s="196">
        <f t="shared" ref="M139:M153" si="331">E139/(1+$B$4)^(B139-1)</f>
        <v>1235.7692307692305</v>
      </c>
      <c r="N139" s="197">
        <f t="shared" ref="N139:N153" si="332">F139/(1+$B$4)^(B139-1)</f>
        <v>211.53846153846152</v>
      </c>
      <c r="O139" s="197">
        <f t="shared" ref="O139:O153" si="333">J139/(1+$B$4)^(B139-1)</f>
        <v>1039.3413461538462</v>
      </c>
      <c r="P139" s="197">
        <f t="shared" ref="P139:P153" si="334">K139/(1+$B$4)^(B139-1)</f>
        <v>196.42788461538447</v>
      </c>
      <c r="Q139" s="199">
        <f t="shared" ref="Q139:Q152" si="335">L139/(1+$B$4)^(B139-1)</f>
        <v>407.96634615384602</v>
      </c>
      <c r="R139" s="196">
        <f t="shared" ref="R139:V153" si="336">R138+M139</f>
        <v>2520.9692307692303</v>
      </c>
      <c r="S139" s="197">
        <f t="shared" si="336"/>
        <v>431.53846153846155</v>
      </c>
      <c r="T139" s="197">
        <f t="shared" si="336"/>
        <v>2120.2563461538462</v>
      </c>
      <c r="U139" s="197">
        <f t="shared" si="336"/>
        <v>400.71288461538433</v>
      </c>
      <c r="V139" s="199">
        <f t="shared" si="336"/>
        <v>832.25134615384582</v>
      </c>
      <c r="Z139" s="881">
        <v>2</v>
      </c>
      <c r="AA139" s="892">
        <f>'Arable Inputs'!$H$18</f>
        <v>12</v>
      </c>
      <c r="AB139" s="747">
        <f>'Arable Inputs'!$H$25</f>
        <v>107.1</v>
      </c>
      <c r="AC139" s="749">
        <f t="shared" ref="AC139:AC153" si="337">AA139*AB139</f>
        <v>1285.1999999999998</v>
      </c>
      <c r="AD139" s="197">
        <f>'Arable NPV'!$D118</f>
        <v>220</v>
      </c>
      <c r="AE139" s="197">
        <f>AC139+AD139</f>
        <v>1505.1999999999998</v>
      </c>
      <c r="AF139" s="197">
        <f>'Arable NPV'!$F118</f>
        <v>528.51499999999999</v>
      </c>
      <c r="AG139" s="197">
        <f>'Arable NPV'!$G118</f>
        <v>552.40000000000009</v>
      </c>
      <c r="AH139" s="197">
        <f t="shared" ref="AH139:AH153" si="338">(AF139+AG139)</f>
        <v>1080.915</v>
      </c>
      <c r="AI139" s="197">
        <f t="shared" ref="AI139:AI153" si="339">AC139-AH139</f>
        <v>204.28499999999985</v>
      </c>
      <c r="AJ139" s="197">
        <f t="shared" ref="AJ139:AJ153" si="340">AE139-AH139</f>
        <v>424.28499999999985</v>
      </c>
      <c r="AK139" s="196">
        <f t="shared" ref="AK139:AK153" si="341">AC139/(1+$C$4)^(Z139-1)</f>
        <v>1212.4528301886789</v>
      </c>
      <c r="AL139" s="197">
        <f t="shared" ref="AL139:AL153" si="342">AD139/(1+$C$4)^(Z139-1)</f>
        <v>207.54716981132074</v>
      </c>
      <c r="AM139" s="197">
        <f t="shared" ref="AM139:AM153" si="343">AH139/(1+$C$4)^(Z139-1)</f>
        <v>1019.7311320754716</v>
      </c>
      <c r="AN139" s="197">
        <f t="shared" ref="AN139:AN153" si="344">AI139/(1+$C$4)^(Z139-1)</f>
        <v>192.7216981132074</v>
      </c>
      <c r="AO139" s="199">
        <f t="shared" ref="AO139:AO152" si="345">AJ139/(1+$C$4)^(Z139-1)</f>
        <v>400.26886792452814</v>
      </c>
      <c r="AP139" s="196">
        <f t="shared" ref="AP139:AP153" si="346">AP138+AK139</f>
        <v>2497.6528301886788</v>
      </c>
      <c r="AQ139" s="197">
        <f t="shared" ref="AQ139:AQ153" si="347">AQ138+AL139</f>
        <v>427.54716981132071</v>
      </c>
      <c r="AR139" s="197">
        <f t="shared" ref="AR139:AR153" si="348">AR138+AM139</f>
        <v>2100.6461320754715</v>
      </c>
      <c r="AS139" s="197">
        <f t="shared" ref="AS139:AS153" si="349">AS138+AN139</f>
        <v>397.00669811320722</v>
      </c>
      <c r="AT139" s="199">
        <f t="shared" ref="AT139:AT153" si="350">AT138+AO139</f>
        <v>824.55386792452805</v>
      </c>
      <c r="AX139" s="881">
        <v>2</v>
      </c>
      <c r="AY139" s="892">
        <f>'Arable Inputs'!$H$18</f>
        <v>12</v>
      </c>
      <c r="AZ139" s="747">
        <f>'Arable Inputs'!$H$25</f>
        <v>107.1</v>
      </c>
      <c r="BA139" s="749">
        <f t="shared" ref="BA139:BA153" si="351">AY139*AZ139</f>
        <v>1285.1999999999998</v>
      </c>
      <c r="BB139" s="197">
        <f>'Arable NPV'!$D118</f>
        <v>220</v>
      </c>
      <c r="BC139" s="197">
        <f>BA139+BB139</f>
        <v>1505.1999999999998</v>
      </c>
      <c r="BD139" s="197">
        <f>'Arable NPV'!$F118</f>
        <v>528.51499999999999</v>
      </c>
      <c r="BE139" s="197">
        <f>'Arable NPV'!$G118</f>
        <v>552.40000000000009</v>
      </c>
      <c r="BF139" s="197">
        <f t="shared" ref="BF139:BF153" si="352">(BD139+BE139)</f>
        <v>1080.915</v>
      </c>
      <c r="BG139" s="197">
        <f t="shared" ref="BG139:BG153" si="353">BA139-BF139</f>
        <v>204.28499999999985</v>
      </c>
      <c r="BH139" s="197">
        <f t="shared" ref="BH139:BH153" si="354">BC139-BF139</f>
        <v>424.28499999999985</v>
      </c>
      <c r="BI139" s="196">
        <f t="shared" ref="BI139:BI152" si="355">BA139/(1+$D$4)^(AX139-1)</f>
        <v>1259.9999999999998</v>
      </c>
      <c r="BJ139" s="197">
        <f t="shared" ref="BJ139:BJ153" si="356">BB139/(1+$D$4)^(AX139-1)</f>
        <v>215.68627450980392</v>
      </c>
      <c r="BK139" s="197">
        <f t="shared" ref="BK139:BK153" si="357">BF139/(1+$D$4)^(AX139-1)</f>
        <v>1059.7205882352941</v>
      </c>
      <c r="BL139" s="197">
        <f t="shared" ref="BL139:BL153" si="358">BG139/(1+$D$4)^(AX139-1)</f>
        <v>200.27941176470574</v>
      </c>
      <c r="BM139" s="199">
        <f t="shared" ref="BM139:BM152" si="359">BH139/(1+$D$4)^(AX139-1)</f>
        <v>415.96568627450966</v>
      </c>
      <c r="BN139" s="196">
        <f t="shared" ref="BN139:BN153" si="360">BN138+BI139</f>
        <v>2545.1999999999998</v>
      </c>
      <c r="BO139" s="197">
        <f t="shared" ref="BO139:BO153" si="361">BO138+BJ139</f>
        <v>435.68627450980392</v>
      </c>
      <c r="BP139" s="197">
        <f t="shared" ref="BP139:BP153" si="362">BP138+BK139</f>
        <v>2140.6355882352941</v>
      </c>
      <c r="BQ139" s="197">
        <f t="shared" ref="BQ139:BQ153" si="363">BQ138+BL139</f>
        <v>404.5644117647056</v>
      </c>
      <c r="BR139" s="199">
        <f t="shared" ref="BR139:BR153" si="364">BR138+BM139</f>
        <v>840.25068627450946</v>
      </c>
      <c r="BV139" s="881">
        <v>2</v>
      </c>
      <c r="BW139" s="892">
        <f>'Arable Inputs'!$H$18</f>
        <v>12</v>
      </c>
      <c r="BX139" s="747">
        <f>'Arable Inputs'!$H$25</f>
        <v>107.1</v>
      </c>
      <c r="BY139" s="749">
        <f t="shared" ref="BY139:BY153" si="365">BW139*BX139</f>
        <v>1285.1999999999998</v>
      </c>
      <c r="BZ139" s="197">
        <f>'Arable NPV'!$D118</f>
        <v>220</v>
      </c>
      <c r="CA139" s="197">
        <f>BY139+BZ139</f>
        <v>1505.1999999999998</v>
      </c>
      <c r="CB139" s="197">
        <f>'Arable NPV'!$F118</f>
        <v>528.51499999999999</v>
      </c>
      <c r="CC139" s="197">
        <f>'Arable NPV'!$G118</f>
        <v>552.40000000000009</v>
      </c>
      <c r="CD139" s="197">
        <f t="shared" ref="CD139:CD153" si="366">(CB139+CC139)</f>
        <v>1080.915</v>
      </c>
      <c r="CE139" s="197">
        <f t="shared" ref="CE139:CE153" si="367">BY139-CD139</f>
        <v>204.28499999999985</v>
      </c>
      <c r="CF139" s="197">
        <f t="shared" ref="CF139:CF153" si="368">CA139-CD139</f>
        <v>424.28499999999985</v>
      </c>
      <c r="CG139" s="196">
        <f t="shared" ref="CG139:CG153" si="369">BY139/(1+$E$4)^(BV139-1)</f>
        <v>1189.9999999999998</v>
      </c>
      <c r="CH139" s="197">
        <f t="shared" ref="CH139:CH153" si="370">BZ139/(1+$E$4)^(BV139-1)</f>
        <v>203.7037037037037</v>
      </c>
      <c r="CI139" s="197">
        <f t="shared" ref="CI139:CI153" si="371">CD139/(1+$E$4)^(BV139-1)</f>
        <v>1000.8472222222222</v>
      </c>
      <c r="CJ139" s="197">
        <f t="shared" ref="CJ139:CJ153" si="372">CE139/(1+$E$4)^(BV139-1)</f>
        <v>189.15277777777763</v>
      </c>
      <c r="CK139" s="199">
        <f t="shared" ref="CK139:CK152" si="373">CF139/(1+$E$4)^(BV139-1)</f>
        <v>392.8564814814813</v>
      </c>
      <c r="CL139" s="196">
        <f t="shared" ref="CL139:CL153" si="374">CL138+CG139</f>
        <v>2475.1999999999998</v>
      </c>
      <c r="CM139" s="197">
        <f t="shared" ref="CM139:CM153" si="375">CM138+CH139</f>
        <v>423.7037037037037</v>
      </c>
      <c r="CN139" s="197">
        <f t="shared" ref="CN139:CN153" si="376">CN138+CI139</f>
        <v>2081.7622222222221</v>
      </c>
      <c r="CO139" s="197">
        <f t="shared" ref="CO139:CO153" si="377">CO138+CJ139</f>
        <v>393.43777777777746</v>
      </c>
      <c r="CP139" s="199">
        <f t="shared" ref="CP139:CP153" si="378">CP138+CK139</f>
        <v>817.14148148148115</v>
      </c>
      <c r="CT139" s="881">
        <v>2</v>
      </c>
      <c r="CU139" s="892">
        <f>'Arable Inputs'!$H$18</f>
        <v>12</v>
      </c>
      <c r="CV139" s="747">
        <f>'Arable Inputs'!$H$25</f>
        <v>107.1</v>
      </c>
      <c r="CW139" s="749">
        <f t="shared" ref="CW139:CW153" si="379">CU139*CV139</f>
        <v>1285.1999999999998</v>
      </c>
      <c r="CX139" s="197">
        <f>'Arable NPV'!$D118</f>
        <v>220</v>
      </c>
      <c r="CY139" s="197">
        <f>CW139+CX139</f>
        <v>1505.1999999999998</v>
      </c>
      <c r="CZ139" s="197">
        <f>'Arable NPV'!$F118</f>
        <v>528.51499999999999</v>
      </c>
      <c r="DA139" s="197">
        <f>'Arable NPV'!$G118</f>
        <v>552.40000000000009</v>
      </c>
      <c r="DB139" s="197">
        <f t="shared" ref="DB139:DB153" si="380">(CZ139+DA139)</f>
        <v>1080.915</v>
      </c>
      <c r="DC139" s="197">
        <f t="shared" ref="DC139:DC153" si="381">CW139-DB139</f>
        <v>204.28499999999985</v>
      </c>
      <c r="DD139" s="197">
        <f t="shared" ref="DD139:DD153" si="382">CY139-DB139</f>
        <v>424.28499999999985</v>
      </c>
      <c r="DE139" s="196">
        <f t="shared" ref="DE139:DE153" si="383">CW139/(1+$F$4)^(CT139-1)</f>
        <v>1285.1999999999998</v>
      </c>
      <c r="DF139" s="197">
        <f t="shared" ref="DF139:DF153" si="384">CX139/(1+$F$4)^(CT139-1)</f>
        <v>220</v>
      </c>
      <c r="DG139" s="197">
        <f t="shared" ref="DG139:DG153" si="385">DB139/(1+$F$4)^(CT139-1)</f>
        <v>1080.915</v>
      </c>
      <c r="DH139" s="197">
        <f t="shared" ref="DH139:DH153" si="386">DC139/(1+$F$4)^(CT139-1)</f>
        <v>204.28499999999985</v>
      </c>
      <c r="DI139" s="199">
        <f t="shared" ref="DI139:DI152" si="387">DD139/(1+$F$4)^(CT139-1)</f>
        <v>424.28499999999985</v>
      </c>
      <c r="DJ139" s="196">
        <f t="shared" ref="DJ139:DJ153" si="388">DJ138+DE139</f>
        <v>2570.3999999999996</v>
      </c>
      <c r="DK139" s="197">
        <f t="shared" ref="DK139:DK153" si="389">DK138+DF139</f>
        <v>440</v>
      </c>
      <c r="DL139" s="197">
        <f t="shared" ref="DL139:DL153" si="390">DL138+DG139</f>
        <v>2161.83</v>
      </c>
      <c r="DM139" s="197">
        <f t="shared" ref="DM139:DM153" si="391">DM138+DH139</f>
        <v>408.56999999999971</v>
      </c>
      <c r="DN139" s="199">
        <f t="shared" ref="DN139:DN153" si="392">DN138+DI139</f>
        <v>848.56999999999971</v>
      </c>
    </row>
    <row r="140" spans="2:118" x14ac:dyDescent="0.3">
      <c r="B140" s="881">
        <v>3</v>
      </c>
      <c r="C140" s="892">
        <f>'Arable Inputs'!$H$18</f>
        <v>12</v>
      </c>
      <c r="D140" s="747">
        <f>'Arable Inputs'!$H$25</f>
        <v>107.1</v>
      </c>
      <c r="E140" s="749">
        <f t="shared" si="327"/>
        <v>1285.1999999999998</v>
      </c>
      <c r="F140" s="197">
        <f>'Arable NPV'!$D119</f>
        <v>220</v>
      </c>
      <c r="G140" s="197">
        <f t="shared" ref="G140:G152" si="393">E140+F140</f>
        <v>1505.1999999999998</v>
      </c>
      <c r="H140" s="197">
        <f>'Arable NPV'!$F119</f>
        <v>528.51499999999999</v>
      </c>
      <c r="I140" s="197">
        <f>'Arable NPV'!$G119</f>
        <v>552.40000000000009</v>
      </c>
      <c r="J140" s="197">
        <f t="shared" si="328"/>
        <v>1080.915</v>
      </c>
      <c r="K140" s="197">
        <f t="shared" si="329"/>
        <v>204.28499999999985</v>
      </c>
      <c r="L140" s="197">
        <f t="shared" si="330"/>
        <v>424.28499999999985</v>
      </c>
      <c r="M140" s="196">
        <f t="shared" si="331"/>
        <v>1188.2396449704138</v>
      </c>
      <c r="N140" s="197">
        <f t="shared" si="332"/>
        <v>203.40236686390531</v>
      </c>
      <c r="O140" s="197">
        <f t="shared" si="333"/>
        <v>999.36667899408269</v>
      </c>
      <c r="P140" s="197">
        <f t="shared" si="334"/>
        <v>188.87296597633122</v>
      </c>
      <c r="Q140" s="199">
        <f t="shared" si="335"/>
        <v>392.2753328402365</v>
      </c>
      <c r="R140" s="196">
        <f t="shared" si="336"/>
        <v>3709.2088757396441</v>
      </c>
      <c r="S140" s="197">
        <f t="shared" si="336"/>
        <v>634.94082840236683</v>
      </c>
      <c r="T140" s="197">
        <f t="shared" si="336"/>
        <v>3119.6230251479287</v>
      </c>
      <c r="U140" s="197">
        <f t="shared" si="336"/>
        <v>589.5858505917156</v>
      </c>
      <c r="V140" s="199">
        <f t="shared" si="336"/>
        <v>1224.5266789940824</v>
      </c>
      <c r="Z140" s="881">
        <v>3</v>
      </c>
      <c r="AA140" s="892">
        <f>'Arable Inputs'!$H$18</f>
        <v>12</v>
      </c>
      <c r="AB140" s="747">
        <f>'Arable Inputs'!$H$25</f>
        <v>107.1</v>
      </c>
      <c r="AC140" s="749">
        <f t="shared" si="337"/>
        <v>1285.1999999999998</v>
      </c>
      <c r="AD140" s="197">
        <f>'Arable NPV'!$D119</f>
        <v>220</v>
      </c>
      <c r="AE140" s="197">
        <f t="shared" ref="AE140:AE152" si="394">AC140+AD140</f>
        <v>1505.1999999999998</v>
      </c>
      <c r="AF140" s="197">
        <f>'Arable NPV'!$F119</f>
        <v>528.51499999999999</v>
      </c>
      <c r="AG140" s="197">
        <f>'Arable NPV'!$G119</f>
        <v>552.40000000000009</v>
      </c>
      <c r="AH140" s="197">
        <f t="shared" si="338"/>
        <v>1080.915</v>
      </c>
      <c r="AI140" s="197">
        <f t="shared" si="339"/>
        <v>204.28499999999985</v>
      </c>
      <c r="AJ140" s="197">
        <f t="shared" si="340"/>
        <v>424.28499999999985</v>
      </c>
      <c r="AK140" s="196">
        <f t="shared" si="341"/>
        <v>1143.8234247063008</v>
      </c>
      <c r="AL140" s="197">
        <f t="shared" si="342"/>
        <v>195.79921680313277</v>
      </c>
      <c r="AM140" s="197">
        <f t="shared" si="343"/>
        <v>962.01050195799201</v>
      </c>
      <c r="AN140" s="197">
        <f t="shared" si="344"/>
        <v>181.81292274830886</v>
      </c>
      <c r="AO140" s="199">
        <f t="shared" si="345"/>
        <v>377.6121395514416</v>
      </c>
      <c r="AP140" s="196">
        <f t="shared" si="346"/>
        <v>3641.4762548949793</v>
      </c>
      <c r="AQ140" s="197">
        <f t="shared" si="347"/>
        <v>623.34638661445342</v>
      </c>
      <c r="AR140" s="197">
        <f t="shared" si="348"/>
        <v>3062.6566340334634</v>
      </c>
      <c r="AS140" s="197">
        <f t="shared" si="349"/>
        <v>578.81962086151611</v>
      </c>
      <c r="AT140" s="199">
        <f t="shared" si="350"/>
        <v>1202.1660074759698</v>
      </c>
      <c r="AX140" s="881">
        <v>3</v>
      </c>
      <c r="AY140" s="892">
        <f>'Arable Inputs'!$H$18</f>
        <v>12</v>
      </c>
      <c r="AZ140" s="747">
        <f>'Arable Inputs'!$H$25</f>
        <v>107.1</v>
      </c>
      <c r="BA140" s="749">
        <f t="shared" si="351"/>
        <v>1285.1999999999998</v>
      </c>
      <c r="BB140" s="197">
        <f>'Arable NPV'!$D119</f>
        <v>220</v>
      </c>
      <c r="BC140" s="197">
        <f t="shared" ref="BC140:BC152" si="395">BA140+BB140</f>
        <v>1505.1999999999998</v>
      </c>
      <c r="BD140" s="197">
        <f>'Arable NPV'!$F119</f>
        <v>528.51499999999999</v>
      </c>
      <c r="BE140" s="197">
        <f>'Arable NPV'!$G119</f>
        <v>552.40000000000009</v>
      </c>
      <c r="BF140" s="197">
        <f t="shared" si="352"/>
        <v>1080.915</v>
      </c>
      <c r="BG140" s="197">
        <f t="shared" si="353"/>
        <v>204.28499999999985</v>
      </c>
      <c r="BH140" s="197">
        <f t="shared" si="354"/>
        <v>424.28499999999985</v>
      </c>
      <c r="BI140" s="196">
        <f t="shared" si="355"/>
        <v>1235.2941176470586</v>
      </c>
      <c r="BJ140" s="197">
        <f t="shared" si="356"/>
        <v>211.4571318723568</v>
      </c>
      <c r="BK140" s="197">
        <f t="shared" si="357"/>
        <v>1038.941753171857</v>
      </c>
      <c r="BL140" s="197">
        <f t="shared" si="358"/>
        <v>196.35236447520171</v>
      </c>
      <c r="BM140" s="199">
        <f t="shared" si="359"/>
        <v>407.80949634755848</v>
      </c>
      <c r="BN140" s="196">
        <f t="shared" si="360"/>
        <v>3780.4941176470584</v>
      </c>
      <c r="BO140" s="197">
        <f t="shared" si="361"/>
        <v>647.14340638216072</v>
      </c>
      <c r="BP140" s="197">
        <f t="shared" si="362"/>
        <v>3179.5773414071509</v>
      </c>
      <c r="BQ140" s="197">
        <f t="shared" si="363"/>
        <v>600.91677623990734</v>
      </c>
      <c r="BR140" s="199">
        <f t="shared" si="364"/>
        <v>1248.0601826220679</v>
      </c>
      <c r="BV140" s="881">
        <v>3</v>
      </c>
      <c r="BW140" s="892">
        <f>'Arable Inputs'!$H$18</f>
        <v>12</v>
      </c>
      <c r="BX140" s="747">
        <f>'Arable Inputs'!$H$25</f>
        <v>107.1</v>
      </c>
      <c r="BY140" s="749">
        <f t="shared" si="365"/>
        <v>1285.1999999999998</v>
      </c>
      <c r="BZ140" s="197">
        <f>'Arable NPV'!$D119</f>
        <v>220</v>
      </c>
      <c r="CA140" s="197">
        <f t="shared" ref="CA140:CA152" si="396">BY140+BZ140</f>
        <v>1505.1999999999998</v>
      </c>
      <c r="CB140" s="197">
        <f>'Arable NPV'!$F119</f>
        <v>528.51499999999999</v>
      </c>
      <c r="CC140" s="197">
        <f>'Arable NPV'!$G119</f>
        <v>552.40000000000009</v>
      </c>
      <c r="CD140" s="197">
        <f t="shared" si="366"/>
        <v>1080.915</v>
      </c>
      <c r="CE140" s="197">
        <f t="shared" si="367"/>
        <v>204.28499999999985</v>
      </c>
      <c r="CF140" s="197">
        <f t="shared" si="368"/>
        <v>424.28499999999985</v>
      </c>
      <c r="CG140" s="196">
        <f t="shared" si="369"/>
        <v>1101.8518518518515</v>
      </c>
      <c r="CH140" s="197">
        <f t="shared" si="370"/>
        <v>188.6145404663923</v>
      </c>
      <c r="CI140" s="197">
        <f t="shared" si="371"/>
        <v>926.71039094650189</v>
      </c>
      <c r="CJ140" s="197">
        <f t="shared" si="372"/>
        <v>175.14146090534965</v>
      </c>
      <c r="CK140" s="199">
        <f t="shared" si="373"/>
        <v>363.75600137174195</v>
      </c>
      <c r="CL140" s="196">
        <f t="shared" si="374"/>
        <v>3577.0518518518511</v>
      </c>
      <c r="CM140" s="197">
        <f t="shared" si="375"/>
        <v>612.31824417009602</v>
      </c>
      <c r="CN140" s="197">
        <f t="shared" si="376"/>
        <v>3008.4726131687239</v>
      </c>
      <c r="CO140" s="197">
        <f t="shared" si="377"/>
        <v>568.57923868312707</v>
      </c>
      <c r="CP140" s="199">
        <f t="shared" si="378"/>
        <v>1180.8974828532232</v>
      </c>
      <c r="CT140" s="881">
        <v>3</v>
      </c>
      <c r="CU140" s="892">
        <f>'Arable Inputs'!$H$18</f>
        <v>12</v>
      </c>
      <c r="CV140" s="747">
        <f>'Arable Inputs'!$H$25</f>
        <v>107.1</v>
      </c>
      <c r="CW140" s="749">
        <f t="shared" si="379"/>
        <v>1285.1999999999998</v>
      </c>
      <c r="CX140" s="197">
        <f>'Arable NPV'!$D119</f>
        <v>220</v>
      </c>
      <c r="CY140" s="197">
        <f t="shared" ref="CY140:CY152" si="397">CW140+CX140</f>
        <v>1505.1999999999998</v>
      </c>
      <c r="CZ140" s="197">
        <f>'Arable NPV'!$F119</f>
        <v>528.51499999999999</v>
      </c>
      <c r="DA140" s="197">
        <f>'Arable NPV'!$G119</f>
        <v>552.40000000000009</v>
      </c>
      <c r="DB140" s="197">
        <f t="shared" si="380"/>
        <v>1080.915</v>
      </c>
      <c r="DC140" s="197">
        <f t="shared" si="381"/>
        <v>204.28499999999985</v>
      </c>
      <c r="DD140" s="197">
        <f t="shared" si="382"/>
        <v>424.28499999999985</v>
      </c>
      <c r="DE140" s="196">
        <f t="shared" si="383"/>
        <v>1285.1999999999998</v>
      </c>
      <c r="DF140" s="197">
        <f t="shared" si="384"/>
        <v>220</v>
      </c>
      <c r="DG140" s="197">
        <f t="shared" si="385"/>
        <v>1080.915</v>
      </c>
      <c r="DH140" s="197">
        <f t="shared" si="386"/>
        <v>204.28499999999985</v>
      </c>
      <c r="DI140" s="199">
        <f t="shared" si="387"/>
        <v>424.28499999999985</v>
      </c>
      <c r="DJ140" s="196">
        <f t="shared" si="388"/>
        <v>3855.5999999999995</v>
      </c>
      <c r="DK140" s="197">
        <f t="shared" si="389"/>
        <v>660</v>
      </c>
      <c r="DL140" s="197">
        <f t="shared" si="390"/>
        <v>3242.7449999999999</v>
      </c>
      <c r="DM140" s="197">
        <f t="shared" si="391"/>
        <v>612.85499999999956</v>
      </c>
      <c r="DN140" s="199">
        <f t="shared" si="392"/>
        <v>1272.8549999999996</v>
      </c>
    </row>
    <row r="141" spans="2:118" x14ac:dyDescent="0.3">
      <c r="B141" s="881">
        <v>4</v>
      </c>
      <c r="C141" s="892">
        <f>'Arable Inputs'!$H$18</f>
        <v>12</v>
      </c>
      <c r="D141" s="747">
        <f>'Arable Inputs'!$H$25</f>
        <v>107.1</v>
      </c>
      <c r="E141" s="749">
        <f t="shared" si="327"/>
        <v>1285.1999999999998</v>
      </c>
      <c r="F141" s="197">
        <f>'Arable NPV'!$D120</f>
        <v>220</v>
      </c>
      <c r="G141" s="197">
        <f t="shared" si="393"/>
        <v>1505.1999999999998</v>
      </c>
      <c r="H141" s="197">
        <f>'Arable NPV'!$F120</f>
        <v>528.51499999999999</v>
      </c>
      <c r="I141" s="197">
        <f>'Arable NPV'!$G120</f>
        <v>552.40000000000009</v>
      </c>
      <c r="J141" s="197">
        <f t="shared" si="328"/>
        <v>1080.915</v>
      </c>
      <c r="K141" s="197">
        <f t="shared" si="329"/>
        <v>204.28499999999985</v>
      </c>
      <c r="L141" s="197">
        <f t="shared" si="330"/>
        <v>424.28499999999985</v>
      </c>
      <c r="M141" s="196">
        <f t="shared" si="331"/>
        <v>1142.5381201638595</v>
      </c>
      <c r="N141" s="197">
        <f t="shared" si="332"/>
        <v>195.57919890760127</v>
      </c>
      <c r="O141" s="197">
        <f t="shared" si="333"/>
        <v>960.9294990327719</v>
      </c>
      <c r="P141" s="197">
        <f t="shared" si="334"/>
        <v>181.60862113108772</v>
      </c>
      <c r="Q141" s="199">
        <f t="shared" si="335"/>
        <v>377.18782003868898</v>
      </c>
      <c r="R141" s="196">
        <f t="shared" si="336"/>
        <v>4851.7469959035034</v>
      </c>
      <c r="S141" s="197">
        <f t="shared" si="336"/>
        <v>830.5200273099681</v>
      </c>
      <c r="T141" s="197">
        <f t="shared" si="336"/>
        <v>4080.5525241807009</v>
      </c>
      <c r="U141" s="197">
        <f t="shared" si="336"/>
        <v>771.19447172280331</v>
      </c>
      <c r="V141" s="199">
        <f t="shared" si="336"/>
        <v>1601.7144990327715</v>
      </c>
      <c r="Z141" s="881">
        <v>4</v>
      </c>
      <c r="AA141" s="892">
        <f>'Arable Inputs'!$H$18</f>
        <v>12</v>
      </c>
      <c r="AB141" s="747">
        <f>'Arable Inputs'!$H$25</f>
        <v>107.1</v>
      </c>
      <c r="AC141" s="749">
        <f t="shared" si="337"/>
        <v>1285.1999999999998</v>
      </c>
      <c r="AD141" s="197">
        <f>'Arable NPV'!$D120</f>
        <v>220</v>
      </c>
      <c r="AE141" s="197">
        <f t="shared" si="394"/>
        <v>1505.1999999999998</v>
      </c>
      <c r="AF141" s="197">
        <f>'Arable NPV'!$F120</f>
        <v>528.51499999999999</v>
      </c>
      <c r="AG141" s="197">
        <f>'Arable NPV'!$G120</f>
        <v>552.40000000000009</v>
      </c>
      <c r="AH141" s="197">
        <f t="shared" si="338"/>
        <v>1080.915</v>
      </c>
      <c r="AI141" s="197">
        <f t="shared" si="339"/>
        <v>204.28499999999985</v>
      </c>
      <c r="AJ141" s="197">
        <f t="shared" si="340"/>
        <v>424.28499999999985</v>
      </c>
      <c r="AK141" s="196">
        <f t="shared" si="341"/>
        <v>1079.078702553114</v>
      </c>
      <c r="AL141" s="197">
        <f t="shared" si="342"/>
        <v>184.71624226710637</v>
      </c>
      <c r="AM141" s="197">
        <f t="shared" si="343"/>
        <v>907.55707731886025</v>
      </c>
      <c r="AN141" s="197">
        <f t="shared" si="344"/>
        <v>171.52162523425361</v>
      </c>
      <c r="AO141" s="199">
        <f t="shared" si="345"/>
        <v>356.23786750135997</v>
      </c>
      <c r="AP141" s="196">
        <f t="shared" si="346"/>
        <v>4720.5549574480938</v>
      </c>
      <c r="AQ141" s="197">
        <f t="shared" si="347"/>
        <v>808.06262888155982</v>
      </c>
      <c r="AR141" s="197">
        <f t="shared" si="348"/>
        <v>3970.2137113523236</v>
      </c>
      <c r="AS141" s="197">
        <f t="shared" si="349"/>
        <v>750.34124609576975</v>
      </c>
      <c r="AT141" s="199">
        <f t="shared" si="350"/>
        <v>1558.4038749773297</v>
      </c>
      <c r="AX141" s="881">
        <v>4</v>
      </c>
      <c r="AY141" s="892">
        <f>'Arable Inputs'!$H$18</f>
        <v>12</v>
      </c>
      <c r="AZ141" s="747">
        <f>'Arable Inputs'!$H$25</f>
        <v>107.1</v>
      </c>
      <c r="BA141" s="749">
        <f t="shared" si="351"/>
        <v>1285.1999999999998</v>
      </c>
      <c r="BB141" s="197">
        <f>'Arable NPV'!$D120</f>
        <v>220</v>
      </c>
      <c r="BC141" s="197">
        <f t="shared" si="395"/>
        <v>1505.1999999999998</v>
      </c>
      <c r="BD141" s="197">
        <f>'Arable NPV'!$F120</f>
        <v>528.51499999999999</v>
      </c>
      <c r="BE141" s="197">
        <f>'Arable NPV'!$G120</f>
        <v>552.40000000000009</v>
      </c>
      <c r="BF141" s="197">
        <f t="shared" si="352"/>
        <v>1080.915</v>
      </c>
      <c r="BG141" s="197">
        <f t="shared" si="353"/>
        <v>204.28499999999985</v>
      </c>
      <c r="BH141" s="197">
        <f t="shared" si="354"/>
        <v>424.28499999999985</v>
      </c>
      <c r="BI141" s="196">
        <f t="shared" si="355"/>
        <v>1211.0726643598614</v>
      </c>
      <c r="BJ141" s="197">
        <f t="shared" si="356"/>
        <v>207.31091360034981</v>
      </c>
      <c r="BK141" s="197">
        <f t="shared" si="357"/>
        <v>1018.5703462469187</v>
      </c>
      <c r="BL141" s="197">
        <f t="shared" si="358"/>
        <v>192.50231811294287</v>
      </c>
      <c r="BM141" s="199">
        <f t="shared" si="359"/>
        <v>399.81323171329268</v>
      </c>
      <c r="BN141" s="196">
        <f t="shared" si="360"/>
        <v>4991.5667820069193</v>
      </c>
      <c r="BO141" s="197">
        <f t="shared" si="361"/>
        <v>854.45431998251047</v>
      </c>
      <c r="BP141" s="197">
        <f t="shared" si="362"/>
        <v>4198.1476876540692</v>
      </c>
      <c r="BQ141" s="197">
        <f t="shared" si="363"/>
        <v>793.41909435285015</v>
      </c>
      <c r="BR141" s="199">
        <f t="shared" si="364"/>
        <v>1647.8734143353606</v>
      </c>
      <c r="BV141" s="881">
        <v>4</v>
      </c>
      <c r="BW141" s="892">
        <f>'Arable Inputs'!$H$18</f>
        <v>12</v>
      </c>
      <c r="BX141" s="747">
        <f>'Arable Inputs'!$H$25</f>
        <v>107.1</v>
      </c>
      <c r="BY141" s="749">
        <f t="shared" si="365"/>
        <v>1285.1999999999998</v>
      </c>
      <c r="BZ141" s="197">
        <f>'Arable NPV'!$D120</f>
        <v>220</v>
      </c>
      <c r="CA141" s="197">
        <f t="shared" si="396"/>
        <v>1505.1999999999998</v>
      </c>
      <c r="CB141" s="197">
        <f>'Arable NPV'!$F120</f>
        <v>528.51499999999999</v>
      </c>
      <c r="CC141" s="197">
        <f>'Arable NPV'!$G120</f>
        <v>552.40000000000009</v>
      </c>
      <c r="CD141" s="197">
        <f t="shared" si="366"/>
        <v>1080.915</v>
      </c>
      <c r="CE141" s="197">
        <f t="shared" si="367"/>
        <v>204.28499999999985</v>
      </c>
      <c r="CF141" s="197">
        <f t="shared" si="368"/>
        <v>424.28499999999985</v>
      </c>
      <c r="CG141" s="196">
        <f t="shared" si="369"/>
        <v>1020.2331961591218</v>
      </c>
      <c r="CH141" s="197">
        <f t="shared" si="370"/>
        <v>174.64309302443732</v>
      </c>
      <c r="CI141" s="197">
        <f t="shared" si="371"/>
        <v>858.06517680231661</v>
      </c>
      <c r="CJ141" s="197">
        <f t="shared" si="372"/>
        <v>162.16801935680522</v>
      </c>
      <c r="CK141" s="199">
        <f t="shared" si="373"/>
        <v>336.81111238124254</v>
      </c>
      <c r="CL141" s="196">
        <f t="shared" si="374"/>
        <v>4597.2850480109728</v>
      </c>
      <c r="CM141" s="197">
        <f t="shared" si="375"/>
        <v>786.96133719453337</v>
      </c>
      <c r="CN141" s="197">
        <f t="shared" si="376"/>
        <v>3866.5377899710406</v>
      </c>
      <c r="CO141" s="197">
        <f t="shared" si="377"/>
        <v>730.74725803993226</v>
      </c>
      <c r="CP141" s="199">
        <f t="shared" si="378"/>
        <v>1517.7085952344657</v>
      </c>
      <c r="CT141" s="881">
        <v>4</v>
      </c>
      <c r="CU141" s="892">
        <f>'Arable Inputs'!$H$18</f>
        <v>12</v>
      </c>
      <c r="CV141" s="747">
        <f>'Arable Inputs'!$H$25</f>
        <v>107.1</v>
      </c>
      <c r="CW141" s="749">
        <f t="shared" si="379"/>
        <v>1285.1999999999998</v>
      </c>
      <c r="CX141" s="197">
        <f>'Arable NPV'!$D120</f>
        <v>220</v>
      </c>
      <c r="CY141" s="197">
        <f t="shared" si="397"/>
        <v>1505.1999999999998</v>
      </c>
      <c r="CZ141" s="197">
        <f>'Arable NPV'!$F120</f>
        <v>528.51499999999999</v>
      </c>
      <c r="DA141" s="197">
        <f>'Arable NPV'!$G120</f>
        <v>552.40000000000009</v>
      </c>
      <c r="DB141" s="197">
        <f t="shared" si="380"/>
        <v>1080.915</v>
      </c>
      <c r="DC141" s="197">
        <f t="shared" si="381"/>
        <v>204.28499999999985</v>
      </c>
      <c r="DD141" s="197">
        <f t="shared" si="382"/>
        <v>424.28499999999985</v>
      </c>
      <c r="DE141" s="196">
        <f t="shared" si="383"/>
        <v>1285.1999999999998</v>
      </c>
      <c r="DF141" s="197">
        <f t="shared" si="384"/>
        <v>220</v>
      </c>
      <c r="DG141" s="197">
        <f t="shared" si="385"/>
        <v>1080.915</v>
      </c>
      <c r="DH141" s="197">
        <f t="shared" si="386"/>
        <v>204.28499999999985</v>
      </c>
      <c r="DI141" s="199">
        <f t="shared" si="387"/>
        <v>424.28499999999985</v>
      </c>
      <c r="DJ141" s="196">
        <f t="shared" si="388"/>
        <v>5140.7999999999993</v>
      </c>
      <c r="DK141" s="197">
        <f t="shared" si="389"/>
        <v>880</v>
      </c>
      <c r="DL141" s="197">
        <f t="shared" si="390"/>
        <v>4323.66</v>
      </c>
      <c r="DM141" s="197">
        <f t="shared" si="391"/>
        <v>817.13999999999942</v>
      </c>
      <c r="DN141" s="199">
        <f t="shared" si="392"/>
        <v>1697.1399999999994</v>
      </c>
    </row>
    <row r="142" spans="2:118" x14ac:dyDescent="0.3">
      <c r="B142" s="881">
        <v>5</v>
      </c>
      <c r="C142" s="892">
        <f>'Arable Inputs'!$H$18</f>
        <v>12</v>
      </c>
      <c r="D142" s="747">
        <f>'Arable Inputs'!$H$25</f>
        <v>107.1</v>
      </c>
      <c r="E142" s="749">
        <f t="shared" si="327"/>
        <v>1285.1999999999998</v>
      </c>
      <c r="F142" s="197">
        <f>'Arable NPV'!$D121</f>
        <v>220</v>
      </c>
      <c r="G142" s="197">
        <f t="shared" si="393"/>
        <v>1505.1999999999998</v>
      </c>
      <c r="H142" s="197">
        <f>'Arable NPV'!$F121</f>
        <v>528.51499999999999</v>
      </c>
      <c r="I142" s="197">
        <f>'Arable NPV'!$G121</f>
        <v>552.40000000000009</v>
      </c>
      <c r="J142" s="197">
        <f t="shared" si="328"/>
        <v>1080.915</v>
      </c>
      <c r="K142" s="197">
        <f t="shared" si="329"/>
        <v>204.28499999999985</v>
      </c>
      <c r="L142" s="197">
        <f t="shared" si="330"/>
        <v>424.28499999999985</v>
      </c>
      <c r="M142" s="196">
        <f t="shared" si="331"/>
        <v>1098.5943463114033</v>
      </c>
      <c r="N142" s="197">
        <f t="shared" si="332"/>
        <v>188.05692202653967</v>
      </c>
      <c r="O142" s="197">
        <f t="shared" si="333"/>
        <v>923.97067214689594</v>
      </c>
      <c r="P142" s="197">
        <f t="shared" si="334"/>
        <v>174.62367416450738</v>
      </c>
      <c r="Q142" s="199">
        <f t="shared" si="335"/>
        <v>362.68059619104702</v>
      </c>
      <c r="R142" s="196">
        <f t="shared" si="336"/>
        <v>5950.3413422149069</v>
      </c>
      <c r="S142" s="197">
        <f t="shared" si="336"/>
        <v>1018.5769493365078</v>
      </c>
      <c r="T142" s="197">
        <f t="shared" si="336"/>
        <v>5004.5231963275965</v>
      </c>
      <c r="U142" s="197">
        <f t="shared" si="336"/>
        <v>945.81814588731072</v>
      </c>
      <c r="V142" s="199">
        <f t="shared" si="336"/>
        <v>1964.3950952238185</v>
      </c>
      <c r="Z142" s="881">
        <v>5</v>
      </c>
      <c r="AA142" s="892">
        <f>'Arable Inputs'!$H$18</f>
        <v>12</v>
      </c>
      <c r="AB142" s="747">
        <f>'Arable Inputs'!$H$25</f>
        <v>107.1</v>
      </c>
      <c r="AC142" s="749">
        <f t="shared" si="337"/>
        <v>1285.1999999999998</v>
      </c>
      <c r="AD142" s="197">
        <f>'Arable NPV'!$D121</f>
        <v>220</v>
      </c>
      <c r="AE142" s="197">
        <f t="shared" si="394"/>
        <v>1505.1999999999998</v>
      </c>
      <c r="AF142" s="197">
        <f>'Arable NPV'!$F121</f>
        <v>528.51499999999999</v>
      </c>
      <c r="AG142" s="197">
        <f>'Arable NPV'!$G121</f>
        <v>552.40000000000009</v>
      </c>
      <c r="AH142" s="197">
        <f t="shared" si="338"/>
        <v>1080.915</v>
      </c>
      <c r="AI142" s="197">
        <f t="shared" si="339"/>
        <v>204.28499999999985</v>
      </c>
      <c r="AJ142" s="197">
        <f t="shared" si="340"/>
        <v>424.28499999999985</v>
      </c>
      <c r="AK142" s="196">
        <f t="shared" si="341"/>
        <v>1017.9987759935037</v>
      </c>
      <c r="AL142" s="197">
        <f t="shared" si="342"/>
        <v>174.2606059123645</v>
      </c>
      <c r="AM142" s="197">
        <f t="shared" si="343"/>
        <v>856.18592199892475</v>
      </c>
      <c r="AN142" s="197">
        <f t="shared" si="344"/>
        <v>161.81285399457889</v>
      </c>
      <c r="AO142" s="199">
        <f t="shared" si="345"/>
        <v>336.07345990694336</v>
      </c>
      <c r="AP142" s="196">
        <f t="shared" si="346"/>
        <v>5738.5537334415976</v>
      </c>
      <c r="AQ142" s="197">
        <f t="shared" si="347"/>
        <v>982.32323479392426</v>
      </c>
      <c r="AR142" s="197">
        <f t="shared" si="348"/>
        <v>4826.3996333512487</v>
      </c>
      <c r="AS142" s="197">
        <f t="shared" si="349"/>
        <v>912.15410009034861</v>
      </c>
      <c r="AT142" s="199">
        <f t="shared" si="350"/>
        <v>1894.477334884273</v>
      </c>
      <c r="AX142" s="881">
        <v>5</v>
      </c>
      <c r="AY142" s="892">
        <f>'Arable Inputs'!$H$18</f>
        <v>12</v>
      </c>
      <c r="AZ142" s="747">
        <f>'Arable Inputs'!$H$25</f>
        <v>107.1</v>
      </c>
      <c r="BA142" s="749">
        <f t="shared" si="351"/>
        <v>1285.1999999999998</v>
      </c>
      <c r="BB142" s="197">
        <f>'Arable NPV'!$D121</f>
        <v>220</v>
      </c>
      <c r="BC142" s="197">
        <f t="shared" si="395"/>
        <v>1505.1999999999998</v>
      </c>
      <c r="BD142" s="197">
        <f>'Arable NPV'!$F121</f>
        <v>528.51499999999999</v>
      </c>
      <c r="BE142" s="197">
        <f>'Arable NPV'!$G121</f>
        <v>552.40000000000009</v>
      </c>
      <c r="BF142" s="197">
        <f t="shared" si="352"/>
        <v>1080.915</v>
      </c>
      <c r="BG142" s="197">
        <f t="shared" si="353"/>
        <v>204.28499999999985</v>
      </c>
      <c r="BH142" s="197">
        <f t="shared" si="354"/>
        <v>424.28499999999985</v>
      </c>
      <c r="BI142" s="196">
        <f t="shared" si="355"/>
        <v>1187.3261415292759</v>
      </c>
      <c r="BJ142" s="197">
        <f t="shared" si="356"/>
        <v>203.24599372583313</v>
      </c>
      <c r="BK142" s="197">
        <f t="shared" si="357"/>
        <v>998.59837867344959</v>
      </c>
      <c r="BL142" s="197">
        <f t="shared" si="358"/>
        <v>188.72776285582631</v>
      </c>
      <c r="BM142" s="199">
        <f t="shared" si="359"/>
        <v>391.97375658165947</v>
      </c>
      <c r="BN142" s="196">
        <f t="shared" si="360"/>
        <v>6178.8929235361957</v>
      </c>
      <c r="BO142" s="197">
        <f t="shared" si="361"/>
        <v>1057.7003137083436</v>
      </c>
      <c r="BP142" s="197">
        <f t="shared" si="362"/>
        <v>5196.7460663275187</v>
      </c>
      <c r="BQ142" s="197">
        <f t="shared" si="363"/>
        <v>982.14685720867647</v>
      </c>
      <c r="BR142" s="199">
        <f t="shared" si="364"/>
        <v>2039.8471709170201</v>
      </c>
      <c r="BV142" s="881">
        <v>5</v>
      </c>
      <c r="BW142" s="892">
        <f>'Arable Inputs'!$H$18</f>
        <v>12</v>
      </c>
      <c r="BX142" s="747">
        <f>'Arable Inputs'!$H$25</f>
        <v>107.1</v>
      </c>
      <c r="BY142" s="749">
        <f t="shared" si="365"/>
        <v>1285.1999999999998</v>
      </c>
      <c r="BZ142" s="197">
        <f>'Arable NPV'!$D121</f>
        <v>220</v>
      </c>
      <c r="CA142" s="197">
        <f t="shared" si="396"/>
        <v>1505.1999999999998</v>
      </c>
      <c r="CB142" s="197">
        <f>'Arable NPV'!$F121</f>
        <v>528.51499999999999</v>
      </c>
      <c r="CC142" s="197">
        <f>'Arable NPV'!$G121</f>
        <v>552.40000000000009</v>
      </c>
      <c r="CD142" s="197">
        <f t="shared" si="366"/>
        <v>1080.915</v>
      </c>
      <c r="CE142" s="197">
        <f t="shared" si="367"/>
        <v>204.28499999999985</v>
      </c>
      <c r="CF142" s="197">
        <f t="shared" si="368"/>
        <v>424.28499999999985</v>
      </c>
      <c r="CG142" s="196">
        <f t="shared" si="369"/>
        <v>944.66036681400158</v>
      </c>
      <c r="CH142" s="197">
        <f t="shared" si="370"/>
        <v>161.70656761521971</v>
      </c>
      <c r="CI142" s="197">
        <f t="shared" si="371"/>
        <v>794.50479333547821</v>
      </c>
      <c r="CJ142" s="197">
        <f t="shared" si="372"/>
        <v>150.15557347852334</v>
      </c>
      <c r="CK142" s="199">
        <f t="shared" si="373"/>
        <v>311.86214109374305</v>
      </c>
      <c r="CL142" s="196">
        <f t="shared" si="374"/>
        <v>5541.9454148249743</v>
      </c>
      <c r="CM142" s="197">
        <f t="shared" si="375"/>
        <v>948.66790480975305</v>
      </c>
      <c r="CN142" s="197">
        <f t="shared" si="376"/>
        <v>4661.0425833065192</v>
      </c>
      <c r="CO142" s="197">
        <f t="shared" si="377"/>
        <v>880.90283151845563</v>
      </c>
      <c r="CP142" s="199">
        <f t="shared" si="378"/>
        <v>1829.5707363282088</v>
      </c>
      <c r="CT142" s="881">
        <v>5</v>
      </c>
      <c r="CU142" s="892">
        <f>'Arable Inputs'!$H$18</f>
        <v>12</v>
      </c>
      <c r="CV142" s="747">
        <f>'Arable Inputs'!$H$25</f>
        <v>107.1</v>
      </c>
      <c r="CW142" s="749">
        <f t="shared" si="379"/>
        <v>1285.1999999999998</v>
      </c>
      <c r="CX142" s="197">
        <f>'Arable NPV'!$D121</f>
        <v>220</v>
      </c>
      <c r="CY142" s="197">
        <f t="shared" si="397"/>
        <v>1505.1999999999998</v>
      </c>
      <c r="CZ142" s="197">
        <f>'Arable NPV'!$F121</f>
        <v>528.51499999999999</v>
      </c>
      <c r="DA142" s="197">
        <f>'Arable NPV'!$G121</f>
        <v>552.40000000000009</v>
      </c>
      <c r="DB142" s="197">
        <f t="shared" si="380"/>
        <v>1080.915</v>
      </c>
      <c r="DC142" s="197">
        <f t="shared" si="381"/>
        <v>204.28499999999985</v>
      </c>
      <c r="DD142" s="197">
        <f t="shared" si="382"/>
        <v>424.28499999999985</v>
      </c>
      <c r="DE142" s="196">
        <f t="shared" si="383"/>
        <v>1285.1999999999998</v>
      </c>
      <c r="DF142" s="197">
        <f t="shared" si="384"/>
        <v>220</v>
      </c>
      <c r="DG142" s="197">
        <f t="shared" si="385"/>
        <v>1080.915</v>
      </c>
      <c r="DH142" s="197">
        <f t="shared" si="386"/>
        <v>204.28499999999985</v>
      </c>
      <c r="DI142" s="199">
        <f t="shared" si="387"/>
        <v>424.28499999999985</v>
      </c>
      <c r="DJ142" s="196">
        <f t="shared" si="388"/>
        <v>6425.9999999999991</v>
      </c>
      <c r="DK142" s="197">
        <f t="shared" si="389"/>
        <v>1100</v>
      </c>
      <c r="DL142" s="197">
        <f t="shared" si="390"/>
        <v>5404.5749999999998</v>
      </c>
      <c r="DM142" s="197">
        <f t="shared" si="391"/>
        <v>1021.4249999999993</v>
      </c>
      <c r="DN142" s="199">
        <f t="shared" si="392"/>
        <v>2121.4249999999993</v>
      </c>
    </row>
    <row r="143" spans="2:118" x14ac:dyDescent="0.3">
      <c r="B143" s="881">
        <v>6</v>
      </c>
      <c r="C143" s="892">
        <f>'Arable Inputs'!$H$18</f>
        <v>12</v>
      </c>
      <c r="D143" s="747">
        <f>'Arable Inputs'!$H$25</f>
        <v>107.1</v>
      </c>
      <c r="E143" s="749">
        <f t="shared" si="327"/>
        <v>1285.1999999999998</v>
      </c>
      <c r="F143" s="197">
        <f>'Arable NPV'!$D122</f>
        <v>220</v>
      </c>
      <c r="G143" s="197">
        <f t="shared" si="393"/>
        <v>1505.1999999999998</v>
      </c>
      <c r="H143" s="197">
        <f>'Arable NPV'!$F122</f>
        <v>528.51499999999999</v>
      </c>
      <c r="I143" s="197">
        <f>'Arable NPV'!$G122</f>
        <v>552.40000000000009</v>
      </c>
      <c r="J143" s="197">
        <f t="shared" si="328"/>
        <v>1080.915</v>
      </c>
      <c r="K143" s="197">
        <f t="shared" si="329"/>
        <v>204.28499999999985</v>
      </c>
      <c r="L143" s="197">
        <f t="shared" si="330"/>
        <v>424.28499999999985</v>
      </c>
      <c r="M143" s="196">
        <f t="shared" si="331"/>
        <v>1056.3407176071184</v>
      </c>
      <c r="N143" s="197">
        <f t="shared" si="332"/>
        <v>180.82396348705734</v>
      </c>
      <c r="O143" s="197">
        <f t="shared" si="333"/>
        <v>888.43333860278449</v>
      </c>
      <c r="P143" s="197">
        <f t="shared" si="334"/>
        <v>167.90737900433402</v>
      </c>
      <c r="Q143" s="199">
        <f t="shared" si="335"/>
        <v>348.73134249139133</v>
      </c>
      <c r="R143" s="196">
        <f t="shared" si="336"/>
        <v>7006.6820598220256</v>
      </c>
      <c r="S143" s="197">
        <f t="shared" si="336"/>
        <v>1199.4009128235652</v>
      </c>
      <c r="T143" s="197">
        <f t="shared" si="336"/>
        <v>5892.9565349303812</v>
      </c>
      <c r="U143" s="197">
        <f t="shared" si="336"/>
        <v>1113.7255248916447</v>
      </c>
      <c r="V143" s="199">
        <f t="shared" si="336"/>
        <v>2313.1264377152097</v>
      </c>
      <c r="Z143" s="881">
        <v>6</v>
      </c>
      <c r="AA143" s="892">
        <f>'Arable Inputs'!$H$18</f>
        <v>12</v>
      </c>
      <c r="AB143" s="747">
        <f>'Arable Inputs'!$H$25</f>
        <v>107.1</v>
      </c>
      <c r="AC143" s="749">
        <f t="shared" si="337"/>
        <v>1285.1999999999998</v>
      </c>
      <c r="AD143" s="197">
        <f>'Arable NPV'!$D122</f>
        <v>220</v>
      </c>
      <c r="AE143" s="197">
        <f t="shared" si="394"/>
        <v>1505.1999999999998</v>
      </c>
      <c r="AF143" s="197">
        <f>'Arable NPV'!$F122</f>
        <v>528.51499999999999</v>
      </c>
      <c r="AG143" s="197">
        <f>'Arable NPV'!$G122</f>
        <v>552.40000000000009</v>
      </c>
      <c r="AH143" s="197">
        <f t="shared" si="338"/>
        <v>1080.915</v>
      </c>
      <c r="AI143" s="197">
        <f t="shared" si="339"/>
        <v>204.28499999999985</v>
      </c>
      <c r="AJ143" s="197">
        <f t="shared" si="340"/>
        <v>424.28499999999985</v>
      </c>
      <c r="AK143" s="196">
        <f t="shared" si="341"/>
        <v>960.37620376745622</v>
      </c>
      <c r="AL143" s="197">
        <f t="shared" si="342"/>
        <v>164.39679803053252</v>
      </c>
      <c r="AM143" s="197">
        <f t="shared" si="343"/>
        <v>807.72256792351391</v>
      </c>
      <c r="AN143" s="197">
        <f t="shared" si="344"/>
        <v>152.65363584394231</v>
      </c>
      <c r="AO143" s="199">
        <f t="shared" si="345"/>
        <v>317.05043387447483</v>
      </c>
      <c r="AP143" s="196">
        <f t="shared" si="346"/>
        <v>6698.9299372090536</v>
      </c>
      <c r="AQ143" s="197">
        <f t="shared" si="347"/>
        <v>1146.7200328244567</v>
      </c>
      <c r="AR143" s="197">
        <f t="shared" si="348"/>
        <v>5634.1222012747621</v>
      </c>
      <c r="AS143" s="197">
        <f t="shared" si="349"/>
        <v>1064.807735934291</v>
      </c>
      <c r="AT143" s="199">
        <f t="shared" si="350"/>
        <v>2211.5277687587477</v>
      </c>
      <c r="AX143" s="881">
        <v>6</v>
      </c>
      <c r="AY143" s="892">
        <f>'Arable Inputs'!$H$18</f>
        <v>12</v>
      </c>
      <c r="AZ143" s="747">
        <f>'Arable Inputs'!$H$25</f>
        <v>107.1</v>
      </c>
      <c r="BA143" s="749">
        <f t="shared" si="351"/>
        <v>1285.1999999999998</v>
      </c>
      <c r="BB143" s="197">
        <f>'Arable NPV'!$D122</f>
        <v>220</v>
      </c>
      <c r="BC143" s="197">
        <f t="shared" si="395"/>
        <v>1505.1999999999998</v>
      </c>
      <c r="BD143" s="197">
        <f>'Arable NPV'!$F122</f>
        <v>528.51499999999999</v>
      </c>
      <c r="BE143" s="197">
        <f>'Arable NPV'!$G122</f>
        <v>552.40000000000009</v>
      </c>
      <c r="BF143" s="197">
        <f t="shared" si="352"/>
        <v>1080.915</v>
      </c>
      <c r="BG143" s="197">
        <f t="shared" si="353"/>
        <v>204.28499999999985</v>
      </c>
      <c r="BH143" s="197">
        <f t="shared" si="354"/>
        <v>424.28499999999985</v>
      </c>
      <c r="BI143" s="196">
        <f t="shared" si="355"/>
        <v>1164.0452367934076</v>
      </c>
      <c r="BJ143" s="197">
        <f t="shared" si="356"/>
        <v>199.26077816258149</v>
      </c>
      <c r="BK143" s="197">
        <f t="shared" si="357"/>
        <v>979.01801830730346</v>
      </c>
      <c r="BL143" s="197">
        <f t="shared" si="358"/>
        <v>185.02721848610423</v>
      </c>
      <c r="BM143" s="199">
        <f t="shared" si="359"/>
        <v>384.28799664868575</v>
      </c>
      <c r="BN143" s="196">
        <f t="shared" si="360"/>
        <v>7342.9381603296033</v>
      </c>
      <c r="BO143" s="197">
        <f t="shared" si="361"/>
        <v>1256.9610918709252</v>
      </c>
      <c r="BP143" s="197">
        <f t="shared" si="362"/>
        <v>6175.7640846348222</v>
      </c>
      <c r="BQ143" s="197">
        <f t="shared" si="363"/>
        <v>1167.1740756947806</v>
      </c>
      <c r="BR143" s="199">
        <f t="shared" si="364"/>
        <v>2424.1351675657061</v>
      </c>
      <c r="BV143" s="881">
        <v>6</v>
      </c>
      <c r="BW143" s="892">
        <f>'Arable Inputs'!$H$18</f>
        <v>12</v>
      </c>
      <c r="BX143" s="747">
        <f>'Arable Inputs'!$H$25</f>
        <v>107.1</v>
      </c>
      <c r="BY143" s="749">
        <f t="shared" si="365"/>
        <v>1285.1999999999998</v>
      </c>
      <c r="BZ143" s="197">
        <f>'Arable NPV'!$D122</f>
        <v>220</v>
      </c>
      <c r="CA143" s="197">
        <f t="shared" si="396"/>
        <v>1505.1999999999998</v>
      </c>
      <c r="CB143" s="197">
        <f>'Arable NPV'!$F122</f>
        <v>528.51499999999999</v>
      </c>
      <c r="CC143" s="197">
        <f>'Arable NPV'!$G122</f>
        <v>552.40000000000009</v>
      </c>
      <c r="CD143" s="197">
        <f t="shared" si="366"/>
        <v>1080.915</v>
      </c>
      <c r="CE143" s="197">
        <f t="shared" si="367"/>
        <v>204.28499999999985</v>
      </c>
      <c r="CF143" s="197">
        <f t="shared" si="368"/>
        <v>424.28499999999985</v>
      </c>
      <c r="CG143" s="196">
        <f t="shared" si="369"/>
        <v>874.6855248277792</v>
      </c>
      <c r="CH143" s="197">
        <f t="shared" si="370"/>
        <v>149.72830334742565</v>
      </c>
      <c r="CI143" s="197">
        <f t="shared" si="371"/>
        <v>735.6525864217391</v>
      </c>
      <c r="CJ143" s="197">
        <f t="shared" si="372"/>
        <v>139.03293840604013</v>
      </c>
      <c r="CK143" s="199">
        <f t="shared" si="373"/>
        <v>288.76124175346581</v>
      </c>
      <c r="CL143" s="196">
        <f t="shared" si="374"/>
        <v>6416.6309396527531</v>
      </c>
      <c r="CM143" s="197">
        <f t="shared" si="375"/>
        <v>1098.3962081571788</v>
      </c>
      <c r="CN143" s="197">
        <f t="shared" si="376"/>
        <v>5396.6951697282584</v>
      </c>
      <c r="CO143" s="197">
        <f t="shared" si="377"/>
        <v>1019.9357699244957</v>
      </c>
      <c r="CP143" s="199">
        <f t="shared" si="378"/>
        <v>2118.3319780816746</v>
      </c>
      <c r="CT143" s="881">
        <v>6</v>
      </c>
      <c r="CU143" s="892">
        <f>'Arable Inputs'!$H$18</f>
        <v>12</v>
      </c>
      <c r="CV143" s="747">
        <f>'Arable Inputs'!$H$25</f>
        <v>107.1</v>
      </c>
      <c r="CW143" s="749">
        <f t="shared" si="379"/>
        <v>1285.1999999999998</v>
      </c>
      <c r="CX143" s="197">
        <f>'Arable NPV'!$D122</f>
        <v>220</v>
      </c>
      <c r="CY143" s="197">
        <f t="shared" si="397"/>
        <v>1505.1999999999998</v>
      </c>
      <c r="CZ143" s="197">
        <f>'Arable NPV'!$F122</f>
        <v>528.51499999999999</v>
      </c>
      <c r="DA143" s="197">
        <f>'Arable NPV'!$G122</f>
        <v>552.40000000000009</v>
      </c>
      <c r="DB143" s="197">
        <f t="shared" si="380"/>
        <v>1080.915</v>
      </c>
      <c r="DC143" s="197">
        <f t="shared" si="381"/>
        <v>204.28499999999985</v>
      </c>
      <c r="DD143" s="197">
        <f t="shared" si="382"/>
        <v>424.28499999999985</v>
      </c>
      <c r="DE143" s="196">
        <f t="shared" si="383"/>
        <v>1285.1999999999998</v>
      </c>
      <c r="DF143" s="197">
        <f t="shared" si="384"/>
        <v>220</v>
      </c>
      <c r="DG143" s="197">
        <f t="shared" si="385"/>
        <v>1080.915</v>
      </c>
      <c r="DH143" s="197">
        <f t="shared" si="386"/>
        <v>204.28499999999985</v>
      </c>
      <c r="DI143" s="199">
        <f t="shared" si="387"/>
        <v>424.28499999999985</v>
      </c>
      <c r="DJ143" s="196">
        <f t="shared" si="388"/>
        <v>7711.1999999999989</v>
      </c>
      <c r="DK143" s="197">
        <f t="shared" si="389"/>
        <v>1320</v>
      </c>
      <c r="DL143" s="197">
        <f t="shared" si="390"/>
        <v>6485.49</v>
      </c>
      <c r="DM143" s="197">
        <f t="shared" si="391"/>
        <v>1225.7099999999991</v>
      </c>
      <c r="DN143" s="199">
        <f t="shared" si="392"/>
        <v>2545.7099999999991</v>
      </c>
    </row>
    <row r="144" spans="2:118" x14ac:dyDescent="0.3">
      <c r="B144" s="881">
        <v>7</v>
      </c>
      <c r="C144" s="892">
        <f>'Arable Inputs'!$H$18</f>
        <v>12</v>
      </c>
      <c r="D144" s="747">
        <f>'Arable Inputs'!$H$25</f>
        <v>107.1</v>
      </c>
      <c r="E144" s="749">
        <f t="shared" si="327"/>
        <v>1285.1999999999998</v>
      </c>
      <c r="F144" s="197">
        <f>'Arable NPV'!$D123</f>
        <v>220</v>
      </c>
      <c r="G144" s="197">
        <f t="shared" si="393"/>
        <v>1505.1999999999998</v>
      </c>
      <c r="H144" s="197">
        <f>'Arable NPV'!$F123</f>
        <v>528.51499999999999</v>
      </c>
      <c r="I144" s="197">
        <f>'Arable NPV'!$G123</f>
        <v>552.40000000000009</v>
      </c>
      <c r="J144" s="197">
        <f t="shared" si="328"/>
        <v>1080.915</v>
      </c>
      <c r="K144" s="197">
        <f t="shared" si="329"/>
        <v>204.28499999999985</v>
      </c>
      <c r="L144" s="197">
        <f t="shared" si="330"/>
        <v>424.28499999999985</v>
      </c>
      <c r="M144" s="196">
        <f t="shared" si="331"/>
        <v>1015.7122284683832</v>
      </c>
      <c r="N144" s="197">
        <f t="shared" si="332"/>
        <v>173.86919566063204</v>
      </c>
      <c r="O144" s="197">
        <f t="shared" si="333"/>
        <v>854.26282557960042</v>
      </c>
      <c r="P144" s="197">
        <f t="shared" si="334"/>
        <v>161.44940288878271</v>
      </c>
      <c r="Q144" s="199">
        <f t="shared" si="335"/>
        <v>335.31859854941473</v>
      </c>
      <c r="R144" s="196">
        <f t="shared" si="336"/>
        <v>8022.3942882904084</v>
      </c>
      <c r="S144" s="197">
        <f t="shared" si="336"/>
        <v>1373.2701084841974</v>
      </c>
      <c r="T144" s="197">
        <f t="shared" si="336"/>
        <v>6747.2193605099819</v>
      </c>
      <c r="U144" s="197">
        <f t="shared" si="336"/>
        <v>1275.1749277804274</v>
      </c>
      <c r="V144" s="199">
        <f t="shared" si="336"/>
        <v>2648.4450362646244</v>
      </c>
      <c r="Z144" s="881">
        <v>7</v>
      </c>
      <c r="AA144" s="892">
        <f>'Arable Inputs'!$H$18</f>
        <v>12</v>
      </c>
      <c r="AB144" s="747">
        <f>'Arable Inputs'!$H$25</f>
        <v>107.1</v>
      </c>
      <c r="AC144" s="749">
        <f t="shared" si="337"/>
        <v>1285.1999999999998</v>
      </c>
      <c r="AD144" s="197">
        <f>'Arable NPV'!$D123</f>
        <v>220</v>
      </c>
      <c r="AE144" s="197">
        <f t="shared" si="394"/>
        <v>1505.1999999999998</v>
      </c>
      <c r="AF144" s="197">
        <f>'Arable NPV'!$F123</f>
        <v>528.51499999999999</v>
      </c>
      <c r="AG144" s="197">
        <f>'Arable NPV'!$G123</f>
        <v>552.40000000000009</v>
      </c>
      <c r="AH144" s="197">
        <f t="shared" si="338"/>
        <v>1080.915</v>
      </c>
      <c r="AI144" s="197">
        <f t="shared" si="339"/>
        <v>204.28499999999985</v>
      </c>
      <c r="AJ144" s="197">
        <f t="shared" si="340"/>
        <v>424.28499999999985</v>
      </c>
      <c r="AK144" s="196">
        <f t="shared" si="341"/>
        <v>906.01528657307188</v>
      </c>
      <c r="AL144" s="197">
        <f t="shared" si="342"/>
        <v>155.09131889672878</v>
      </c>
      <c r="AM144" s="197">
        <f t="shared" si="343"/>
        <v>762.00242256935269</v>
      </c>
      <c r="AN144" s="197">
        <f t="shared" si="344"/>
        <v>144.01286400371916</v>
      </c>
      <c r="AO144" s="199">
        <f t="shared" si="345"/>
        <v>299.10418290044794</v>
      </c>
      <c r="AP144" s="196">
        <f t="shared" si="346"/>
        <v>7604.9452237821251</v>
      </c>
      <c r="AQ144" s="197">
        <f t="shared" si="347"/>
        <v>1301.8113517211855</v>
      </c>
      <c r="AR144" s="197">
        <f t="shared" si="348"/>
        <v>6396.1246238441145</v>
      </c>
      <c r="AS144" s="197">
        <f t="shared" si="349"/>
        <v>1208.8205999380102</v>
      </c>
      <c r="AT144" s="199">
        <f t="shared" si="350"/>
        <v>2510.6319516591957</v>
      </c>
      <c r="AX144" s="881">
        <v>7</v>
      </c>
      <c r="AY144" s="892">
        <f>'Arable Inputs'!$H$18</f>
        <v>12</v>
      </c>
      <c r="AZ144" s="747">
        <f>'Arable Inputs'!$H$25</f>
        <v>107.1</v>
      </c>
      <c r="BA144" s="749">
        <f t="shared" si="351"/>
        <v>1285.1999999999998</v>
      </c>
      <c r="BB144" s="197">
        <f>'Arable NPV'!$D123</f>
        <v>220</v>
      </c>
      <c r="BC144" s="197">
        <f t="shared" si="395"/>
        <v>1505.1999999999998</v>
      </c>
      <c r="BD144" s="197">
        <f>'Arable NPV'!$F123</f>
        <v>528.51499999999999</v>
      </c>
      <c r="BE144" s="197">
        <f>'Arable NPV'!$G123</f>
        <v>552.40000000000009</v>
      </c>
      <c r="BF144" s="197">
        <f t="shared" si="352"/>
        <v>1080.915</v>
      </c>
      <c r="BG144" s="197">
        <f t="shared" si="353"/>
        <v>204.28499999999985</v>
      </c>
      <c r="BH144" s="197">
        <f t="shared" si="354"/>
        <v>424.28499999999985</v>
      </c>
      <c r="BI144" s="196">
        <f t="shared" si="355"/>
        <v>1141.2208203856937</v>
      </c>
      <c r="BJ144" s="197">
        <f t="shared" si="356"/>
        <v>195.35370408096225</v>
      </c>
      <c r="BK144" s="197">
        <f t="shared" si="357"/>
        <v>959.82158657578771</v>
      </c>
      <c r="BL144" s="197">
        <f t="shared" si="358"/>
        <v>181.39923380990609</v>
      </c>
      <c r="BM144" s="199">
        <f t="shared" si="359"/>
        <v>376.75293789086834</v>
      </c>
      <c r="BN144" s="196">
        <f t="shared" si="360"/>
        <v>8484.1589807152977</v>
      </c>
      <c r="BO144" s="197">
        <f t="shared" si="361"/>
        <v>1452.3147959518874</v>
      </c>
      <c r="BP144" s="197">
        <f t="shared" si="362"/>
        <v>7135.5856712106097</v>
      </c>
      <c r="BQ144" s="197">
        <f t="shared" si="363"/>
        <v>1348.5733095046867</v>
      </c>
      <c r="BR144" s="199">
        <f t="shared" si="364"/>
        <v>2800.8881054565745</v>
      </c>
      <c r="BV144" s="881">
        <v>7</v>
      </c>
      <c r="BW144" s="892">
        <f>'Arable Inputs'!$H$18</f>
        <v>12</v>
      </c>
      <c r="BX144" s="747">
        <f>'Arable Inputs'!$H$25</f>
        <v>107.1</v>
      </c>
      <c r="BY144" s="749">
        <f t="shared" si="365"/>
        <v>1285.1999999999998</v>
      </c>
      <c r="BZ144" s="197">
        <f>'Arable NPV'!$D123</f>
        <v>220</v>
      </c>
      <c r="CA144" s="197">
        <f t="shared" si="396"/>
        <v>1505.1999999999998</v>
      </c>
      <c r="CB144" s="197">
        <f>'Arable NPV'!$F123</f>
        <v>528.51499999999999</v>
      </c>
      <c r="CC144" s="197">
        <f>'Arable NPV'!$G123</f>
        <v>552.40000000000009</v>
      </c>
      <c r="CD144" s="197">
        <f t="shared" si="366"/>
        <v>1080.915</v>
      </c>
      <c r="CE144" s="197">
        <f t="shared" si="367"/>
        <v>204.28499999999985</v>
      </c>
      <c r="CF144" s="197">
        <f t="shared" si="368"/>
        <v>424.28499999999985</v>
      </c>
      <c r="CG144" s="196">
        <f t="shared" si="369"/>
        <v>809.8940044701659</v>
      </c>
      <c r="CH144" s="197">
        <f t="shared" si="370"/>
        <v>138.63731791428302</v>
      </c>
      <c r="CI144" s="197">
        <f t="shared" si="371"/>
        <v>681.15980224235091</v>
      </c>
      <c r="CJ144" s="197">
        <f t="shared" si="372"/>
        <v>128.73420222781493</v>
      </c>
      <c r="CK144" s="199">
        <f t="shared" si="373"/>
        <v>267.37152014209795</v>
      </c>
      <c r="CL144" s="196">
        <f t="shared" si="374"/>
        <v>7226.5249441229189</v>
      </c>
      <c r="CM144" s="197">
        <f t="shared" si="375"/>
        <v>1237.0335260714619</v>
      </c>
      <c r="CN144" s="197">
        <f t="shared" si="376"/>
        <v>6077.8549719706098</v>
      </c>
      <c r="CO144" s="197">
        <f t="shared" si="377"/>
        <v>1148.6699721523107</v>
      </c>
      <c r="CP144" s="199">
        <f t="shared" si="378"/>
        <v>2385.7034982237724</v>
      </c>
      <c r="CT144" s="881">
        <v>7</v>
      </c>
      <c r="CU144" s="892">
        <f>'Arable Inputs'!$H$18</f>
        <v>12</v>
      </c>
      <c r="CV144" s="747">
        <f>'Arable Inputs'!$H$25</f>
        <v>107.1</v>
      </c>
      <c r="CW144" s="749">
        <f t="shared" si="379"/>
        <v>1285.1999999999998</v>
      </c>
      <c r="CX144" s="197">
        <f>'Arable NPV'!$D123</f>
        <v>220</v>
      </c>
      <c r="CY144" s="197">
        <f t="shared" si="397"/>
        <v>1505.1999999999998</v>
      </c>
      <c r="CZ144" s="197">
        <f>'Arable NPV'!$F123</f>
        <v>528.51499999999999</v>
      </c>
      <c r="DA144" s="197">
        <f>'Arable NPV'!$G123</f>
        <v>552.40000000000009</v>
      </c>
      <c r="DB144" s="197">
        <f t="shared" si="380"/>
        <v>1080.915</v>
      </c>
      <c r="DC144" s="197">
        <f t="shared" si="381"/>
        <v>204.28499999999985</v>
      </c>
      <c r="DD144" s="197">
        <f t="shared" si="382"/>
        <v>424.28499999999985</v>
      </c>
      <c r="DE144" s="196">
        <f t="shared" si="383"/>
        <v>1285.1999999999998</v>
      </c>
      <c r="DF144" s="197">
        <f t="shared" si="384"/>
        <v>220</v>
      </c>
      <c r="DG144" s="197">
        <f t="shared" si="385"/>
        <v>1080.915</v>
      </c>
      <c r="DH144" s="197">
        <f t="shared" si="386"/>
        <v>204.28499999999985</v>
      </c>
      <c r="DI144" s="199">
        <f t="shared" si="387"/>
        <v>424.28499999999985</v>
      </c>
      <c r="DJ144" s="196">
        <f t="shared" si="388"/>
        <v>8996.3999999999978</v>
      </c>
      <c r="DK144" s="197">
        <f t="shared" si="389"/>
        <v>1540</v>
      </c>
      <c r="DL144" s="197">
        <f t="shared" si="390"/>
        <v>7566.4049999999997</v>
      </c>
      <c r="DM144" s="197">
        <f t="shared" si="391"/>
        <v>1429.994999999999</v>
      </c>
      <c r="DN144" s="199">
        <f t="shared" si="392"/>
        <v>2969.994999999999</v>
      </c>
    </row>
    <row r="145" spans="2:118" x14ac:dyDescent="0.3">
      <c r="B145" s="881">
        <v>8</v>
      </c>
      <c r="C145" s="892">
        <f>'Arable Inputs'!$H$18</f>
        <v>12</v>
      </c>
      <c r="D145" s="747">
        <f>'Arable Inputs'!$H$25</f>
        <v>107.1</v>
      </c>
      <c r="E145" s="749">
        <f t="shared" si="327"/>
        <v>1285.1999999999998</v>
      </c>
      <c r="F145" s="197">
        <f>'Arable NPV'!$D124</f>
        <v>220</v>
      </c>
      <c r="G145" s="197">
        <f t="shared" si="393"/>
        <v>1505.1999999999998</v>
      </c>
      <c r="H145" s="197">
        <f>'Arable NPV'!$F124</f>
        <v>528.51499999999999</v>
      </c>
      <c r="I145" s="197">
        <f>'Arable NPV'!$G124</f>
        <v>552.40000000000009</v>
      </c>
      <c r="J145" s="197">
        <f t="shared" si="328"/>
        <v>1080.915</v>
      </c>
      <c r="K145" s="197">
        <f t="shared" si="329"/>
        <v>204.28499999999985</v>
      </c>
      <c r="L145" s="197">
        <f t="shared" si="330"/>
        <v>424.28499999999985</v>
      </c>
      <c r="M145" s="196">
        <f t="shared" si="331"/>
        <v>976.64637352729153</v>
      </c>
      <c r="N145" s="197">
        <f t="shared" si="332"/>
        <v>167.18191890445391</v>
      </c>
      <c r="O145" s="197">
        <f t="shared" si="333"/>
        <v>821.40656305730818</v>
      </c>
      <c r="P145" s="197">
        <f t="shared" si="334"/>
        <v>155.23981046998338</v>
      </c>
      <c r="Q145" s="199">
        <f t="shared" si="335"/>
        <v>322.42172937443729</v>
      </c>
      <c r="R145" s="196">
        <f t="shared" si="336"/>
        <v>8999.0406618177003</v>
      </c>
      <c r="S145" s="197">
        <f t="shared" si="336"/>
        <v>1540.4520273886512</v>
      </c>
      <c r="T145" s="197">
        <f t="shared" si="336"/>
        <v>7568.6259235672896</v>
      </c>
      <c r="U145" s="197">
        <f t="shared" si="336"/>
        <v>1430.4147382504109</v>
      </c>
      <c r="V145" s="199">
        <f t="shared" si="336"/>
        <v>2970.8667656390617</v>
      </c>
      <c r="Z145" s="881">
        <v>8</v>
      </c>
      <c r="AA145" s="892">
        <f>'Arable Inputs'!$H$18</f>
        <v>12</v>
      </c>
      <c r="AB145" s="747">
        <f>'Arable Inputs'!$H$25</f>
        <v>107.1</v>
      </c>
      <c r="AC145" s="749">
        <f t="shared" si="337"/>
        <v>1285.1999999999998</v>
      </c>
      <c r="AD145" s="197">
        <f>'Arable NPV'!$D124</f>
        <v>220</v>
      </c>
      <c r="AE145" s="197">
        <f t="shared" si="394"/>
        <v>1505.1999999999998</v>
      </c>
      <c r="AF145" s="197">
        <f>'Arable NPV'!$F124</f>
        <v>528.51499999999999</v>
      </c>
      <c r="AG145" s="197">
        <f>'Arable NPV'!$G124</f>
        <v>552.40000000000009</v>
      </c>
      <c r="AH145" s="197">
        <f t="shared" si="338"/>
        <v>1080.915</v>
      </c>
      <c r="AI145" s="197">
        <f t="shared" si="339"/>
        <v>204.28499999999985</v>
      </c>
      <c r="AJ145" s="197">
        <f t="shared" si="340"/>
        <v>424.28499999999985</v>
      </c>
      <c r="AK145" s="196">
        <f t="shared" si="341"/>
        <v>854.73140242742613</v>
      </c>
      <c r="AL145" s="197">
        <f t="shared" si="342"/>
        <v>146.31256499691392</v>
      </c>
      <c r="AM145" s="197">
        <f t="shared" si="343"/>
        <v>718.87020997108732</v>
      </c>
      <c r="AN145" s="197">
        <f t="shared" si="344"/>
        <v>135.86119245633881</v>
      </c>
      <c r="AO145" s="199">
        <f t="shared" si="345"/>
        <v>282.17375745325273</v>
      </c>
      <c r="AP145" s="196">
        <f t="shared" si="346"/>
        <v>8459.6766262095516</v>
      </c>
      <c r="AQ145" s="197">
        <f t="shared" si="347"/>
        <v>1448.1239167180993</v>
      </c>
      <c r="AR145" s="197">
        <f t="shared" si="348"/>
        <v>7114.9948338152017</v>
      </c>
      <c r="AS145" s="197">
        <f t="shared" si="349"/>
        <v>1344.681792394349</v>
      </c>
      <c r="AT145" s="199">
        <f t="shared" si="350"/>
        <v>2792.8057091124483</v>
      </c>
      <c r="AX145" s="881">
        <v>8</v>
      </c>
      <c r="AY145" s="892">
        <f>'Arable Inputs'!$H$18</f>
        <v>12</v>
      </c>
      <c r="AZ145" s="747">
        <f>'Arable Inputs'!$H$25</f>
        <v>107.1</v>
      </c>
      <c r="BA145" s="749">
        <f t="shared" si="351"/>
        <v>1285.1999999999998</v>
      </c>
      <c r="BB145" s="197">
        <f>'Arable NPV'!$D124</f>
        <v>220</v>
      </c>
      <c r="BC145" s="197">
        <f t="shared" si="395"/>
        <v>1505.1999999999998</v>
      </c>
      <c r="BD145" s="197">
        <f>'Arable NPV'!$F124</f>
        <v>528.51499999999999</v>
      </c>
      <c r="BE145" s="197">
        <f>'Arable NPV'!$G124</f>
        <v>552.40000000000009</v>
      </c>
      <c r="BF145" s="197">
        <f t="shared" si="352"/>
        <v>1080.915</v>
      </c>
      <c r="BG145" s="197">
        <f t="shared" si="353"/>
        <v>204.28499999999985</v>
      </c>
      <c r="BH145" s="197">
        <f t="shared" si="354"/>
        <v>424.28499999999985</v>
      </c>
      <c r="BI145" s="196">
        <f t="shared" si="355"/>
        <v>1118.843941554602</v>
      </c>
      <c r="BJ145" s="197">
        <f t="shared" si="356"/>
        <v>191.52323929506107</v>
      </c>
      <c r="BK145" s="197">
        <f t="shared" si="357"/>
        <v>941.00155546645874</v>
      </c>
      <c r="BL145" s="197">
        <f t="shared" si="358"/>
        <v>177.84238608814329</v>
      </c>
      <c r="BM145" s="199">
        <f t="shared" si="359"/>
        <v>369.36562538320436</v>
      </c>
      <c r="BN145" s="196">
        <f t="shared" si="360"/>
        <v>9603.0029222698995</v>
      </c>
      <c r="BO145" s="197">
        <f t="shared" si="361"/>
        <v>1643.8380352469485</v>
      </c>
      <c r="BP145" s="197">
        <f t="shared" si="362"/>
        <v>8076.5872266770684</v>
      </c>
      <c r="BQ145" s="197">
        <f t="shared" si="363"/>
        <v>1526.4156955928299</v>
      </c>
      <c r="BR145" s="199">
        <f t="shared" si="364"/>
        <v>3170.2537308397787</v>
      </c>
      <c r="BV145" s="881">
        <v>8</v>
      </c>
      <c r="BW145" s="892">
        <f>'Arable Inputs'!$H$18</f>
        <v>12</v>
      </c>
      <c r="BX145" s="747">
        <f>'Arable Inputs'!$H$25</f>
        <v>107.1</v>
      </c>
      <c r="BY145" s="749">
        <f t="shared" si="365"/>
        <v>1285.1999999999998</v>
      </c>
      <c r="BZ145" s="197">
        <f>'Arable NPV'!$D124</f>
        <v>220</v>
      </c>
      <c r="CA145" s="197">
        <f t="shared" si="396"/>
        <v>1505.1999999999998</v>
      </c>
      <c r="CB145" s="197">
        <f>'Arable NPV'!$F124</f>
        <v>528.51499999999999</v>
      </c>
      <c r="CC145" s="197">
        <f>'Arable NPV'!$G124</f>
        <v>552.40000000000009</v>
      </c>
      <c r="CD145" s="197">
        <f t="shared" si="366"/>
        <v>1080.915</v>
      </c>
      <c r="CE145" s="197">
        <f t="shared" si="367"/>
        <v>204.28499999999985</v>
      </c>
      <c r="CF145" s="197">
        <f t="shared" si="368"/>
        <v>424.28499999999985</v>
      </c>
      <c r="CG145" s="196">
        <f t="shared" si="369"/>
        <v>749.90185599089432</v>
      </c>
      <c r="CH145" s="197">
        <f t="shared" si="370"/>
        <v>128.36788695766944</v>
      </c>
      <c r="CI145" s="197">
        <f t="shared" si="371"/>
        <v>630.70352059476932</v>
      </c>
      <c r="CJ145" s="197">
        <f t="shared" si="372"/>
        <v>119.19833539612493</v>
      </c>
      <c r="CK145" s="199">
        <f t="shared" si="373"/>
        <v>247.56622235379436</v>
      </c>
      <c r="CL145" s="196">
        <f t="shared" si="374"/>
        <v>7976.4268001138134</v>
      </c>
      <c r="CM145" s="197">
        <f t="shared" si="375"/>
        <v>1365.4014130291314</v>
      </c>
      <c r="CN145" s="197">
        <f t="shared" si="376"/>
        <v>6708.5584925653793</v>
      </c>
      <c r="CO145" s="197">
        <f t="shared" si="377"/>
        <v>1267.8683075484357</v>
      </c>
      <c r="CP145" s="199">
        <f t="shared" si="378"/>
        <v>2633.2697205775667</v>
      </c>
      <c r="CT145" s="881">
        <v>8</v>
      </c>
      <c r="CU145" s="892">
        <f>'Arable Inputs'!$H$18</f>
        <v>12</v>
      </c>
      <c r="CV145" s="747">
        <f>'Arable Inputs'!$H$25</f>
        <v>107.1</v>
      </c>
      <c r="CW145" s="749">
        <f t="shared" si="379"/>
        <v>1285.1999999999998</v>
      </c>
      <c r="CX145" s="197">
        <f>'Arable NPV'!$D124</f>
        <v>220</v>
      </c>
      <c r="CY145" s="197">
        <f t="shared" si="397"/>
        <v>1505.1999999999998</v>
      </c>
      <c r="CZ145" s="197">
        <f>'Arable NPV'!$F124</f>
        <v>528.51499999999999</v>
      </c>
      <c r="DA145" s="197">
        <f>'Arable NPV'!$G124</f>
        <v>552.40000000000009</v>
      </c>
      <c r="DB145" s="197">
        <f t="shared" si="380"/>
        <v>1080.915</v>
      </c>
      <c r="DC145" s="197">
        <f t="shared" si="381"/>
        <v>204.28499999999985</v>
      </c>
      <c r="DD145" s="197">
        <f t="shared" si="382"/>
        <v>424.28499999999985</v>
      </c>
      <c r="DE145" s="196">
        <f t="shared" si="383"/>
        <v>1285.1999999999998</v>
      </c>
      <c r="DF145" s="197">
        <f t="shared" si="384"/>
        <v>220</v>
      </c>
      <c r="DG145" s="197">
        <f t="shared" si="385"/>
        <v>1080.915</v>
      </c>
      <c r="DH145" s="197">
        <f t="shared" si="386"/>
        <v>204.28499999999985</v>
      </c>
      <c r="DI145" s="199">
        <f t="shared" si="387"/>
        <v>424.28499999999985</v>
      </c>
      <c r="DJ145" s="196">
        <f t="shared" si="388"/>
        <v>10281.599999999999</v>
      </c>
      <c r="DK145" s="197">
        <f t="shared" si="389"/>
        <v>1760</v>
      </c>
      <c r="DL145" s="197">
        <f t="shared" si="390"/>
        <v>8647.32</v>
      </c>
      <c r="DM145" s="197">
        <f t="shared" si="391"/>
        <v>1634.2799999999988</v>
      </c>
      <c r="DN145" s="199">
        <f t="shared" si="392"/>
        <v>3394.2799999999988</v>
      </c>
    </row>
    <row r="146" spans="2:118" x14ac:dyDescent="0.3">
      <c r="B146" s="881">
        <v>9</v>
      </c>
      <c r="C146" s="892">
        <f>'Arable Inputs'!$H$18</f>
        <v>12</v>
      </c>
      <c r="D146" s="747">
        <f>'Arable Inputs'!$H$25</f>
        <v>107.1</v>
      </c>
      <c r="E146" s="749">
        <f t="shared" si="327"/>
        <v>1285.1999999999998</v>
      </c>
      <c r="F146" s="197">
        <f>'Arable NPV'!$D125</f>
        <v>220</v>
      </c>
      <c r="G146" s="197">
        <f t="shared" si="393"/>
        <v>1505.1999999999998</v>
      </c>
      <c r="H146" s="197">
        <f>'Arable NPV'!$F125</f>
        <v>528.51499999999999</v>
      </c>
      <c r="I146" s="197">
        <f>'Arable NPV'!$G125</f>
        <v>552.40000000000009</v>
      </c>
      <c r="J146" s="197">
        <f t="shared" si="328"/>
        <v>1080.915</v>
      </c>
      <c r="K146" s="197">
        <f t="shared" si="329"/>
        <v>204.28499999999985</v>
      </c>
      <c r="L146" s="197">
        <f t="shared" si="330"/>
        <v>424.28499999999985</v>
      </c>
      <c r="M146" s="196">
        <f t="shared" si="331"/>
        <v>939.08305146854946</v>
      </c>
      <c r="N146" s="197">
        <f t="shared" si="332"/>
        <v>160.75184510043644</v>
      </c>
      <c r="O146" s="197">
        <f t="shared" si="333"/>
        <v>789.81400293971922</v>
      </c>
      <c r="P146" s="197">
        <f t="shared" si="334"/>
        <v>149.26904852883015</v>
      </c>
      <c r="Q146" s="199">
        <f t="shared" si="335"/>
        <v>310.0208936292666</v>
      </c>
      <c r="R146" s="196">
        <f t="shared" si="336"/>
        <v>9938.1237132862498</v>
      </c>
      <c r="S146" s="197">
        <f t="shared" si="336"/>
        <v>1701.2038724890876</v>
      </c>
      <c r="T146" s="197">
        <f t="shared" si="336"/>
        <v>8358.4399265070097</v>
      </c>
      <c r="U146" s="197">
        <f t="shared" si="336"/>
        <v>1579.683786779241</v>
      </c>
      <c r="V146" s="199">
        <f t="shared" si="336"/>
        <v>3280.8876592683282</v>
      </c>
      <c r="Z146" s="881">
        <v>9</v>
      </c>
      <c r="AA146" s="892">
        <f>'Arable Inputs'!$H$18</f>
        <v>12</v>
      </c>
      <c r="AB146" s="747">
        <f>'Arable Inputs'!$H$25</f>
        <v>107.1</v>
      </c>
      <c r="AC146" s="749">
        <f t="shared" si="337"/>
        <v>1285.1999999999998</v>
      </c>
      <c r="AD146" s="197">
        <f>'Arable NPV'!$D125</f>
        <v>220</v>
      </c>
      <c r="AE146" s="197">
        <f t="shared" si="394"/>
        <v>1505.1999999999998</v>
      </c>
      <c r="AF146" s="197">
        <f>'Arable NPV'!$F125</f>
        <v>528.51499999999999</v>
      </c>
      <c r="AG146" s="197">
        <f>'Arable NPV'!$G125</f>
        <v>552.40000000000009</v>
      </c>
      <c r="AH146" s="197">
        <f t="shared" si="338"/>
        <v>1080.915</v>
      </c>
      <c r="AI146" s="197">
        <f t="shared" si="339"/>
        <v>204.28499999999985</v>
      </c>
      <c r="AJ146" s="197">
        <f t="shared" si="340"/>
        <v>424.28499999999985</v>
      </c>
      <c r="AK146" s="196">
        <f t="shared" si="341"/>
        <v>806.35037964851529</v>
      </c>
      <c r="AL146" s="197">
        <f t="shared" si="342"/>
        <v>138.03072169520183</v>
      </c>
      <c r="AM146" s="197">
        <f t="shared" si="343"/>
        <v>678.17944336895039</v>
      </c>
      <c r="AN146" s="197">
        <f t="shared" si="344"/>
        <v>128.17093627956493</v>
      </c>
      <c r="AO146" s="199">
        <f t="shared" si="345"/>
        <v>266.20165797476676</v>
      </c>
      <c r="AP146" s="196">
        <f t="shared" si="346"/>
        <v>9266.0270058580663</v>
      </c>
      <c r="AQ146" s="197">
        <f t="shared" si="347"/>
        <v>1586.1546384133012</v>
      </c>
      <c r="AR146" s="197">
        <f t="shared" si="348"/>
        <v>7793.1742771841518</v>
      </c>
      <c r="AS146" s="197">
        <f t="shared" si="349"/>
        <v>1472.852728673914</v>
      </c>
      <c r="AT146" s="199">
        <f t="shared" si="350"/>
        <v>3059.0073670872152</v>
      </c>
      <c r="AX146" s="881">
        <v>9</v>
      </c>
      <c r="AY146" s="892">
        <f>'Arable Inputs'!$H$18</f>
        <v>12</v>
      </c>
      <c r="AZ146" s="747">
        <f>'Arable Inputs'!$H$25</f>
        <v>107.1</v>
      </c>
      <c r="BA146" s="749">
        <f t="shared" si="351"/>
        <v>1285.1999999999998</v>
      </c>
      <c r="BB146" s="197">
        <f>'Arable NPV'!$D125</f>
        <v>220</v>
      </c>
      <c r="BC146" s="197">
        <f t="shared" si="395"/>
        <v>1505.1999999999998</v>
      </c>
      <c r="BD146" s="197">
        <f>'Arable NPV'!$F125</f>
        <v>528.51499999999999</v>
      </c>
      <c r="BE146" s="197">
        <f>'Arable NPV'!$G125</f>
        <v>552.40000000000009</v>
      </c>
      <c r="BF146" s="197">
        <f t="shared" si="352"/>
        <v>1080.915</v>
      </c>
      <c r="BG146" s="197">
        <f t="shared" si="353"/>
        <v>204.28499999999985</v>
      </c>
      <c r="BH146" s="197">
        <f t="shared" si="354"/>
        <v>424.28499999999985</v>
      </c>
      <c r="BI146" s="196">
        <f t="shared" si="355"/>
        <v>1096.9058250535313</v>
      </c>
      <c r="BJ146" s="197">
        <f t="shared" si="356"/>
        <v>187.76788166182456</v>
      </c>
      <c r="BK146" s="197">
        <f t="shared" si="357"/>
        <v>922.55054457495942</v>
      </c>
      <c r="BL146" s="197">
        <f t="shared" si="358"/>
        <v>174.35528047857181</v>
      </c>
      <c r="BM146" s="199">
        <f t="shared" si="359"/>
        <v>362.1231621403964</v>
      </c>
      <c r="BN146" s="196">
        <f t="shared" si="360"/>
        <v>10699.90874732343</v>
      </c>
      <c r="BO146" s="197">
        <f t="shared" si="361"/>
        <v>1831.605916908773</v>
      </c>
      <c r="BP146" s="197">
        <f t="shared" si="362"/>
        <v>8999.137771252028</v>
      </c>
      <c r="BQ146" s="197">
        <f t="shared" si="363"/>
        <v>1700.7709760714017</v>
      </c>
      <c r="BR146" s="199">
        <f t="shared" si="364"/>
        <v>3532.3768929801749</v>
      </c>
      <c r="BV146" s="881">
        <v>9</v>
      </c>
      <c r="BW146" s="892">
        <f>'Arable Inputs'!$H$18</f>
        <v>12</v>
      </c>
      <c r="BX146" s="747">
        <f>'Arable Inputs'!$H$25</f>
        <v>107.1</v>
      </c>
      <c r="BY146" s="749">
        <f t="shared" si="365"/>
        <v>1285.1999999999998</v>
      </c>
      <c r="BZ146" s="197">
        <f>'Arable NPV'!$D125</f>
        <v>220</v>
      </c>
      <c r="CA146" s="197">
        <f t="shared" si="396"/>
        <v>1505.1999999999998</v>
      </c>
      <c r="CB146" s="197">
        <f>'Arable NPV'!$F125</f>
        <v>528.51499999999999</v>
      </c>
      <c r="CC146" s="197">
        <f>'Arable NPV'!$G125</f>
        <v>552.40000000000009</v>
      </c>
      <c r="CD146" s="197">
        <f t="shared" si="366"/>
        <v>1080.915</v>
      </c>
      <c r="CE146" s="197">
        <f t="shared" si="367"/>
        <v>204.28499999999985</v>
      </c>
      <c r="CF146" s="197">
        <f t="shared" si="368"/>
        <v>424.28499999999985</v>
      </c>
      <c r="CG146" s="196">
        <f t="shared" si="369"/>
        <v>694.35357036193921</v>
      </c>
      <c r="CH146" s="197">
        <f t="shared" si="370"/>
        <v>118.85915459043467</v>
      </c>
      <c r="CI146" s="197">
        <f t="shared" si="371"/>
        <v>583.98474129145313</v>
      </c>
      <c r="CJ146" s="197">
        <f t="shared" si="372"/>
        <v>110.36882907048604</v>
      </c>
      <c r="CK146" s="199">
        <f t="shared" si="373"/>
        <v>229.2279836609207</v>
      </c>
      <c r="CL146" s="196">
        <f t="shared" si="374"/>
        <v>8670.7803704757534</v>
      </c>
      <c r="CM146" s="197">
        <f t="shared" si="375"/>
        <v>1484.260567619566</v>
      </c>
      <c r="CN146" s="197">
        <f t="shared" si="376"/>
        <v>7292.5432338568326</v>
      </c>
      <c r="CO146" s="197">
        <f t="shared" si="377"/>
        <v>1378.2371366189218</v>
      </c>
      <c r="CP146" s="199">
        <f t="shared" si="378"/>
        <v>2862.4977042384871</v>
      </c>
      <c r="CT146" s="881">
        <v>9</v>
      </c>
      <c r="CU146" s="892">
        <f>'Arable Inputs'!$H$18</f>
        <v>12</v>
      </c>
      <c r="CV146" s="747">
        <f>'Arable Inputs'!$H$25</f>
        <v>107.1</v>
      </c>
      <c r="CW146" s="749">
        <f t="shared" si="379"/>
        <v>1285.1999999999998</v>
      </c>
      <c r="CX146" s="197">
        <f>'Arable NPV'!$D125</f>
        <v>220</v>
      </c>
      <c r="CY146" s="197">
        <f t="shared" si="397"/>
        <v>1505.1999999999998</v>
      </c>
      <c r="CZ146" s="197">
        <f>'Arable NPV'!$F125</f>
        <v>528.51499999999999</v>
      </c>
      <c r="DA146" s="197">
        <f>'Arable NPV'!$G125</f>
        <v>552.40000000000009</v>
      </c>
      <c r="DB146" s="197">
        <f t="shared" si="380"/>
        <v>1080.915</v>
      </c>
      <c r="DC146" s="197">
        <f t="shared" si="381"/>
        <v>204.28499999999985</v>
      </c>
      <c r="DD146" s="197">
        <f t="shared" si="382"/>
        <v>424.28499999999985</v>
      </c>
      <c r="DE146" s="196">
        <f t="shared" si="383"/>
        <v>1285.1999999999998</v>
      </c>
      <c r="DF146" s="197">
        <f t="shared" si="384"/>
        <v>220</v>
      </c>
      <c r="DG146" s="197">
        <f t="shared" si="385"/>
        <v>1080.915</v>
      </c>
      <c r="DH146" s="197">
        <f t="shared" si="386"/>
        <v>204.28499999999985</v>
      </c>
      <c r="DI146" s="199">
        <f t="shared" si="387"/>
        <v>424.28499999999985</v>
      </c>
      <c r="DJ146" s="196">
        <f t="shared" si="388"/>
        <v>11566.8</v>
      </c>
      <c r="DK146" s="197">
        <f t="shared" si="389"/>
        <v>1980</v>
      </c>
      <c r="DL146" s="197">
        <f t="shared" si="390"/>
        <v>9728.2350000000006</v>
      </c>
      <c r="DM146" s="197">
        <f t="shared" si="391"/>
        <v>1838.5649999999987</v>
      </c>
      <c r="DN146" s="199">
        <f t="shared" si="392"/>
        <v>3818.5649999999987</v>
      </c>
    </row>
    <row r="147" spans="2:118" x14ac:dyDescent="0.3">
      <c r="B147" s="881">
        <v>10</v>
      </c>
      <c r="C147" s="892">
        <f>'Arable Inputs'!$H$18</f>
        <v>12</v>
      </c>
      <c r="D147" s="747">
        <f>'Arable Inputs'!$H$25</f>
        <v>107.1</v>
      </c>
      <c r="E147" s="749">
        <f t="shared" si="327"/>
        <v>1285.1999999999998</v>
      </c>
      <c r="F147" s="197">
        <f>'Arable NPV'!$D126</f>
        <v>220</v>
      </c>
      <c r="G147" s="197">
        <f t="shared" si="393"/>
        <v>1505.1999999999998</v>
      </c>
      <c r="H147" s="197">
        <f>'Arable NPV'!$F126</f>
        <v>528.51499999999999</v>
      </c>
      <c r="I147" s="197">
        <f>'Arable NPV'!$G126</f>
        <v>552.40000000000009</v>
      </c>
      <c r="J147" s="197">
        <f t="shared" si="328"/>
        <v>1080.915</v>
      </c>
      <c r="K147" s="197">
        <f t="shared" si="329"/>
        <v>204.28499999999985</v>
      </c>
      <c r="L147" s="197">
        <f t="shared" si="330"/>
        <v>424.28499999999985</v>
      </c>
      <c r="M147" s="196">
        <f t="shared" si="331"/>
        <v>902.96447256591284</v>
      </c>
      <c r="N147" s="197">
        <f t="shared" si="332"/>
        <v>154.5690818273427</v>
      </c>
      <c r="O147" s="197">
        <f t="shared" si="333"/>
        <v>759.43654128819151</v>
      </c>
      <c r="P147" s="197">
        <f t="shared" si="334"/>
        <v>143.52793127772128</v>
      </c>
      <c r="Q147" s="199">
        <f t="shared" si="335"/>
        <v>298.09701310506398</v>
      </c>
      <c r="R147" s="196">
        <f t="shared" si="336"/>
        <v>10841.088185852162</v>
      </c>
      <c r="S147" s="197">
        <f t="shared" si="336"/>
        <v>1855.7729543164303</v>
      </c>
      <c r="T147" s="197">
        <f t="shared" si="336"/>
        <v>9117.8764677952004</v>
      </c>
      <c r="U147" s="197">
        <f t="shared" si="336"/>
        <v>1723.2117180569624</v>
      </c>
      <c r="V147" s="199">
        <f t="shared" si="336"/>
        <v>3578.9846723733922</v>
      </c>
      <c r="Z147" s="881">
        <v>10</v>
      </c>
      <c r="AA147" s="892">
        <f>'Arable Inputs'!$H$18</f>
        <v>12</v>
      </c>
      <c r="AB147" s="747">
        <f>'Arable Inputs'!$H$25</f>
        <v>107.1</v>
      </c>
      <c r="AC147" s="749">
        <f t="shared" si="337"/>
        <v>1285.1999999999998</v>
      </c>
      <c r="AD147" s="197">
        <f>'Arable NPV'!$D126</f>
        <v>220</v>
      </c>
      <c r="AE147" s="197">
        <f t="shared" si="394"/>
        <v>1505.1999999999998</v>
      </c>
      <c r="AF147" s="197">
        <f>'Arable NPV'!$F126</f>
        <v>528.51499999999999</v>
      </c>
      <c r="AG147" s="197">
        <f>'Arable NPV'!$G126</f>
        <v>552.40000000000009</v>
      </c>
      <c r="AH147" s="197">
        <f t="shared" si="338"/>
        <v>1080.915</v>
      </c>
      <c r="AI147" s="197">
        <f t="shared" si="339"/>
        <v>204.28499999999985</v>
      </c>
      <c r="AJ147" s="197">
        <f t="shared" si="340"/>
        <v>424.28499999999985</v>
      </c>
      <c r="AK147" s="196">
        <f t="shared" si="341"/>
        <v>760.707905328788</v>
      </c>
      <c r="AL147" s="197">
        <f t="shared" si="342"/>
        <v>130.21766197660551</v>
      </c>
      <c r="AM147" s="197">
        <f t="shared" si="343"/>
        <v>639.79192770655698</v>
      </c>
      <c r="AN147" s="197">
        <f t="shared" si="344"/>
        <v>120.91597762223107</v>
      </c>
      <c r="AO147" s="199">
        <f t="shared" si="345"/>
        <v>251.13363959883657</v>
      </c>
      <c r="AP147" s="196">
        <f t="shared" si="346"/>
        <v>10026.734911186853</v>
      </c>
      <c r="AQ147" s="197">
        <f t="shared" si="347"/>
        <v>1716.3723003899067</v>
      </c>
      <c r="AR147" s="197">
        <f t="shared" si="348"/>
        <v>8432.9662048907085</v>
      </c>
      <c r="AS147" s="197">
        <f t="shared" si="349"/>
        <v>1593.7687062961452</v>
      </c>
      <c r="AT147" s="199">
        <f t="shared" si="350"/>
        <v>3310.1410066860517</v>
      </c>
      <c r="AX147" s="881">
        <v>10</v>
      </c>
      <c r="AY147" s="892">
        <f>'Arable Inputs'!$H$18</f>
        <v>12</v>
      </c>
      <c r="AZ147" s="747">
        <f>'Arable Inputs'!$H$25</f>
        <v>107.1</v>
      </c>
      <c r="BA147" s="749">
        <f t="shared" si="351"/>
        <v>1285.1999999999998</v>
      </c>
      <c r="BB147" s="197">
        <f>'Arable NPV'!$D126</f>
        <v>220</v>
      </c>
      <c r="BC147" s="197">
        <f t="shared" si="395"/>
        <v>1505.1999999999998</v>
      </c>
      <c r="BD147" s="197">
        <f>'Arable NPV'!$F126</f>
        <v>528.51499999999999</v>
      </c>
      <c r="BE147" s="197">
        <f>'Arable NPV'!$G126</f>
        <v>552.40000000000009</v>
      </c>
      <c r="BF147" s="197">
        <f t="shared" si="352"/>
        <v>1080.915</v>
      </c>
      <c r="BG147" s="197">
        <f t="shared" si="353"/>
        <v>204.28499999999985</v>
      </c>
      <c r="BH147" s="197">
        <f t="shared" si="354"/>
        <v>424.28499999999985</v>
      </c>
      <c r="BI147" s="196">
        <f t="shared" si="355"/>
        <v>1075.3978676995405</v>
      </c>
      <c r="BJ147" s="197">
        <f t="shared" si="356"/>
        <v>184.08615849198486</v>
      </c>
      <c r="BK147" s="197">
        <f t="shared" si="357"/>
        <v>904.46131821074459</v>
      </c>
      <c r="BL147" s="197">
        <f t="shared" si="358"/>
        <v>170.93654948879592</v>
      </c>
      <c r="BM147" s="199">
        <f t="shared" si="359"/>
        <v>355.02270798078075</v>
      </c>
      <c r="BN147" s="196">
        <f t="shared" si="360"/>
        <v>11775.306615022972</v>
      </c>
      <c r="BO147" s="197">
        <f t="shared" si="361"/>
        <v>2015.6920754007579</v>
      </c>
      <c r="BP147" s="197">
        <f t="shared" si="362"/>
        <v>9903.5990894627721</v>
      </c>
      <c r="BQ147" s="197">
        <f t="shared" si="363"/>
        <v>1871.7075255601976</v>
      </c>
      <c r="BR147" s="199">
        <f t="shared" si="364"/>
        <v>3887.3996009609555</v>
      </c>
      <c r="BV147" s="881">
        <v>10</v>
      </c>
      <c r="BW147" s="892">
        <f>'Arable Inputs'!$H$18</f>
        <v>12</v>
      </c>
      <c r="BX147" s="747">
        <f>'Arable Inputs'!$H$25</f>
        <v>107.1</v>
      </c>
      <c r="BY147" s="749">
        <f t="shared" si="365"/>
        <v>1285.1999999999998</v>
      </c>
      <c r="BZ147" s="197">
        <f>'Arable NPV'!$D126</f>
        <v>220</v>
      </c>
      <c r="CA147" s="197">
        <f t="shared" si="396"/>
        <v>1505.1999999999998</v>
      </c>
      <c r="CB147" s="197">
        <f>'Arable NPV'!$F126</f>
        <v>528.51499999999999</v>
      </c>
      <c r="CC147" s="197">
        <f>'Arable NPV'!$G126</f>
        <v>552.40000000000009</v>
      </c>
      <c r="CD147" s="197">
        <f t="shared" si="366"/>
        <v>1080.915</v>
      </c>
      <c r="CE147" s="197">
        <f t="shared" si="367"/>
        <v>204.28499999999985</v>
      </c>
      <c r="CF147" s="197">
        <f t="shared" si="368"/>
        <v>424.28499999999985</v>
      </c>
      <c r="CG147" s="196">
        <f t="shared" si="369"/>
        <v>642.919972557351</v>
      </c>
      <c r="CH147" s="197">
        <f t="shared" si="370"/>
        <v>110.05477276892098</v>
      </c>
      <c r="CI147" s="197">
        <f t="shared" si="371"/>
        <v>540.72661230690096</v>
      </c>
      <c r="CJ147" s="197">
        <f t="shared" si="372"/>
        <v>102.19336025045003</v>
      </c>
      <c r="CK147" s="199">
        <f t="shared" si="373"/>
        <v>212.24813301937101</v>
      </c>
      <c r="CL147" s="196">
        <f t="shared" si="374"/>
        <v>9313.7003430331042</v>
      </c>
      <c r="CM147" s="197">
        <f t="shared" si="375"/>
        <v>1594.3153403884869</v>
      </c>
      <c r="CN147" s="197">
        <f t="shared" si="376"/>
        <v>7833.2698461637337</v>
      </c>
      <c r="CO147" s="197">
        <f t="shared" si="377"/>
        <v>1480.4304968693718</v>
      </c>
      <c r="CP147" s="199">
        <f t="shared" si="378"/>
        <v>3074.7458372578581</v>
      </c>
      <c r="CT147" s="881">
        <v>10</v>
      </c>
      <c r="CU147" s="892">
        <f>'Arable Inputs'!$H$18</f>
        <v>12</v>
      </c>
      <c r="CV147" s="747">
        <f>'Arable Inputs'!$H$25</f>
        <v>107.1</v>
      </c>
      <c r="CW147" s="749">
        <f t="shared" si="379"/>
        <v>1285.1999999999998</v>
      </c>
      <c r="CX147" s="197">
        <f>'Arable NPV'!$D126</f>
        <v>220</v>
      </c>
      <c r="CY147" s="197">
        <f t="shared" si="397"/>
        <v>1505.1999999999998</v>
      </c>
      <c r="CZ147" s="197">
        <f>'Arable NPV'!$F126</f>
        <v>528.51499999999999</v>
      </c>
      <c r="DA147" s="197">
        <f>'Arable NPV'!$G126</f>
        <v>552.40000000000009</v>
      </c>
      <c r="DB147" s="197">
        <f t="shared" si="380"/>
        <v>1080.915</v>
      </c>
      <c r="DC147" s="197">
        <f t="shared" si="381"/>
        <v>204.28499999999985</v>
      </c>
      <c r="DD147" s="197">
        <f t="shared" si="382"/>
        <v>424.28499999999985</v>
      </c>
      <c r="DE147" s="196">
        <f t="shared" si="383"/>
        <v>1285.1999999999998</v>
      </c>
      <c r="DF147" s="197">
        <f t="shared" si="384"/>
        <v>220</v>
      </c>
      <c r="DG147" s="197">
        <f t="shared" si="385"/>
        <v>1080.915</v>
      </c>
      <c r="DH147" s="197">
        <f t="shared" si="386"/>
        <v>204.28499999999985</v>
      </c>
      <c r="DI147" s="199">
        <f t="shared" si="387"/>
        <v>424.28499999999985</v>
      </c>
      <c r="DJ147" s="196">
        <f t="shared" si="388"/>
        <v>12852</v>
      </c>
      <c r="DK147" s="197">
        <f t="shared" si="389"/>
        <v>2200</v>
      </c>
      <c r="DL147" s="197">
        <f t="shared" si="390"/>
        <v>10809.150000000001</v>
      </c>
      <c r="DM147" s="197">
        <f t="shared" si="391"/>
        <v>2042.8499999999985</v>
      </c>
      <c r="DN147" s="199">
        <f t="shared" si="392"/>
        <v>4242.8499999999985</v>
      </c>
    </row>
    <row r="148" spans="2:118" x14ac:dyDescent="0.3">
      <c r="B148" s="881">
        <v>11</v>
      </c>
      <c r="C148" s="892">
        <f>'Arable Inputs'!$H$18</f>
        <v>12</v>
      </c>
      <c r="D148" s="747">
        <f>'Arable Inputs'!$H$25</f>
        <v>107.1</v>
      </c>
      <c r="E148" s="749">
        <f t="shared" si="327"/>
        <v>1285.1999999999998</v>
      </c>
      <c r="F148" s="197">
        <f>'Arable NPV'!$D127</f>
        <v>220</v>
      </c>
      <c r="G148" s="197">
        <f t="shared" si="393"/>
        <v>1505.1999999999998</v>
      </c>
      <c r="H148" s="197">
        <f>'Arable NPV'!$F127</f>
        <v>528.51499999999999</v>
      </c>
      <c r="I148" s="197">
        <f>'Arable NPV'!$G127</f>
        <v>552.40000000000009</v>
      </c>
      <c r="J148" s="197">
        <f t="shared" si="328"/>
        <v>1080.915</v>
      </c>
      <c r="K148" s="197">
        <f t="shared" si="329"/>
        <v>204.28499999999985</v>
      </c>
      <c r="L148" s="197">
        <f t="shared" si="330"/>
        <v>424.28499999999985</v>
      </c>
      <c r="M148" s="196">
        <f t="shared" si="331"/>
        <v>868.23506977491616</v>
      </c>
      <c r="N148" s="197">
        <f t="shared" si="332"/>
        <v>148.62411714167567</v>
      </c>
      <c r="O148" s="197">
        <f t="shared" si="333"/>
        <v>730.22744354633801</v>
      </c>
      <c r="P148" s="197">
        <f t="shared" si="334"/>
        <v>138.00762622857815</v>
      </c>
      <c r="Q148" s="199">
        <f t="shared" si="335"/>
        <v>286.63174337025384</v>
      </c>
      <c r="R148" s="196">
        <f t="shared" si="336"/>
        <v>11709.323255627078</v>
      </c>
      <c r="S148" s="197">
        <f t="shared" si="336"/>
        <v>2004.397071458106</v>
      </c>
      <c r="T148" s="197">
        <f t="shared" si="336"/>
        <v>9848.1039113415391</v>
      </c>
      <c r="U148" s="197">
        <f t="shared" si="336"/>
        <v>1861.2193442855405</v>
      </c>
      <c r="V148" s="199">
        <f t="shared" si="336"/>
        <v>3865.616415743646</v>
      </c>
      <c r="Z148" s="881">
        <v>11</v>
      </c>
      <c r="AA148" s="892">
        <f>'Arable Inputs'!$H$18</f>
        <v>12</v>
      </c>
      <c r="AB148" s="747">
        <f>'Arable Inputs'!$H$25</f>
        <v>107.1</v>
      </c>
      <c r="AC148" s="749">
        <f t="shared" si="337"/>
        <v>1285.1999999999998</v>
      </c>
      <c r="AD148" s="197">
        <f>'Arable NPV'!$D127</f>
        <v>220</v>
      </c>
      <c r="AE148" s="197">
        <f t="shared" si="394"/>
        <v>1505.1999999999998</v>
      </c>
      <c r="AF148" s="197">
        <f>'Arable NPV'!$F127</f>
        <v>528.51499999999999</v>
      </c>
      <c r="AG148" s="197">
        <f>'Arable NPV'!$G127</f>
        <v>552.40000000000009</v>
      </c>
      <c r="AH148" s="197">
        <f t="shared" si="338"/>
        <v>1080.915</v>
      </c>
      <c r="AI148" s="197">
        <f t="shared" si="339"/>
        <v>204.28499999999985</v>
      </c>
      <c r="AJ148" s="197">
        <f t="shared" si="340"/>
        <v>424.28499999999985</v>
      </c>
      <c r="AK148" s="196">
        <f t="shared" si="341"/>
        <v>717.64896729130942</v>
      </c>
      <c r="AL148" s="197">
        <f t="shared" si="342"/>
        <v>122.84685092132594</v>
      </c>
      <c r="AM148" s="197">
        <f t="shared" si="343"/>
        <v>603.5772902892046</v>
      </c>
      <c r="AN148" s="197">
        <f t="shared" si="344"/>
        <v>114.07167700210478</v>
      </c>
      <c r="AO148" s="199">
        <f t="shared" si="345"/>
        <v>236.9185279234307</v>
      </c>
      <c r="AP148" s="196">
        <f t="shared" si="346"/>
        <v>10744.383878478162</v>
      </c>
      <c r="AQ148" s="197">
        <f t="shared" si="347"/>
        <v>1839.2191513112327</v>
      </c>
      <c r="AR148" s="197">
        <f t="shared" si="348"/>
        <v>9036.5434951799125</v>
      </c>
      <c r="AS148" s="197">
        <f t="shared" si="349"/>
        <v>1707.8403832982499</v>
      </c>
      <c r="AT148" s="199">
        <f t="shared" si="350"/>
        <v>3547.0595346094824</v>
      </c>
      <c r="AX148" s="881">
        <v>11</v>
      </c>
      <c r="AY148" s="892">
        <f>'Arable Inputs'!$H$18</f>
        <v>12</v>
      </c>
      <c r="AZ148" s="747">
        <f>'Arable Inputs'!$H$25</f>
        <v>107.1</v>
      </c>
      <c r="BA148" s="749">
        <f t="shared" si="351"/>
        <v>1285.1999999999998</v>
      </c>
      <c r="BB148" s="197">
        <f>'Arable NPV'!$D127</f>
        <v>220</v>
      </c>
      <c r="BC148" s="197">
        <f t="shared" si="395"/>
        <v>1505.1999999999998</v>
      </c>
      <c r="BD148" s="197">
        <f>'Arable NPV'!$F127</f>
        <v>528.51499999999999</v>
      </c>
      <c r="BE148" s="197">
        <f>'Arable NPV'!$G127</f>
        <v>552.40000000000009</v>
      </c>
      <c r="BF148" s="197">
        <f t="shared" si="352"/>
        <v>1080.915</v>
      </c>
      <c r="BG148" s="197">
        <f t="shared" si="353"/>
        <v>204.28499999999985</v>
      </c>
      <c r="BH148" s="197">
        <f t="shared" si="354"/>
        <v>424.28499999999985</v>
      </c>
      <c r="BI148" s="196">
        <f t="shared" si="355"/>
        <v>1054.3116349995494</v>
      </c>
      <c r="BJ148" s="197">
        <f t="shared" si="356"/>
        <v>180.47662597253415</v>
      </c>
      <c r="BK148" s="197">
        <f t="shared" si="357"/>
        <v>886.7267825595535</v>
      </c>
      <c r="BL148" s="197">
        <f t="shared" si="358"/>
        <v>167.58485243999598</v>
      </c>
      <c r="BM148" s="199">
        <f t="shared" si="359"/>
        <v>348.06147841253016</v>
      </c>
      <c r="BN148" s="196">
        <f t="shared" si="360"/>
        <v>12829.61825002252</v>
      </c>
      <c r="BO148" s="197">
        <f t="shared" si="361"/>
        <v>2196.1687013732922</v>
      </c>
      <c r="BP148" s="197">
        <f t="shared" si="362"/>
        <v>10790.325872022326</v>
      </c>
      <c r="BQ148" s="197">
        <f t="shared" si="363"/>
        <v>2039.2923780001936</v>
      </c>
      <c r="BR148" s="199">
        <f t="shared" si="364"/>
        <v>4235.4610793734855</v>
      </c>
      <c r="BV148" s="881">
        <v>11</v>
      </c>
      <c r="BW148" s="892">
        <f>'Arable Inputs'!$H$18</f>
        <v>12</v>
      </c>
      <c r="BX148" s="747">
        <f>'Arable Inputs'!$H$25</f>
        <v>107.1</v>
      </c>
      <c r="BY148" s="749">
        <f t="shared" si="365"/>
        <v>1285.1999999999998</v>
      </c>
      <c r="BZ148" s="197">
        <f>'Arable NPV'!$D127</f>
        <v>220</v>
      </c>
      <c r="CA148" s="197">
        <f t="shared" si="396"/>
        <v>1505.1999999999998</v>
      </c>
      <c r="CB148" s="197">
        <f>'Arable NPV'!$F127</f>
        <v>528.51499999999999</v>
      </c>
      <c r="CC148" s="197">
        <f>'Arable NPV'!$G127</f>
        <v>552.40000000000009</v>
      </c>
      <c r="CD148" s="197">
        <f t="shared" si="366"/>
        <v>1080.915</v>
      </c>
      <c r="CE148" s="197">
        <f t="shared" si="367"/>
        <v>204.28499999999985</v>
      </c>
      <c r="CF148" s="197">
        <f t="shared" si="368"/>
        <v>424.28499999999985</v>
      </c>
      <c r="CG148" s="196">
        <f t="shared" si="369"/>
        <v>595.2962708864361</v>
      </c>
      <c r="CH148" s="197">
        <f t="shared" si="370"/>
        <v>101.90256737863054</v>
      </c>
      <c r="CI148" s="197">
        <f t="shared" si="371"/>
        <v>500.67278917305646</v>
      </c>
      <c r="CJ148" s="197">
        <f t="shared" si="372"/>
        <v>94.623481713379661</v>
      </c>
      <c r="CK148" s="199">
        <f t="shared" si="373"/>
        <v>196.5260490920102</v>
      </c>
      <c r="CL148" s="196">
        <f t="shared" si="374"/>
        <v>9908.9966139195403</v>
      </c>
      <c r="CM148" s="197">
        <f t="shared" si="375"/>
        <v>1696.2179077671174</v>
      </c>
      <c r="CN148" s="197">
        <f t="shared" si="376"/>
        <v>8333.9426353367908</v>
      </c>
      <c r="CO148" s="197">
        <f t="shared" si="377"/>
        <v>1575.0539785827516</v>
      </c>
      <c r="CP148" s="199">
        <f t="shared" si="378"/>
        <v>3271.2718863498681</v>
      </c>
      <c r="CT148" s="881">
        <v>11</v>
      </c>
      <c r="CU148" s="892">
        <f>'Arable Inputs'!$H$18</f>
        <v>12</v>
      </c>
      <c r="CV148" s="747">
        <f>'Arable Inputs'!$H$25</f>
        <v>107.1</v>
      </c>
      <c r="CW148" s="749">
        <f t="shared" si="379"/>
        <v>1285.1999999999998</v>
      </c>
      <c r="CX148" s="197">
        <f>'Arable NPV'!$D127</f>
        <v>220</v>
      </c>
      <c r="CY148" s="197">
        <f t="shared" si="397"/>
        <v>1505.1999999999998</v>
      </c>
      <c r="CZ148" s="197">
        <f>'Arable NPV'!$F127</f>
        <v>528.51499999999999</v>
      </c>
      <c r="DA148" s="197">
        <f>'Arable NPV'!$G127</f>
        <v>552.40000000000009</v>
      </c>
      <c r="DB148" s="197">
        <f t="shared" si="380"/>
        <v>1080.915</v>
      </c>
      <c r="DC148" s="197">
        <f t="shared" si="381"/>
        <v>204.28499999999985</v>
      </c>
      <c r="DD148" s="197">
        <f t="shared" si="382"/>
        <v>424.28499999999985</v>
      </c>
      <c r="DE148" s="196">
        <f t="shared" si="383"/>
        <v>1285.1999999999998</v>
      </c>
      <c r="DF148" s="197">
        <f t="shared" si="384"/>
        <v>220</v>
      </c>
      <c r="DG148" s="197">
        <f t="shared" si="385"/>
        <v>1080.915</v>
      </c>
      <c r="DH148" s="197">
        <f t="shared" si="386"/>
        <v>204.28499999999985</v>
      </c>
      <c r="DI148" s="199">
        <f t="shared" si="387"/>
        <v>424.28499999999985</v>
      </c>
      <c r="DJ148" s="196">
        <f t="shared" si="388"/>
        <v>14137.2</v>
      </c>
      <c r="DK148" s="197">
        <f t="shared" si="389"/>
        <v>2420</v>
      </c>
      <c r="DL148" s="197">
        <f t="shared" si="390"/>
        <v>11890.065000000002</v>
      </c>
      <c r="DM148" s="197">
        <f t="shared" si="391"/>
        <v>2247.1349999999984</v>
      </c>
      <c r="DN148" s="199">
        <f t="shared" si="392"/>
        <v>4667.1349999999984</v>
      </c>
    </row>
    <row r="149" spans="2:118" x14ac:dyDescent="0.3">
      <c r="B149" s="881">
        <v>12</v>
      </c>
      <c r="C149" s="892">
        <f>'Arable Inputs'!$H$18</f>
        <v>12</v>
      </c>
      <c r="D149" s="747">
        <f>'Arable Inputs'!$H$25</f>
        <v>107.1</v>
      </c>
      <c r="E149" s="749">
        <f t="shared" si="327"/>
        <v>1285.1999999999998</v>
      </c>
      <c r="F149" s="197">
        <f>'Arable NPV'!$D128</f>
        <v>220</v>
      </c>
      <c r="G149" s="197">
        <f t="shared" si="393"/>
        <v>1505.1999999999998</v>
      </c>
      <c r="H149" s="197">
        <f>'Arable NPV'!$F128</f>
        <v>528.51499999999999</v>
      </c>
      <c r="I149" s="197">
        <f>'Arable NPV'!$G128</f>
        <v>552.40000000000009</v>
      </c>
      <c r="J149" s="197">
        <f t="shared" si="328"/>
        <v>1080.915</v>
      </c>
      <c r="K149" s="197">
        <f t="shared" si="329"/>
        <v>204.28499999999985</v>
      </c>
      <c r="L149" s="197">
        <f t="shared" si="330"/>
        <v>424.28499999999985</v>
      </c>
      <c r="M149" s="196">
        <f t="shared" si="331"/>
        <v>834.84141324511177</v>
      </c>
      <c r="N149" s="197">
        <f t="shared" si="332"/>
        <v>142.90780494391893</v>
      </c>
      <c r="O149" s="197">
        <f t="shared" si="333"/>
        <v>702.14177264070963</v>
      </c>
      <c r="P149" s="197">
        <f t="shared" si="334"/>
        <v>132.69964060440208</v>
      </c>
      <c r="Q149" s="199">
        <f t="shared" si="335"/>
        <v>275.60744554832104</v>
      </c>
      <c r="R149" s="196">
        <f t="shared" si="336"/>
        <v>12544.16466887219</v>
      </c>
      <c r="S149" s="197">
        <f t="shared" si="336"/>
        <v>2147.304876402025</v>
      </c>
      <c r="T149" s="197">
        <f t="shared" si="336"/>
        <v>10550.245683982248</v>
      </c>
      <c r="U149" s="197">
        <f t="shared" si="336"/>
        <v>1993.9189848899425</v>
      </c>
      <c r="V149" s="199">
        <f t="shared" si="336"/>
        <v>4141.2238612919673</v>
      </c>
      <c r="Z149" s="881">
        <v>12</v>
      </c>
      <c r="AA149" s="892">
        <f>'Arable Inputs'!$H$18</f>
        <v>12</v>
      </c>
      <c r="AB149" s="747">
        <f>'Arable Inputs'!$H$25</f>
        <v>107.1</v>
      </c>
      <c r="AC149" s="749">
        <f t="shared" si="337"/>
        <v>1285.1999999999998</v>
      </c>
      <c r="AD149" s="197">
        <f>'Arable NPV'!$D128</f>
        <v>220</v>
      </c>
      <c r="AE149" s="197">
        <f t="shared" si="394"/>
        <v>1505.1999999999998</v>
      </c>
      <c r="AF149" s="197">
        <f>'Arable NPV'!$F128</f>
        <v>528.51499999999999</v>
      </c>
      <c r="AG149" s="197">
        <f>'Arable NPV'!$G128</f>
        <v>552.40000000000009</v>
      </c>
      <c r="AH149" s="197">
        <f t="shared" si="338"/>
        <v>1080.915</v>
      </c>
      <c r="AI149" s="197">
        <f t="shared" si="339"/>
        <v>204.28499999999985</v>
      </c>
      <c r="AJ149" s="197">
        <f t="shared" si="340"/>
        <v>424.28499999999985</v>
      </c>
      <c r="AK149" s="196">
        <f t="shared" si="341"/>
        <v>677.02732763331062</v>
      </c>
      <c r="AL149" s="197">
        <f t="shared" si="342"/>
        <v>115.89325558615653</v>
      </c>
      <c r="AM149" s="197">
        <f t="shared" si="343"/>
        <v>569.41253800868355</v>
      </c>
      <c r="AN149" s="197">
        <f t="shared" si="344"/>
        <v>107.61478962462712</v>
      </c>
      <c r="AO149" s="199">
        <f t="shared" si="345"/>
        <v>223.50804521078365</v>
      </c>
      <c r="AP149" s="196">
        <f t="shared" si="346"/>
        <v>11421.411206111472</v>
      </c>
      <c r="AQ149" s="197">
        <f t="shared" si="347"/>
        <v>1955.1124068973893</v>
      </c>
      <c r="AR149" s="197">
        <f t="shared" si="348"/>
        <v>9605.9560331885968</v>
      </c>
      <c r="AS149" s="197">
        <f t="shared" si="349"/>
        <v>1815.455172922877</v>
      </c>
      <c r="AT149" s="199">
        <f t="shared" si="350"/>
        <v>3770.567579820266</v>
      </c>
      <c r="AX149" s="881">
        <v>12</v>
      </c>
      <c r="AY149" s="892">
        <f>'Arable Inputs'!$H$18</f>
        <v>12</v>
      </c>
      <c r="AZ149" s="747">
        <f>'Arable Inputs'!$H$25</f>
        <v>107.1</v>
      </c>
      <c r="BA149" s="749">
        <f t="shared" si="351"/>
        <v>1285.1999999999998</v>
      </c>
      <c r="BB149" s="197">
        <f>'Arable NPV'!$D128</f>
        <v>220</v>
      </c>
      <c r="BC149" s="197">
        <f t="shared" si="395"/>
        <v>1505.1999999999998</v>
      </c>
      <c r="BD149" s="197">
        <f>'Arable NPV'!$F128</f>
        <v>528.51499999999999</v>
      </c>
      <c r="BE149" s="197">
        <f>'Arable NPV'!$G128</f>
        <v>552.40000000000009</v>
      </c>
      <c r="BF149" s="197">
        <f t="shared" si="352"/>
        <v>1080.915</v>
      </c>
      <c r="BG149" s="197">
        <f t="shared" si="353"/>
        <v>204.28499999999985</v>
      </c>
      <c r="BH149" s="197">
        <f t="shared" si="354"/>
        <v>424.28499999999985</v>
      </c>
      <c r="BI149" s="196">
        <f t="shared" si="355"/>
        <v>1033.6388578426956</v>
      </c>
      <c r="BJ149" s="197">
        <f t="shared" si="356"/>
        <v>176.93786860052373</v>
      </c>
      <c r="BK149" s="197">
        <f t="shared" si="357"/>
        <v>869.33998290152317</v>
      </c>
      <c r="BL149" s="197">
        <f t="shared" si="358"/>
        <v>164.29887494117256</v>
      </c>
      <c r="BM149" s="199">
        <f t="shared" si="359"/>
        <v>341.23674354169628</v>
      </c>
      <c r="BN149" s="196">
        <f t="shared" si="360"/>
        <v>13863.257107865216</v>
      </c>
      <c r="BO149" s="197">
        <f t="shared" si="361"/>
        <v>2373.106569973816</v>
      </c>
      <c r="BP149" s="197">
        <f t="shared" si="362"/>
        <v>11659.665854923849</v>
      </c>
      <c r="BQ149" s="197">
        <f t="shared" si="363"/>
        <v>2203.5912529413663</v>
      </c>
      <c r="BR149" s="199">
        <f t="shared" si="364"/>
        <v>4576.6978229151819</v>
      </c>
      <c r="BV149" s="881">
        <v>12</v>
      </c>
      <c r="BW149" s="892">
        <f>'Arable Inputs'!$H$18</f>
        <v>12</v>
      </c>
      <c r="BX149" s="747">
        <f>'Arable Inputs'!$H$25</f>
        <v>107.1</v>
      </c>
      <c r="BY149" s="749">
        <f t="shared" si="365"/>
        <v>1285.1999999999998</v>
      </c>
      <c r="BZ149" s="197">
        <f>'Arable NPV'!$D128</f>
        <v>220</v>
      </c>
      <c r="CA149" s="197">
        <f t="shared" si="396"/>
        <v>1505.1999999999998</v>
      </c>
      <c r="CB149" s="197">
        <f>'Arable NPV'!$F128</f>
        <v>528.51499999999999</v>
      </c>
      <c r="CC149" s="197">
        <f>'Arable NPV'!$G128</f>
        <v>552.40000000000009</v>
      </c>
      <c r="CD149" s="197">
        <f t="shared" si="366"/>
        <v>1080.915</v>
      </c>
      <c r="CE149" s="197">
        <f t="shared" si="367"/>
        <v>204.28499999999985</v>
      </c>
      <c r="CF149" s="197">
        <f t="shared" si="368"/>
        <v>424.28499999999985</v>
      </c>
      <c r="CG149" s="196">
        <f t="shared" si="369"/>
        <v>551.20025082077416</v>
      </c>
      <c r="CH149" s="197">
        <f t="shared" si="370"/>
        <v>94.354229054287529</v>
      </c>
      <c r="CI149" s="197">
        <f t="shared" si="371"/>
        <v>463.58591590097819</v>
      </c>
      <c r="CJ149" s="197">
        <f t="shared" si="372"/>
        <v>87.614334919795979</v>
      </c>
      <c r="CK149" s="199">
        <f t="shared" si="373"/>
        <v>181.96856397408351</v>
      </c>
      <c r="CL149" s="196">
        <f t="shared" si="374"/>
        <v>10460.196864740314</v>
      </c>
      <c r="CM149" s="197">
        <f t="shared" si="375"/>
        <v>1790.5721368214049</v>
      </c>
      <c r="CN149" s="197">
        <f t="shared" si="376"/>
        <v>8797.5285512377686</v>
      </c>
      <c r="CO149" s="197">
        <f t="shared" si="377"/>
        <v>1662.6683135025476</v>
      </c>
      <c r="CP149" s="199">
        <f t="shared" si="378"/>
        <v>3453.2404503239513</v>
      </c>
      <c r="CT149" s="881">
        <v>12</v>
      </c>
      <c r="CU149" s="892">
        <f>'Arable Inputs'!$H$18</f>
        <v>12</v>
      </c>
      <c r="CV149" s="747">
        <f>'Arable Inputs'!$H$25</f>
        <v>107.1</v>
      </c>
      <c r="CW149" s="749">
        <f t="shared" si="379"/>
        <v>1285.1999999999998</v>
      </c>
      <c r="CX149" s="197">
        <f>'Arable NPV'!$D128</f>
        <v>220</v>
      </c>
      <c r="CY149" s="197">
        <f t="shared" si="397"/>
        <v>1505.1999999999998</v>
      </c>
      <c r="CZ149" s="197">
        <f>'Arable NPV'!$F128</f>
        <v>528.51499999999999</v>
      </c>
      <c r="DA149" s="197">
        <f>'Arable NPV'!$G128</f>
        <v>552.40000000000009</v>
      </c>
      <c r="DB149" s="197">
        <f t="shared" si="380"/>
        <v>1080.915</v>
      </c>
      <c r="DC149" s="197">
        <f t="shared" si="381"/>
        <v>204.28499999999985</v>
      </c>
      <c r="DD149" s="197">
        <f t="shared" si="382"/>
        <v>424.28499999999985</v>
      </c>
      <c r="DE149" s="196">
        <f t="shared" si="383"/>
        <v>1285.1999999999998</v>
      </c>
      <c r="DF149" s="197">
        <f t="shared" si="384"/>
        <v>220</v>
      </c>
      <c r="DG149" s="197">
        <f t="shared" si="385"/>
        <v>1080.915</v>
      </c>
      <c r="DH149" s="197">
        <f t="shared" si="386"/>
        <v>204.28499999999985</v>
      </c>
      <c r="DI149" s="199">
        <f t="shared" si="387"/>
        <v>424.28499999999985</v>
      </c>
      <c r="DJ149" s="196">
        <f t="shared" si="388"/>
        <v>15422.400000000001</v>
      </c>
      <c r="DK149" s="197">
        <f t="shared" si="389"/>
        <v>2640</v>
      </c>
      <c r="DL149" s="197">
        <f t="shared" si="390"/>
        <v>12970.980000000003</v>
      </c>
      <c r="DM149" s="197">
        <f t="shared" si="391"/>
        <v>2451.4199999999983</v>
      </c>
      <c r="DN149" s="199">
        <f t="shared" si="392"/>
        <v>5091.4199999999983</v>
      </c>
    </row>
    <row r="150" spans="2:118" x14ac:dyDescent="0.3">
      <c r="B150" s="881">
        <v>13</v>
      </c>
      <c r="C150" s="892">
        <f>'Arable Inputs'!$H$18</f>
        <v>12</v>
      </c>
      <c r="D150" s="747">
        <f>'Arable Inputs'!$H$25</f>
        <v>107.1</v>
      </c>
      <c r="E150" s="749">
        <f t="shared" si="327"/>
        <v>1285.1999999999998</v>
      </c>
      <c r="F150" s="197">
        <f>'Arable NPV'!$D129</f>
        <v>220</v>
      </c>
      <c r="G150" s="197">
        <f t="shared" si="393"/>
        <v>1505.1999999999998</v>
      </c>
      <c r="H150" s="197">
        <f>'Arable NPV'!$F129</f>
        <v>528.51499999999999</v>
      </c>
      <c r="I150" s="197">
        <f>'Arable NPV'!$G129</f>
        <v>552.40000000000009</v>
      </c>
      <c r="J150" s="197">
        <f t="shared" si="328"/>
        <v>1080.915</v>
      </c>
      <c r="K150" s="197">
        <f t="shared" si="329"/>
        <v>204.28499999999985</v>
      </c>
      <c r="L150" s="197">
        <f t="shared" si="330"/>
        <v>424.28499999999985</v>
      </c>
      <c r="M150" s="196">
        <f t="shared" si="331"/>
        <v>802.73212812029965</v>
      </c>
      <c r="N150" s="197">
        <f t="shared" si="332"/>
        <v>137.41135090761432</v>
      </c>
      <c r="O150" s="197">
        <f t="shared" si="333"/>
        <v>675.13631984683605</v>
      </c>
      <c r="P150" s="197">
        <f t="shared" si="334"/>
        <v>127.59580827346352</v>
      </c>
      <c r="Q150" s="199">
        <f t="shared" si="335"/>
        <v>265.00715918107784</v>
      </c>
      <c r="R150" s="196">
        <f t="shared" si="336"/>
        <v>13346.896796992491</v>
      </c>
      <c r="S150" s="197">
        <f t="shared" si="336"/>
        <v>2284.7162273096392</v>
      </c>
      <c r="T150" s="197">
        <f t="shared" si="336"/>
        <v>11225.382003829083</v>
      </c>
      <c r="U150" s="197">
        <f t="shared" si="336"/>
        <v>2121.514793163406</v>
      </c>
      <c r="V150" s="199">
        <f t="shared" si="336"/>
        <v>4406.2310204730447</v>
      </c>
      <c r="Z150" s="881">
        <v>13</v>
      </c>
      <c r="AA150" s="892">
        <f>'Arable Inputs'!$H$18</f>
        <v>12</v>
      </c>
      <c r="AB150" s="747">
        <f>'Arable Inputs'!$H$25</f>
        <v>107.1</v>
      </c>
      <c r="AC150" s="749">
        <f t="shared" si="337"/>
        <v>1285.1999999999998</v>
      </c>
      <c r="AD150" s="197">
        <f>'Arable NPV'!$D129</f>
        <v>220</v>
      </c>
      <c r="AE150" s="197">
        <f t="shared" si="394"/>
        <v>1505.1999999999998</v>
      </c>
      <c r="AF150" s="197">
        <f>'Arable NPV'!$F129</f>
        <v>528.51499999999999</v>
      </c>
      <c r="AG150" s="197">
        <f>'Arable NPV'!$G129</f>
        <v>552.40000000000009</v>
      </c>
      <c r="AH150" s="197">
        <f t="shared" si="338"/>
        <v>1080.915</v>
      </c>
      <c r="AI150" s="197">
        <f t="shared" si="339"/>
        <v>204.28499999999985</v>
      </c>
      <c r="AJ150" s="197">
        <f t="shared" si="340"/>
        <v>424.28499999999985</v>
      </c>
      <c r="AK150" s="196">
        <f t="shared" si="341"/>
        <v>638.70502606916091</v>
      </c>
      <c r="AL150" s="197">
        <f t="shared" si="342"/>
        <v>109.33325998694011</v>
      </c>
      <c r="AM150" s="197">
        <f t="shared" si="343"/>
        <v>537.1816396308335</v>
      </c>
      <c r="AN150" s="197">
        <f t="shared" si="344"/>
        <v>101.52338643832748</v>
      </c>
      <c r="AO150" s="199">
        <f t="shared" si="345"/>
        <v>210.85664642526757</v>
      </c>
      <c r="AP150" s="196">
        <f t="shared" si="346"/>
        <v>12060.116232180633</v>
      </c>
      <c r="AQ150" s="197">
        <f t="shared" si="347"/>
        <v>2064.4456668843295</v>
      </c>
      <c r="AR150" s="197">
        <f t="shared" si="348"/>
        <v>10143.13767281943</v>
      </c>
      <c r="AS150" s="197">
        <f t="shared" si="349"/>
        <v>1916.9785593612044</v>
      </c>
      <c r="AT150" s="199">
        <f t="shared" si="350"/>
        <v>3981.4242262455336</v>
      </c>
      <c r="AX150" s="881">
        <v>13</v>
      </c>
      <c r="AY150" s="892">
        <f>'Arable Inputs'!$H$18</f>
        <v>12</v>
      </c>
      <c r="AZ150" s="747">
        <f>'Arable Inputs'!$H$25</f>
        <v>107.1</v>
      </c>
      <c r="BA150" s="749">
        <f t="shared" si="351"/>
        <v>1285.1999999999998</v>
      </c>
      <c r="BB150" s="197">
        <f>'Arable NPV'!$D129</f>
        <v>220</v>
      </c>
      <c r="BC150" s="197">
        <f t="shared" si="395"/>
        <v>1505.1999999999998</v>
      </c>
      <c r="BD150" s="197">
        <f>'Arable NPV'!$F129</f>
        <v>528.51499999999999</v>
      </c>
      <c r="BE150" s="197">
        <f>'Arable NPV'!$G129</f>
        <v>552.40000000000009</v>
      </c>
      <c r="BF150" s="197">
        <f t="shared" si="352"/>
        <v>1080.915</v>
      </c>
      <c r="BG150" s="197">
        <f t="shared" si="353"/>
        <v>204.28499999999985</v>
      </c>
      <c r="BH150" s="197">
        <f t="shared" si="354"/>
        <v>424.28499999999985</v>
      </c>
      <c r="BI150" s="196">
        <f t="shared" si="355"/>
        <v>1013.3714292575446</v>
      </c>
      <c r="BJ150" s="197">
        <f t="shared" si="356"/>
        <v>173.46849862796441</v>
      </c>
      <c r="BK150" s="197">
        <f t="shared" si="357"/>
        <v>852.29410088384611</v>
      </c>
      <c r="BL150" s="197">
        <f t="shared" si="358"/>
        <v>161.07732837369855</v>
      </c>
      <c r="BM150" s="199">
        <f t="shared" si="359"/>
        <v>334.54582700166299</v>
      </c>
      <c r="BN150" s="196">
        <f t="shared" si="360"/>
        <v>14876.62853712276</v>
      </c>
      <c r="BO150" s="197">
        <f t="shared" si="361"/>
        <v>2546.5750686017805</v>
      </c>
      <c r="BP150" s="197">
        <f t="shared" si="362"/>
        <v>12511.959955807695</v>
      </c>
      <c r="BQ150" s="197">
        <f t="shared" si="363"/>
        <v>2364.6685813150648</v>
      </c>
      <c r="BR150" s="199">
        <f t="shared" si="364"/>
        <v>4911.2436499168452</v>
      </c>
      <c r="BV150" s="881">
        <v>13</v>
      </c>
      <c r="BW150" s="892">
        <f>'Arable Inputs'!$H$18</f>
        <v>12</v>
      </c>
      <c r="BX150" s="747">
        <f>'Arable Inputs'!$H$25</f>
        <v>107.1</v>
      </c>
      <c r="BY150" s="749">
        <f t="shared" si="365"/>
        <v>1285.1999999999998</v>
      </c>
      <c r="BZ150" s="197">
        <f>'Arable NPV'!$D129</f>
        <v>220</v>
      </c>
      <c r="CA150" s="197">
        <f t="shared" si="396"/>
        <v>1505.1999999999998</v>
      </c>
      <c r="CB150" s="197">
        <f>'Arable NPV'!$F129</f>
        <v>528.51499999999999</v>
      </c>
      <c r="CC150" s="197">
        <f>'Arable NPV'!$G129</f>
        <v>552.40000000000009</v>
      </c>
      <c r="CD150" s="197">
        <f t="shared" si="366"/>
        <v>1080.915</v>
      </c>
      <c r="CE150" s="197">
        <f t="shared" si="367"/>
        <v>204.28499999999985</v>
      </c>
      <c r="CF150" s="197">
        <f t="shared" si="368"/>
        <v>424.28499999999985</v>
      </c>
      <c r="CG150" s="196">
        <f t="shared" si="369"/>
        <v>510.37060261182791</v>
      </c>
      <c r="CH150" s="197">
        <f t="shared" si="370"/>
        <v>87.365026902118075</v>
      </c>
      <c r="CI150" s="197">
        <f t="shared" si="371"/>
        <v>429.24621842683166</v>
      </c>
      <c r="CJ150" s="197">
        <f t="shared" si="372"/>
        <v>81.124384184996273</v>
      </c>
      <c r="CK150" s="199">
        <f t="shared" si="373"/>
        <v>168.48941108711435</v>
      </c>
      <c r="CL150" s="196">
        <f t="shared" si="374"/>
        <v>10970.567467352141</v>
      </c>
      <c r="CM150" s="197">
        <f t="shared" si="375"/>
        <v>1877.9371637235231</v>
      </c>
      <c r="CN150" s="197">
        <f t="shared" si="376"/>
        <v>9226.7747696646002</v>
      </c>
      <c r="CO150" s="197">
        <f t="shared" si="377"/>
        <v>1743.7926976875438</v>
      </c>
      <c r="CP150" s="199">
        <f t="shared" si="378"/>
        <v>3621.7298614110655</v>
      </c>
      <c r="CT150" s="881">
        <v>13</v>
      </c>
      <c r="CU150" s="892">
        <f>'Arable Inputs'!$H$18</f>
        <v>12</v>
      </c>
      <c r="CV150" s="747">
        <f>'Arable Inputs'!$H$25</f>
        <v>107.1</v>
      </c>
      <c r="CW150" s="749">
        <f t="shared" si="379"/>
        <v>1285.1999999999998</v>
      </c>
      <c r="CX150" s="197">
        <f>'Arable NPV'!$D129</f>
        <v>220</v>
      </c>
      <c r="CY150" s="197">
        <f t="shared" si="397"/>
        <v>1505.1999999999998</v>
      </c>
      <c r="CZ150" s="197">
        <f>'Arable NPV'!$F129</f>
        <v>528.51499999999999</v>
      </c>
      <c r="DA150" s="197">
        <f>'Arable NPV'!$G129</f>
        <v>552.40000000000009</v>
      </c>
      <c r="DB150" s="197">
        <f t="shared" si="380"/>
        <v>1080.915</v>
      </c>
      <c r="DC150" s="197">
        <f t="shared" si="381"/>
        <v>204.28499999999985</v>
      </c>
      <c r="DD150" s="197">
        <f t="shared" si="382"/>
        <v>424.28499999999985</v>
      </c>
      <c r="DE150" s="196">
        <f t="shared" si="383"/>
        <v>1285.1999999999998</v>
      </c>
      <c r="DF150" s="197">
        <f t="shared" si="384"/>
        <v>220</v>
      </c>
      <c r="DG150" s="197">
        <f t="shared" si="385"/>
        <v>1080.915</v>
      </c>
      <c r="DH150" s="197">
        <f t="shared" si="386"/>
        <v>204.28499999999985</v>
      </c>
      <c r="DI150" s="199">
        <f t="shared" si="387"/>
        <v>424.28499999999985</v>
      </c>
      <c r="DJ150" s="196">
        <f t="shared" si="388"/>
        <v>16707.600000000002</v>
      </c>
      <c r="DK150" s="197">
        <f t="shared" si="389"/>
        <v>2860</v>
      </c>
      <c r="DL150" s="197">
        <f t="shared" si="390"/>
        <v>14051.895000000004</v>
      </c>
      <c r="DM150" s="197">
        <f t="shared" si="391"/>
        <v>2655.7049999999981</v>
      </c>
      <c r="DN150" s="199">
        <f t="shared" si="392"/>
        <v>5515.7049999999981</v>
      </c>
    </row>
    <row r="151" spans="2:118" x14ac:dyDescent="0.3">
      <c r="B151" s="881">
        <v>14</v>
      </c>
      <c r="C151" s="892">
        <f>'Arable Inputs'!$H$18</f>
        <v>12</v>
      </c>
      <c r="D151" s="747">
        <f>'Arable Inputs'!$H$25</f>
        <v>107.1</v>
      </c>
      <c r="E151" s="749">
        <f t="shared" si="327"/>
        <v>1285.1999999999998</v>
      </c>
      <c r="F151" s="197">
        <f>'Arable NPV'!$D130</f>
        <v>220</v>
      </c>
      <c r="G151" s="197">
        <f t="shared" si="393"/>
        <v>1505.1999999999998</v>
      </c>
      <c r="H151" s="197">
        <f>'Arable NPV'!$F130</f>
        <v>528.51499999999999</v>
      </c>
      <c r="I151" s="197">
        <f>'Arable NPV'!$G130</f>
        <v>552.40000000000009</v>
      </c>
      <c r="J151" s="197">
        <f t="shared" si="328"/>
        <v>1080.915</v>
      </c>
      <c r="K151" s="197">
        <f t="shared" si="329"/>
        <v>204.28499999999985</v>
      </c>
      <c r="L151" s="197">
        <f t="shared" si="330"/>
        <v>424.28499999999985</v>
      </c>
      <c r="M151" s="196">
        <f t="shared" si="331"/>
        <v>771.8578155002881</v>
      </c>
      <c r="N151" s="197">
        <f t="shared" si="332"/>
        <v>132.12629894962916</v>
      </c>
      <c r="O151" s="197">
        <f t="shared" si="333"/>
        <v>649.16953831426542</v>
      </c>
      <c r="P151" s="197">
        <f t="shared" si="334"/>
        <v>122.6882771860226</v>
      </c>
      <c r="Q151" s="199">
        <f t="shared" si="335"/>
        <v>254.81457613565178</v>
      </c>
      <c r="R151" s="196">
        <f t="shared" si="336"/>
        <v>14118.754612492779</v>
      </c>
      <c r="S151" s="197">
        <f t="shared" si="336"/>
        <v>2416.8425262592682</v>
      </c>
      <c r="T151" s="197">
        <f t="shared" si="336"/>
        <v>11874.551542143348</v>
      </c>
      <c r="U151" s="197">
        <f t="shared" si="336"/>
        <v>2244.2030703494288</v>
      </c>
      <c r="V151" s="199">
        <f t="shared" si="336"/>
        <v>4661.0455966086965</v>
      </c>
      <c r="Z151" s="881">
        <v>14</v>
      </c>
      <c r="AA151" s="892">
        <f>'Arable Inputs'!$H$18</f>
        <v>12</v>
      </c>
      <c r="AB151" s="747">
        <f>'Arable Inputs'!$H$25</f>
        <v>107.1</v>
      </c>
      <c r="AC151" s="749">
        <f t="shared" si="337"/>
        <v>1285.1999999999998</v>
      </c>
      <c r="AD151" s="197">
        <f>'Arable NPV'!$D130</f>
        <v>220</v>
      </c>
      <c r="AE151" s="197">
        <f t="shared" si="394"/>
        <v>1505.1999999999998</v>
      </c>
      <c r="AF151" s="197">
        <f>'Arable NPV'!$F130</f>
        <v>528.51499999999999</v>
      </c>
      <c r="AG151" s="197">
        <f>'Arable NPV'!$G130</f>
        <v>552.40000000000009</v>
      </c>
      <c r="AH151" s="197">
        <f t="shared" si="338"/>
        <v>1080.915</v>
      </c>
      <c r="AI151" s="197">
        <f t="shared" si="339"/>
        <v>204.28499999999985</v>
      </c>
      <c r="AJ151" s="197">
        <f t="shared" si="340"/>
        <v>424.28499999999985</v>
      </c>
      <c r="AK151" s="196">
        <f t="shared" si="341"/>
        <v>602.55191138600082</v>
      </c>
      <c r="AL151" s="197">
        <f t="shared" si="342"/>
        <v>103.14458489333971</v>
      </c>
      <c r="AM151" s="197">
        <f t="shared" si="343"/>
        <v>506.77513172720137</v>
      </c>
      <c r="AN151" s="197">
        <f t="shared" si="344"/>
        <v>95.776779658799498</v>
      </c>
      <c r="AO151" s="199">
        <f t="shared" si="345"/>
        <v>198.92136455213921</v>
      </c>
      <c r="AP151" s="196">
        <f t="shared" si="346"/>
        <v>12662.668143566634</v>
      </c>
      <c r="AQ151" s="197">
        <f t="shared" si="347"/>
        <v>2167.5902517776694</v>
      </c>
      <c r="AR151" s="197">
        <f t="shared" si="348"/>
        <v>10649.912804546631</v>
      </c>
      <c r="AS151" s="197">
        <f t="shared" si="349"/>
        <v>2012.7553390200039</v>
      </c>
      <c r="AT151" s="199">
        <f t="shared" si="350"/>
        <v>4180.3455907976731</v>
      </c>
      <c r="AX151" s="881">
        <v>14</v>
      </c>
      <c r="AY151" s="892">
        <f>'Arable Inputs'!$H$18</f>
        <v>12</v>
      </c>
      <c r="AZ151" s="747">
        <f>'Arable Inputs'!$H$25</f>
        <v>107.1</v>
      </c>
      <c r="BA151" s="749">
        <f t="shared" si="351"/>
        <v>1285.1999999999998</v>
      </c>
      <c r="BB151" s="197">
        <f>'Arable NPV'!$D130</f>
        <v>220</v>
      </c>
      <c r="BC151" s="197">
        <f t="shared" si="395"/>
        <v>1505.1999999999998</v>
      </c>
      <c r="BD151" s="197">
        <f>'Arable NPV'!$F130</f>
        <v>528.51499999999999</v>
      </c>
      <c r="BE151" s="197">
        <f>'Arable NPV'!$G130</f>
        <v>552.40000000000009</v>
      </c>
      <c r="BF151" s="197">
        <f t="shared" si="352"/>
        <v>1080.915</v>
      </c>
      <c r="BG151" s="197">
        <f t="shared" si="353"/>
        <v>204.28499999999985</v>
      </c>
      <c r="BH151" s="197">
        <f t="shared" si="354"/>
        <v>424.28499999999985</v>
      </c>
      <c r="BI151" s="196">
        <f t="shared" si="355"/>
        <v>993.50140123288702</v>
      </c>
      <c r="BJ151" s="197">
        <f t="shared" si="356"/>
        <v>170.06715551761218</v>
      </c>
      <c r="BK151" s="197">
        <f t="shared" si="357"/>
        <v>835.58245184690793</v>
      </c>
      <c r="BL151" s="197">
        <f t="shared" si="358"/>
        <v>157.918949385979</v>
      </c>
      <c r="BM151" s="199">
        <f t="shared" si="359"/>
        <v>327.98610490359118</v>
      </c>
      <c r="BN151" s="196">
        <f t="shared" si="360"/>
        <v>15870.129938355647</v>
      </c>
      <c r="BO151" s="197">
        <f t="shared" si="361"/>
        <v>2716.6422241193927</v>
      </c>
      <c r="BP151" s="197">
        <f t="shared" si="362"/>
        <v>13347.542407654602</v>
      </c>
      <c r="BQ151" s="197">
        <f t="shared" si="363"/>
        <v>2522.5875307010438</v>
      </c>
      <c r="BR151" s="199">
        <f t="shared" si="364"/>
        <v>5239.229754820436</v>
      </c>
      <c r="BV151" s="881">
        <v>14</v>
      </c>
      <c r="BW151" s="892">
        <f>'Arable Inputs'!$H$18</f>
        <v>12</v>
      </c>
      <c r="BX151" s="747">
        <f>'Arable Inputs'!$H$25</f>
        <v>107.1</v>
      </c>
      <c r="BY151" s="749">
        <f t="shared" si="365"/>
        <v>1285.1999999999998</v>
      </c>
      <c r="BZ151" s="197">
        <f>'Arable NPV'!$D130</f>
        <v>220</v>
      </c>
      <c r="CA151" s="197">
        <f t="shared" si="396"/>
        <v>1505.1999999999998</v>
      </c>
      <c r="CB151" s="197">
        <f>'Arable NPV'!$F130</f>
        <v>528.51499999999999</v>
      </c>
      <c r="CC151" s="197">
        <f>'Arable NPV'!$G130</f>
        <v>552.40000000000009</v>
      </c>
      <c r="CD151" s="197">
        <f t="shared" si="366"/>
        <v>1080.915</v>
      </c>
      <c r="CE151" s="197">
        <f t="shared" si="367"/>
        <v>204.28499999999985</v>
      </c>
      <c r="CF151" s="197">
        <f t="shared" si="368"/>
        <v>424.28499999999985</v>
      </c>
      <c r="CG151" s="196">
        <f t="shared" si="369"/>
        <v>472.56537278872952</v>
      </c>
      <c r="CH151" s="197">
        <f t="shared" si="370"/>
        <v>80.89354342788711</v>
      </c>
      <c r="CI151" s="197">
        <f t="shared" si="371"/>
        <v>397.45020224706633</v>
      </c>
      <c r="CJ151" s="197">
        <f t="shared" si="372"/>
        <v>75.115170541663218</v>
      </c>
      <c r="CK151" s="199">
        <f t="shared" si="373"/>
        <v>156.00871396955031</v>
      </c>
      <c r="CL151" s="196">
        <f t="shared" si="374"/>
        <v>11443.13284014087</v>
      </c>
      <c r="CM151" s="197">
        <f t="shared" si="375"/>
        <v>1958.8307071514103</v>
      </c>
      <c r="CN151" s="197">
        <f t="shared" si="376"/>
        <v>9624.2249719116662</v>
      </c>
      <c r="CO151" s="197">
        <f t="shared" si="377"/>
        <v>1818.907868229207</v>
      </c>
      <c r="CP151" s="199">
        <f t="shared" si="378"/>
        <v>3777.7385753806157</v>
      </c>
      <c r="CT151" s="881">
        <v>14</v>
      </c>
      <c r="CU151" s="892">
        <f>'Arable Inputs'!$H$18</f>
        <v>12</v>
      </c>
      <c r="CV151" s="747">
        <f>'Arable Inputs'!$H$25</f>
        <v>107.1</v>
      </c>
      <c r="CW151" s="749">
        <f t="shared" si="379"/>
        <v>1285.1999999999998</v>
      </c>
      <c r="CX151" s="197">
        <f>'Arable NPV'!$D130</f>
        <v>220</v>
      </c>
      <c r="CY151" s="197">
        <f t="shared" si="397"/>
        <v>1505.1999999999998</v>
      </c>
      <c r="CZ151" s="197">
        <f>'Arable NPV'!$F130</f>
        <v>528.51499999999999</v>
      </c>
      <c r="DA151" s="197">
        <f>'Arable NPV'!$G130</f>
        <v>552.40000000000009</v>
      </c>
      <c r="DB151" s="197">
        <f t="shared" si="380"/>
        <v>1080.915</v>
      </c>
      <c r="DC151" s="197">
        <f t="shared" si="381"/>
        <v>204.28499999999985</v>
      </c>
      <c r="DD151" s="197">
        <f t="shared" si="382"/>
        <v>424.28499999999985</v>
      </c>
      <c r="DE151" s="196">
        <f t="shared" si="383"/>
        <v>1285.1999999999998</v>
      </c>
      <c r="DF151" s="197">
        <f t="shared" si="384"/>
        <v>220</v>
      </c>
      <c r="DG151" s="197">
        <f t="shared" si="385"/>
        <v>1080.915</v>
      </c>
      <c r="DH151" s="197">
        <f t="shared" si="386"/>
        <v>204.28499999999985</v>
      </c>
      <c r="DI151" s="199">
        <f t="shared" si="387"/>
        <v>424.28499999999985</v>
      </c>
      <c r="DJ151" s="196">
        <f t="shared" si="388"/>
        <v>17992.800000000003</v>
      </c>
      <c r="DK151" s="197">
        <f t="shared" si="389"/>
        <v>3080</v>
      </c>
      <c r="DL151" s="197">
        <f t="shared" si="390"/>
        <v>15132.810000000005</v>
      </c>
      <c r="DM151" s="197">
        <f t="shared" si="391"/>
        <v>2859.989999999998</v>
      </c>
      <c r="DN151" s="199">
        <f t="shared" si="392"/>
        <v>5939.989999999998</v>
      </c>
    </row>
    <row r="152" spans="2:118" x14ac:dyDescent="0.3">
      <c r="B152" s="881">
        <v>15</v>
      </c>
      <c r="C152" s="892">
        <f>'Arable Inputs'!$H$18</f>
        <v>12</v>
      </c>
      <c r="D152" s="747">
        <f>'Arable Inputs'!$H$25</f>
        <v>107.1</v>
      </c>
      <c r="E152" s="749">
        <f t="shared" si="327"/>
        <v>1285.1999999999998</v>
      </c>
      <c r="F152" s="197">
        <f>'Arable NPV'!$D131</f>
        <v>220</v>
      </c>
      <c r="G152" s="197">
        <f t="shared" si="393"/>
        <v>1505.1999999999998</v>
      </c>
      <c r="H152" s="197">
        <f>'Arable NPV'!$F131</f>
        <v>528.51499999999999</v>
      </c>
      <c r="I152" s="197">
        <f>'Arable NPV'!$G131</f>
        <v>552.40000000000009</v>
      </c>
      <c r="J152" s="197">
        <f t="shared" si="328"/>
        <v>1080.915</v>
      </c>
      <c r="K152" s="197">
        <f t="shared" si="329"/>
        <v>204.28499999999985</v>
      </c>
      <c r="L152" s="197">
        <f t="shared" si="330"/>
        <v>424.28499999999985</v>
      </c>
      <c r="M152" s="196">
        <f t="shared" si="331"/>
        <v>742.17097644258467</v>
      </c>
      <c r="N152" s="197">
        <f t="shared" si="332"/>
        <v>127.04451822079727</v>
      </c>
      <c r="O152" s="197">
        <f t="shared" si="333"/>
        <v>624.20147914833217</v>
      </c>
      <c r="P152" s="197">
        <f t="shared" si="334"/>
        <v>117.96949729425251</v>
      </c>
      <c r="Q152" s="199">
        <f t="shared" si="335"/>
        <v>245.01401551504978</v>
      </c>
      <c r="R152" s="196">
        <f t="shared" si="336"/>
        <v>14860.925588935364</v>
      </c>
      <c r="S152" s="197">
        <f t="shared" si="336"/>
        <v>2543.8870444800655</v>
      </c>
      <c r="T152" s="197">
        <f t="shared" si="336"/>
        <v>12498.753021291681</v>
      </c>
      <c r="U152" s="197">
        <f t="shared" si="336"/>
        <v>2362.1725676436813</v>
      </c>
      <c r="V152" s="199">
        <f t="shared" si="336"/>
        <v>4906.0596121237468</v>
      </c>
      <c r="Z152" s="881">
        <v>15</v>
      </c>
      <c r="AA152" s="892">
        <f>'Arable Inputs'!$H$18</f>
        <v>12</v>
      </c>
      <c r="AB152" s="747">
        <f>'Arable Inputs'!$H$25</f>
        <v>107.1</v>
      </c>
      <c r="AC152" s="749">
        <f t="shared" si="337"/>
        <v>1285.1999999999998</v>
      </c>
      <c r="AD152" s="197">
        <f>'Arable NPV'!$D131</f>
        <v>220</v>
      </c>
      <c r="AE152" s="197">
        <f t="shared" si="394"/>
        <v>1505.1999999999998</v>
      </c>
      <c r="AF152" s="197">
        <f>'Arable NPV'!$F131</f>
        <v>528.51499999999999</v>
      </c>
      <c r="AG152" s="197">
        <f>'Arable NPV'!$G131</f>
        <v>552.40000000000009</v>
      </c>
      <c r="AH152" s="197">
        <f t="shared" si="338"/>
        <v>1080.915</v>
      </c>
      <c r="AI152" s="197">
        <f t="shared" si="339"/>
        <v>204.28499999999985</v>
      </c>
      <c r="AJ152" s="197">
        <f t="shared" si="340"/>
        <v>424.28499999999985</v>
      </c>
      <c r="AK152" s="196">
        <f t="shared" si="341"/>
        <v>568.44519942075556</v>
      </c>
      <c r="AL152" s="197">
        <f t="shared" si="342"/>
        <v>97.306212163528045</v>
      </c>
      <c r="AM152" s="197">
        <f t="shared" si="343"/>
        <v>478.08974691245413</v>
      </c>
      <c r="AN152" s="197">
        <f t="shared" si="344"/>
        <v>90.355452508301411</v>
      </c>
      <c r="AO152" s="199">
        <f t="shared" si="345"/>
        <v>187.66166467182944</v>
      </c>
      <c r="AP152" s="196">
        <f t="shared" si="346"/>
        <v>13231.11334298739</v>
      </c>
      <c r="AQ152" s="197">
        <f t="shared" si="347"/>
        <v>2264.8964639411975</v>
      </c>
      <c r="AR152" s="197">
        <f t="shared" si="348"/>
        <v>11128.002551459085</v>
      </c>
      <c r="AS152" s="197">
        <f t="shared" si="349"/>
        <v>2103.1107915283055</v>
      </c>
      <c r="AT152" s="199">
        <f t="shared" si="350"/>
        <v>4368.0072554695025</v>
      </c>
      <c r="AX152" s="881">
        <v>15</v>
      </c>
      <c r="AY152" s="892">
        <f>'Arable Inputs'!$H$18</f>
        <v>12</v>
      </c>
      <c r="AZ152" s="747">
        <f>'Arable Inputs'!$H$25</f>
        <v>107.1</v>
      </c>
      <c r="BA152" s="749">
        <f t="shared" si="351"/>
        <v>1285.1999999999998</v>
      </c>
      <c r="BB152" s="197">
        <f>'Arable NPV'!$D131</f>
        <v>220</v>
      </c>
      <c r="BC152" s="197">
        <f t="shared" si="395"/>
        <v>1505.1999999999998</v>
      </c>
      <c r="BD152" s="197">
        <f>'Arable NPV'!$F131</f>
        <v>528.51499999999999</v>
      </c>
      <c r="BE152" s="197">
        <f>'Arable NPV'!$G131</f>
        <v>552.40000000000009</v>
      </c>
      <c r="BF152" s="197">
        <f t="shared" si="352"/>
        <v>1080.915</v>
      </c>
      <c r="BG152" s="197">
        <f t="shared" si="353"/>
        <v>204.28499999999985</v>
      </c>
      <c r="BH152" s="197">
        <f t="shared" si="354"/>
        <v>424.28499999999985</v>
      </c>
      <c r="BI152" s="196">
        <f t="shared" si="355"/>
        <v>974.0209816008695</v>
      </c>
      <c r="BJ152" s="197">
        <f t="shared" si="356"/>
        <v>166.73250540942368</v>
      </c>
      <c r="BK152" s="197">
        <f t="shared" si="357"/>
        <v>819.19848220285087</v>
      </c>
      <c r="BL152" s="197">
        <f t="shared" si="358"/>
        <v>154.82249939801861</v>
      </c>
      <c r="BM152" s="199">
        <f t="shared" si="359"/>
        <v>321.55500480744229</v>
      </c>
      <c r="BN152" s="196">
        <f t="shared" si="360"/>
        <v>16844.150919956515</v>
      </c>
      <c r="BO152" s="197">
        <f t="shared" si="361"/>
        <v>2883.3747295288163</v>
      </c>
      <c r="BP152" s="197">
        <f t="shared" si="362"/>
        <v>14166.740889857454</v>
      </c>
      <c r="BQ152" s="197">
        <f t="shared" si="363"/>
        <v>2677.4100300990622</v>
      </c>
      <c r="BR152" s="199">
        <f t="shared" si="364"/>
        <v>5560.784759627878</v>
      </c>
      <c r="BV152" s="881">
        <v>15</v>
      </c>
      <c r="BW152" s="892">
        <f>'Arable Inputs'!$H$18</f>
        <v>12</v>
      </c>
      <c r="BX152" s="747">
        <f>'Arable Inputs'!$H$25</f>
        <v>107.1</v>
      </c>
      <c r="BY152" s="749">
        <f t="shared" si="365"/>
        <v>1285.1999999999998</v>
      </c>
      <c r="BZ152" s="197">
        <f>'Arable NPV'!$D131</f>
        <v>220</v>
      </c>
      <c r="CA152" s="197">
        <f t="shared" si="396"/>
        <v>1505.1999999999998</v>
      </c>
      <c r="CB152" s="197">
        <f>'Arable NPV'!$F131</f>
        <v>528.51499999999999</v>
      </c>
      <c r="CC152" s="197">
        <f>'Arable NPV'!$G131</f>
        <v>552.40000000000009</v>
      </c>
      <c r="CD152" s="197">
        <f t="shared" si="366"/>
        <v>1080.915</v>
      </c>
      <c r="CE152" s="197">
        <f t="shared" si="367"/>
        <v>204.28499999999985</v>
      </c>
      <c r="CF152" s="197">
        <f t="shared" si="368"/>
        <v>424.28499999999985</v>
      </c>
      <c r="CG152" s="196">
        <f t="shared" si="369"/>
        <v>437.56053035993466</v>
      </c>
      <c r="CH152" s="197">
        <f t="shared" si="370"/>
        <v>74.901429099895452</v>
      </c>
      <c r="CI152" s="197">
        <f t="shared" si="371"/>
        <v>368.00944652506138</v>
      </c>
      <c r="CJ152" s="197">
        <f t="shared" si="372"/>
        <v>69.551083834873324</v>
      </c>
      <c r="CK152" s="199">
        <f t="shared" si="373"/>
        <v>144.45251293476878</v>
      </c>
      <c r="CL152" s="196">
        <f t="shared" si="374"/>
        <v>11880.693370500805</v>
      </c>
      <c r="CM152" s="197">
        <f t="shared" si="375"/>
        <v>2033.7321362513057</v>
      </c>
      <c r="CN152" s="197">
        <f t="shared" si="376"/>
        <v>9992.2344184367284</v>
      </c>
      <c r="CO152" s="197">
        <f t="shared" si="377"/>
        <v>1888.4589520640802</v>
      </c>
      <c r="CP152" s="199">
        <f t="shared" si="378"/>
        <v>3922.1910883153846</v>
      </c>
      <c r="CT152" s="881">
        <v>15</v>
      </c>
      <c r="CU152" s="892">
        <f>'Arable Inputs'!$H$18</f>
        <v>12</v>
      </c>
      <c r="CV152" s="747">
        <f>'Arable Inputs'!$H$25</f>
        <v>107.1</v>
      </c>
      <c r="CW152" s="749">
        <f t="shared" si="379"/>
        <v>1285.1999999999998</v>
      </c>
      <c r="CX152" s="197">
        <f>'Arable NPV'!$D131</f>
        <v>220</v>
      </c>
      <c r="CY152" s="197">
        <f t="shared" si="397"/>
        <v>1505.1999999999998</v>
      </c>
      <c r="CZ152" s="197">
        <f>'Arable NPV'!$F131</f>
        <v>528.51499999999999</v>
      </c>
      <c r="DA152" s="197">
        <f>'Arable NPV'!$G131</f>
        <v>552.40000000000009</v>
      </c>
      <c r="DB152" s="197">
        <f t="shared" si="380"/>
        <v>1080.915</v>
      </c>
      <c r="DC152" s="197">
        <f t="shared" si="381"/>
        <v>204.28499999999985</v>
      </c>
      <c r="DD152" s="197">
        <f t="shared" si="382"/>
        <v>424.28499999999985</v>
      </c>
      <c r="DE152" s="196">
        <f t="shared" si="383"/>
        <v>1285.1999999999998</v>
      </c>
      <c r="DF152" s="197">
        <f t="shared" si="384"/>
        <v>220</v>
      </c>
      <c r="DG152" s="197">
        <f t="shared" si="385"/>
        <v>1080.915</v>
      </c>
      <c r="DH152" s="197">
        <f t="shared" si="386"/>
        <v>204.28499999999985</v>
      </c>
      <c r="DI152" s="199">
        <f t="shared" si="387"/>
        <v>424.28499999999985</v>
      </c>
      <c r="DJ152" s="196">
        <f t="shared" si="388"/>
        <v>19278.000000000004</v>
      </c>
      <c r="DK152" s="197">
        <f t="shared" si="389"/>
        <v>3300</v>
      </c>
      <c r="DL152" s="197">
        <f t="shared" si="390"/>
        <v>16213.725000000006</v>
      </c>
      <c r="DM152" s="197">
        <f t="shared" si="391"/>
        <v>3064.2749999999978</v>
      </c>
      <c r="DN152" s="199">
        <f t="shared" si="392"/>
        <v>6364.2749999999978</v>
      </c>
    </row>
    <row r="153" spans="2:118" x14ac:dyDescent="0.3">
      <c r="B153" s="882">
        <v>16</v>
      </c>
      <c r="C153" s="893">
        <f>'Arable Inputs'!$H$18</f>
        <v>12</v>
      </c>
      <c r="D153" s="748">
        <f>'Arable Inputs'!$H$25</f>
        <v>107.1</v>
      </c>
      <c r="E153" s="207">
        <f t="shared" si="327"/>
        <v>1285.1999999999998</v>
      </c>
      <c r="F153" s="207">
        <f>'Arable NPV'!$D132</f>
        <v>220</v>
      </c>
      <c r="G153" s="207">
        <f>E153+F153</f>
        <v>1505.1999999999998</v>
      </c>
      <c r="H153" s="207">
        <f>'Arable NPV'!$F132</f>
        <v>528.51499999999999</v>
      </c>
      <c r="I153" s="207">
        <f>'Arable NPV'!$G132</f>
        <v>552.40000000000009</v>
      </c>
      <c r="J153" s="207">
        <f t="shared" si="328"/>
        <v>1080.915</v>
      </c>
      <c r="K153" s="207">
        <f t="shared" si="329"/>
        <v>204.28499999999985</v>
      </c>
      <c r="L153" s="207">
        <f t="shared" si="330"/>
        <v>424.28499999999985</v>
      </c>
      <c r="M153" s="208">
        <f t="shared" si="331"/>
        <v>713.62593888710069</v>
      </c>
      <c r="N153" s="207">
        <f t="shared" si="332"/>
        <v>122.15819059692046</v>
      </c>
      <c r="O153" s="207">
        <f t="shared" si="333"/>
        <v>600.19372995031938</v>
      </c>
      <c r="P153" s="207">
        <f t="shared" si="334"/>
        <v>113.43220893678127</v>
      </c>
      <c r="Q153" s="209">
        <f>L153/(1+$B$4)^(B153-1)</f>
        <v>235.59039953370171</v>
      </c>
      <c r="R153" s="208">
        <f t="shared" si="336"/>
        <v>15574.551527822465</v>
      </c>
      <c r="S153" s="207">
        <f t="shared" si="336"/>
        <v>2666.045235076986</v>
      </c>
      <c r="T153" s="207">
        <f t="shared" si="336"/>
        <v>13098.946751242</v>
      </c>
      <c r="U153" s="207">
        <f t="shared" si="336"/>
        <v>2475.6047765804624</v>
      </c>
      <c r="V153" s="209">
        <f t="shared" si="336"/>
        <v>5141.6500116574489</v>
      </c>
      <c r="Z153" s="882">
        <v>16</v>
      </c>
      <c r="AA153" s="893">
        <f>'Arable Inputs'!$H$18</f>
        <v>12</v>
      </c>
      <c r="AB153" s="748">
        <f>'Arable Inputs'!$H$25</f>
        <v>107.1</v>
      </c>
      <c r="AC153" s="207">
        <f t="shared" si="337"/>
        <v>1285.1999999999998</v>
      </c>
      <c r="AD153" s="207">
        <f>'Arable NPV'!$D132</f>
        <v>220</v>
      </c>
      <c r="AE153" s="207">
        <f>AC153+AD153</f>
        <v>1505.1999999999998</v>
      </c>
      <c r="AF153" s="207">
        <f>'Arable NPV'!$F132</f>
        <v>528.51499999999999</v>
      </c>
      <c r="AG153" s="207">
        <f>'Arable NPV'!$G132</f>
        <v>552.40000000000009</v>
      </c>
      <c r="AH153" s="207">
        <f t="shared" si="338"/>
        <v>1080.915</v>
      </c>
      <c r="AI153" s="207">
        <f t="shared" si="339"/>
        <v>204.28499999999985</v>
      </c>
      <c r="AJ153" s="207">
        <f t="shared" si="340"/>
        <v>424.28499999999985</v>
      </c>
      <c r="AK153" s="208">
        <f t="shared" si="341"/>
        <v>536.26905605731633</v>
      </c>
      <c r="AL153" s="207">
        <f t="shared" si="342"/>
        <v>91.79831336181887</v>
      </c>
      <c r="AM153" s="207">
        <f t="shared" si="343"/>
        <v>451.02806312495659</v>
      </c>
      <c r="AN153" s="207">
        <f t="shared" si="344"/>
        <v>85.240992932359802</v>
      </c>
      <c r="AO153" s="209">
        <f>AJ153/(1+$C$4)^(Z153-1)</f>
        <v>177.03930629417869</v>
      </c>
      <c r="AP153" s="208">
        <f t="shared" si="346"/>
        <v>13767.382399044705</v>
      </c>
      <c r="AQ153" s="207">
        <f t="shared" si="347"/>
        <v>2356.6947773030165</v>
      </c>
      <c r="AR153" s="207">
        <f t="shared" si="348"/>
        <v>11579.030614584042</v>
      </c>
      <c r="AS153" s="207">
        <f t="shared" si="349"/>
        <v>2188.3517844606654</v>
      </c>
      <c r="AT153" s="209">
        <f t="shared" si="350"/>
        <v>4545.046561763681</v>
      </c>
      <c r="AX153" s="882">
        <v>16</v>
      </c>
      <c r="AY153" s="893">
        <f>'Arable Inputs'!$H$18</f>
        <v>12</v>
      </c>
      <c r="AZ153" s="748">
        <f>'Arable Inputs'!$H$25</f>
        <v>107.1</v>
      </c>
      <c r="BA153" s="207">
        <f t="shared" si="351"/>
        <v>1285.1999999999998</v>
      </c>
      <c r="BB153" s="207">
        <f>'Arable NPV'!$D132</f>
        <v>220</v>
      </c>
      <c r="BC153" s="207">
        <f>BA153+BB153</f>
        <v>1505.1999999999998</v>
      </c>
      <c r="BD153" s="207">
        <f>'Arable NPV'!$F132</f>
        <v>528.51499999999999</v>
      </c>
      <c r="BE153" s="207">
        <f>'Arable NPV'!$G132</f>
        <v>552.40000000000009</v>
      </c>
      <c r="BF153" s="207">
        <f t="shared" si="352"/>
        <v>1080.915</v>
      </c>
      <c r="BG153" s="207">
        <f t="shared" si="353"/>
        <v>204.28499999999985</v>
      </c>
      <c r="BH153" s="207">
        <f t="shared" si="354"/>
        <v>424.28499999999985</v>
      </c>
      <c r="BI153" s="208">
        <f>BA153/(1+$D$4)^(AX153-1)</f>
        <v>954.9225309812449</v>
      </c>
      <c r="BJ153" s="207">
        <f t="shared" si="356"/>
        <v>163.46324059747425</v>
      </c>
      <c r="BK153" s="207">
        <f t="shared" si="357"/>
        <v>803.13576686554029</v>
      </c>
      <c r="BL153" s="207">
        <f t="shared" si="358"/>
        <v>151.78676411570456</v>
      </c>
      <c r="BM153" s="209">
        <f>BH153/(1+$D$4)^(AX153-1)</f>
        <v>315.25000471317878</v>
      </c>
      <c r="BN153" s="208">
        <f t="shared" si="360"/>
        <v>17799.073450937762</v>
      </c>
      <c r="BO153" s="207">
        <f t="shared" si="361"/>
        <v>3046.8379701262907</v>
      </c>
      <c r="BP153" s="207">
        <f t="shared" si="362"/>
        <v>14969.876656722994</v>
      </c>
      <c r="BQ153" s="207">
        <f t="shared" si="363"/>
        <v>2829.1967942147667</v>
      </c>
      <c r="BR153" s="209">
        <f t="shared" si="364"/>
        <v>5876.0347643410569</v>
      </c>
      <c r="BV153" s="882">
        <v>16</v>
      </c>
      <c r="BW153" s="893">
        <f>'Arable Inputs'!$H$18</f>
        <v>12</v>
      </c>
      <c r="BX153" s="748">
        <f>'Arable Inputs'!$H$25</f>
        <v>107.1</v>
      </c>
      <c r="BY153" s="207">
        <f t="shared" si="365"/>
        <v>1285.1999999999998</v>
      </c>
      <c r="BZ153" s="207">
        <f>'Arable NPV'!$D132</f>
        <v>220</v>
      </c>
      <c r="CA153" s="207">
        <f>BY153+BZ153</f>
        <v>1505.1999999999998</v>
      </c>
      <c r="CB153" s="207">
        <f>'Arable NPV'!$F132</f>
        <v>528.51499999999999</v>
      </c>
      <c r="CC153" s="207">
        <f>'Arable NPV'!$G132</f>
        <v>552.40000000000009</v>
      </c>
      <c r="CD153" s="207">
        <f t="shared" si="366"/>
        <v>1080.915</v>
      </c>
      <c r="CE153" s="207">
        <f t="shared" si="367"/>
        <v>204.28499999999985</v>
      </c>
      <c r="CF153" s="207">
        <f t="shared" si="368"/>
        <v>424.28499999999985</v>
      </c>
      <c r="CG153" s="208">
        <f t="shared" si="369"/>
        <v>405.14863922216171</v>
      </c>
      <c r="CH153" s="207">
        <f t="shared" si="370"/>
        <v>69.353175092495789</v>
      </c>
      <c r="CI153" s="207">
        <f t="shared" si="371"/>
        <v>340.74948752320495</v>
      </c>
      <c r="CJ153" s="207">
        <f t="shared" si="372"/>
        <v>64.399151698956786</v>
      </c>
      <c r="CK153" s="209">
        <f>CF153/(1+$E$4)^(BV153-1)</f>
        <v>133.75232679145259</v>
      </c>
      <c r="CL153" s="208">
        <f t="shared" si="374"/>
        <v>12285.842009722966</v>
      </c>
      <c r="CM153" s="207">
        <f t="shared" si="375"/>
        <v>2103.0853113438015</v>
      </c>
      <c r="CN153" s="207">
        <f t="shared" si="376"/>
        <v>10332.983905959933</v>
      </c>
      <c r="CO153" s="207">
        <f t="shared" si="377"/>
        <v>1952.858103763037</v>
      </c>
      <c r="CP153" s="209">
        <f t="shared" si="378"/>
        <v>4055.9434151068372</v>
      </c>
      <c r="CT153" s="882">
        <v>16</v>
      </c>
      <c r="CU153" s="893">
        <f>'Arable Inputs'!$H$18</f>
        <v>12</v>
      </c>
      <c r="CV153" s="748">
        <f>'Arable Inputs'!$H$25</f>
        <v>107.1</v>
      </c>
      <c r="CW153" s="207">
        <f t="shared" si="379"/>
        <v>1285.1999999999998</v>
      </c>
      <c r="CX153" s="207">
        <f>'Arable NPV'!$D132</f>
        <v>220</v>
      </c>
      <c r="CY153" s="207">
        <f>CW153+CX153</f>
        <v>1505.1999999999998</v>
      </c>
      <c r="CZ153" s="207">
        <f>'Arable NPV'!$F132</f>
        <v>528.51499999999999</v>
      </c>
      <c r="DA153" s="207">
        <f>'Arable NPV'!$G132</f>
        <v>552.40000000000009</v>
      </c>
      <c r="DB153" s="207">
        <f t="shared" si="380"/>
        <v>1080.915</v>
      </c>
      <c r="DC153" s="207">
        <f t="shared" si="381"/>
        <v>204.28499999999985</v>
      </c>
      <c r="DD153" s="207">
        <f t="shared" si="382"/>
        <v>424.28499999999985</v>
      </c>
      <c r="DE153" s="208">
        <f t="shared" si="383"/>
        <v>1285.1999999999998</v>
      </c>
      <c r="DF153" s="207">
        <f t="shared" si="384"/>
        <v>220</v>
      </c>
      <c r="DG153" s="207">
        <f t="shared" si="385"/>
        <v>1080.915</v>
      </c>
      <c r="DH153" s="207">
        <f t="shared" si="386"/>
        <v>204.28499999999985</v>
      </c>
      <c r="DI153" s="209">
        <f>DD153/(1+$F$4)^(CT153-1)</f>
        <v>424.28499999999985</v>
      </c>
      <c r="DJ153" s="208">
        <f t="shared" si="388"/>
        <v>20563.200000000004</v>
      </c>
      <c r="DK153" s="207">
        <f t="shared" si="389"/>
        <v>3520</v>
      </c>
      <c r="DL153" s="207">
        <f t="shared" si="390"/>
        <v>17294.640000000007</v>
      </c>
      <c r="DM153" s="207">
        <f t="shared" si="391"/>
        <v>3268.5599999999977</v>
      </c>
      <c r="DN153" s="209">
        <f t="shared" si="392"/>
        <v>6788.5599999999977</v>
      </c>
    </row>
    <row r="159" spans="2:118" ht="20" x14ac:dyDescent="0.3">
      <c r="B159" s="273" t="s">
        <v>488</v>
      </c>
      <c r="C159" s="274"/>
      <c r="D159" s="88"/>
      <c r="E159" s="88"/>
      <c r="F159" s="88"/>
      <c r="G159" s="275"/>
      <c r="H159" s="276" t="s">
        <v>328</v>
      </c>
      <c r="I159" s="277" t="s">
        <v>329</v>
      </c>
      <c r="J159" s="277" t="s">
        <v>330</v>
      </c>
      <c r="K159" s="277" t="s">
        <v>331</v>
      </c>
      <c r="L159" s="277" t="s">
        <v>332</v>
      </c>
      <c r="M159" s="276" t="s">
        <v>646</v>
      </c>
      <c r="N159" s="277" t="s">
        <v>647</v>
      </c>
      <c r="O159" s="277" t="s">
        <v>648</v>
      </c>
      <c r="P159" s="277" t="s">
        <v>649</v>
      </c>
      <c r="Q159" s="277" t="s">
        <v>650</v>
      </c>
      <c r="R159" s="276" t="s">
        <v>412</v>
      </c>
      <c r="S159" s="277" t="s">
        <v>413</v>
      </c>
      <c r="T159" s="277" t="s">
        <v>414</v>
      </c>
      <c r="U159" s="277" t="s">
        <v>415</v>
      </c>
      <c r="V159" s="277" t="s">
        <v>416</v>
      </c>
      <c r="W159" s="276" t="s">
        <v>443</v>
      </c>
      <c r="X159" s="277" t="s">
        <v>444</v>
      </c>
      <c r="Y159" s="277" t="s">
        <v>445</v>
      </c>
      <c r="Z159" s="277" t="s">
        <v>446</v>
      </c>
      <c r="AA159" s="277" t="s">
        <v>447</v>
      </c>
      <c r="AB159" s="276" t="s">
        <v>448</v>
      </c>
      <c r="AC159" s="277" t="s">
        <v>449</v>
      </c>
      <c r="AD159" s="277" t="s">
        <v>450</v>
      </c>
      <c r="AE159" s="277" t="s">
        <v>451</v>
      </c>
      <c r="AF159" s="277" t="s">
        <v>452</v>
      </c>
      <c r="AG159" s="276" t="s">
        <v>604</v>
      </c>
      <c r="AH159" s="277" t="s">
        <v>605</v>
      </c>
      <c r="AI159" s="277" t="s">
        <v>606</v>
      </c>
      <c r="AJ159" s="277" t="s">
        <v>607</v>
      </c>
      <c r="AK159" s="277" t="s">
        <v>608</v>
      </c>
    </row>
    <row r="160" spans="2:118" x14ac:dyDescent="0.3">
      <c r="B160" s="278" t="s">
        <v>314</v>
      </c>
      <c r="C160" s="24"/>
      <c r="D160" s="279"/>
      <c r="E160" s="279"/>
      <c r="F160" s="279"/>
      <c r="G160" s="280" t="s">
        <v>460</v>
      </c>
      <c r="H160" s="281">
        <f>S27</f>
        <v>7004.3848744654333</v>
      </c>
      <c r="I160" s="281">
        <f>AQ27</f>
        <v>6110.6056978093884</v>
      </c>
      <c r="J160" s="281">
        <f>BO27</f>
        <v>8105.4413745342308</v>
      </c>
      <c r="K160" s="281">
        <f>CM27</f>
        <v>5378.5163819540021</v>
      </c>
      <c r="L160" s="281">
        <f>DK27</f>
        <v>9474.5383333333339</v>
      </c>
      <c r="M160" s="281">
        <f>S53</f>
        <v>9521.8676150658594</v>
      </c>
      <c r="N160" s="281">
        <f>AQ53</f>
        <v>8272.1974845176792</v>
      </c>
      <c r="O160" s="107">
        <f>BO53</f>
        <v>11062.112175827537</v>
      </c>
      <c r="P160" s="107">
        <f>CM53</f>
        <v>7249.1573276325771</v>
      </c>
      <c r="Q160" s="107">
        <f>DK53</f>
        <v>12978.166666666668</v>
      </c>
      <c r="R160" s="751">
        <f>U$78</f>
        <v>18134.61458036309</v>
      </c>
      <c r="S160" s="751">
        <f>AU$78</f>
        <v>16091.487243189136</v>
      </c>
      <c r="T160" s="107">
        <f>BU$78</f>
        <v>20646.030222453992</v>
      </c>
      <c r="U160" s="107">
        <f>CU$78</f>
        <v>14414.244234675072</v>
      </c>
      <c r="V160" s="107">
        <f>DU$78</f>
        <v>23762.04</v>
      </c>
      <c r="W160" s="751">
        <f>S$103</f>
        <v>5876.9026342508314</v>
      </c>
      <c r="X160" s="751">
        <f>AQ$103</f>
        <v>5033.6759736689974</v>
      </c>
      <c r="Y160" s="107">
        <f>BO$103</f>
        <v>6927.6188654905163</v>
      </c>
      <c r="Z160" s="107">
        <f>CM$103</f>
        <v>4350.4003927669137</v>
      </c>
      <c r="AA160" s="107">
        <f>DK$103</f>
        <v>8250</v>
      </c>
      <c r="AB160" s="751">
        <f>S$128</f>
        <v>7172.5259983568831</v>
      </c>
      <c r="AC160" s="751">
        <f>AQ$128</f>
        <v>6214.0456918146938</v>
      </c>
      <c r="AD160" s="107">
        <f>BO$128</f>
        <v>8354.4781551463821</v>
      </c>
      <c r="AE160" s="107">
        <f>CM$128</f>
        <v>5429.8443646430633</v>
      </c>
      <c r="AF160" s="107">
        <f>DK$128</f>
        <v>9825.4750000000004</v>
      </c>
      <c r="AG160" s="754">
        <f>R153</f>
        <v>15574.551527822465</v>
      </c>
      <c r="AH160" s="754">
        <f>AP153</f>
        <v>13767.382399044705</v>
      </c>
      <c r="AI160" s="754">
        <f>BN153</f>
        <v>17799.073450937762</v>
      </c>
      <c r="AJ160" s="754">
        <f>CL153</f>
        <v>12285.842009722966</v>
      </c>
      <c r="AK160" s="754">
        <f>DJ153</f>
        <v>20563.200000000004</v>
      </c>
    </row>
    <row r="161" spans="2:37" x14ac:dyDescent="0.3">
      <c r="B161" s="282" t="s">
        <v>313</v>
      </c>
      <c r="C161" s="24"/>
      <c r="D161" s="279"/>
      <c r="E161" s="279"/>
      <c r="F161" s="279"/>
      <c r="G161" s="283" t="s">
        <v>460</v>
      </c>
      <c r="H161" s="281">
        <f>T27</f>
        <v>2666.045235076986</v>
      </c>
      <c r="I161" s="281">
        <f>AR27</f>
        <v>2356.6947773030165</v>
      </c>
      <c r="J161" s="281">
        <f>BP27</f>
        <v>3046.8379701262907</v>
      </c>
      <c r="K161" s="281">
        <f>CN27</f>
        <v>2103.0853113438015</v>
      </c>
      <c r="L161" s="281">
        <f>DL27</f>
        <v>3520</v>
      </c>
      <c r="M161" s="281">
        <f>T53</f>
        <v>2666.045235076986</v>
      </c>
      <c r="N161" s="281">
        <f>AR53</f>
        <v>2356.6947773030165</v>
      </c>
      <c r="O161" s="108">
        <f>BP53</f>
        <v>3046.8379701262907</v>
      </c>
      <c r="P161" s="108">
        <f>CN53</f>
        <v>2103.0853113438015</v>
      </c>
      <c r="Q161" s="108">
        <f>DL53</f>
        <v>3520</v>
      </c>
      <c r="R161" s="751">
        <f>V$78</f>
        <v>2666.045235076986</v>
      </c>
      <c r="S161" s="751">
        <f>AV$78</f>
        <v>2356.6947773030165</v>
      </c>
      <c r="T161" s="108">
        <f>BV$78</f>
        <v>3046.8379701262907</v>
      </c>
      <c r="U161" s="108">
        <f>CV$78</f>
        <v>2103.0853113438015</v>
      </c>
      <c r="V161" s="108">
        <f>DV$78</f>
        <v>3520</v>
      </c>
      <c r="W161" s="751">
        <f>T$103</f>
        <v>2666.045235076986</v>
      </c>
      <c r="X161" s="751">
        <f>AR$103</f>
        <v>2356.6947773030165</v>
      </c>
      <c r="Y161" s="108">
        <f>BP$103</f>
        <v>3046.8379701262907</v>
      </c>
      <c r="Z161" s="108">
        <f>CN$103</f>
        <v>2103.0853113438015</v>
      </c>
      <c r="AA161" s="108">
        <f>DL$103</f>
        <v>3520</v>
      </c>
      <c r="AB161" s="751">
        <f>T$128</f>
        <v>2666.045235076986</v>
      </c>
      <c r="AC161" s="751">
        <f>AR$128</f>
        <v>2356.6947773030165</v>
      </c>
      <c r="AD161" s="108">
        <f>BP$128</f>
        <v>3046.8379701262907</v>
      </c>
      <c r="AE161" s="108">
        <f>CN$128</f>
        <v>2103.0853113438015</v>
      </c>
      <c r="AF161" s="108">
        <f>DL$128</f>
        <v>3520</v>
      </c>
      <c r="AG161" s="895">
        <f>S153</f>
        <v>2666.045235076986</v>
      </c>
      <c r="AH161" s="895">
        <f>AQ153</f>
        <v>2356.6947773030165</v>
      </c>
      <c r="AI161" s="895">
        <f>BO153</f>
        <v>3046.8379701262907</v>
      </c>
      <c r="AJ161" s="895">
        <f>CM153</f>
        <v>2103.0853113438015</v>
      </c>
      <c r="AK161" s="895">
        <f>DK153</f>
        <v>3520</v>
      </c>
    </row>
    <row r="162" spans="2:37" x14ac:dyDescent="0.3">
      <c r="B162" s="284" t="s">
        <v>312</v>
      </c>
      <c r="C162" s="165"/>
      <c r="D162" s="279"/>
      <c r="E162" s="279"/>
      <c r="F162" s="279"/>
      <c r="G162" s="285" t="s">
        <v>460</v>
      </c>
      <c r="H162" s="281">
        <f>U27</f>
        <v>8595.5268864796944</v>
      </c>
      <c r="I162" s="281">
        <f>AS27</f>
        <v>8172.6164126696422</v>
      </c>
      <c r="J162" s="281">
        <f>BQ27</f>
        <v>9117.6307373588752</v>
      </c>
      <c r="K162" s="281">
        <f>CO27</f>
        <v>7826.6832873352869</v>
      </c>
      <c r="L162" s="281">
        <f>DM27</f>
        <v>9768.7219999999998</v>
      </c>
      <c r="M162" s="281">
        <f>U53</f>
        <v>6490.5993620746312</v>
      </c>
      <c r="N162" s="281">
        <f>AS53</f>
        <v>5940.0958858172598</v>
      </c>
      <c r="O162" s="294">
        <f>BQ53</f>
        <v>7169.7629074009647</v>
      </c>
      <c r="P162" s="294">
        <f>CO53</f>
        <v>5489.5603834777257</v>
      </c>
      <c r="Q162" s="294">
        <f>DM53</f>
        <v>8016.0120000000015</v>
      </c>
      <c r="R162" s="751">
        <f>W$78</f>
        <v>16207.665363247013</v>
      </c>
      <c r="S162" s="751">
        <f>AW$78</f>
        <v>14357.908499671044</v>
      </c>
      <c r="T162" s="294">
        <f>BW$78</f>
        <v>18485.426902092466</v>
      </c>
      <c r="U162" s="294">
        <f>CW$78</f>
        <v>12841.965044557666</v>
      </c>
      <c r="V162" s="294">
        <f>DW$78</f>
        <v>21316.805397021184</v>
      </c>
      <c r="W162" s="751">
        <f>U$103</f>
        <v>4111.4229907520166</v>
      </c>
      <c r="X162" s="751">
        <f>AS$103</f>
        <v>3777.8225151713691</v>
      </c>
      <c r="Y162" s="294">
        <f>BQ$103</f>
        <v>4528.3645970535254</v>
      </c>
      <c r="Z162" s="294">
        <f>CO$103</f>
        <v>3508.1268880896964</v>
      </c>
      <c r="AA162" s="294">
        <f>DM$103</f>
        <v>5055.0299999999988</v>
      </c>
      <c r="AB162" s="751">
        <f>U$128</f>
        <v>4876.9946636093364</v>
      </c>
      <c r="AC162" s="751">
        <f>AS$128</f>
        <v>4519.4767050895998</v>
      </c>
      <c r="AD162" s="294">
        <f>BQ$128</f>
        <v>5319.1750637857713</v>
      </c>
      <c r="AE162" s="294">
        <f>CO$128</f>
        <v>4227.5733748722805</v>
      </c>
      <c r="AF162" s="294">
        <f>DM$128</f>
        <v>5871.5919999999987</v>
      </c>
      <c r="AG162" s="755">
        <f>T153</f>
        <v>13098.946751242</v>
      </c>
      <c r="AH162" s="755">
        <f>AR153</f>
        <v>11579.030614584042</v>
      </c>
      <c r="AI162" s="755">
        <f>BP153</f>
        <v>14969.876656722994</v>
      </c>
      <c r="AJ162" s="755">
        <f>CN153</f>
        <v>10332.983905959933</v>
      </c>
      <c r="AK162" s="755">
        <f>DL153</f>
        <v>17294.640000000007</v>
      </c>
    </row>
    <row r="163" spans="2:37" x14ac:dyDescent="0.3">
      <c r="B163" s="278" t="s">
        <v>345</v>
      </c>
      <c r="C163" s="24"/>
      <c r="D163" s="286"/>
      <c r="E163" s="286"/>
      <c r="F163" s="286"/>
      <c r="G163" s="280" t="s">
        <v>460</v>
      </c>
      <c r="H163" s="287">
        <f>H160-H162</f>
        <v>-1591.1420120142611</v>
      </c>
      <c r="I163" s="287">
        <f t="shared" ref="I163:W163" si="398">I160-I162</f>
        <v>-2062.0107148602538</v>
      </c>
      <c r="J163" s="287">
        <f t="shared" si="398"/>
        <v>-1012.1893628246444</v>
      </c>
      <c r="K163" s="287">
        <f t="shared" si="398"/>
        <v>-2448.1669053812848</v>
      </c>
      <c r="L163" s="287">
        <f t="shared" si="398"/>
        <v>-294.18366666666589</v>
      </c>
      <c r="M163" s="287">
        <f t="shared" si="398"/>
        <v>3031.2682529912281</v>
      </c>
      <c r="N163" s="287">
        <f t="shared" si="398"/>
        <v>2332.1015987004193</v>
      </c>
      <c r="O163" s="287">
        <f t="shared" si="398"/>
        <v>3892.3492684265721</v>
      </c>
      <c r="P163" s="287">
        <f t="shared" si="398"/>
        <v>1759.5969441548514</v>
      </c>
      <c r="Q163" s="287">
        <f t="shared" si="398"/>
        <v>4962.1546666666663</v>
      </c>
      <c r="R163" s="752">
        <f t="shared" si="398"/>
        <v>1926.9492171160764</v>
      </c>
      <c r="S163" s="752">
        <f t="shared" si="398"/>
        <v>1733.5787435180919</v>
      </c>
      <c r="T163" s="752">
        <f t="shared" si="398"/>
        <v>2160.6033203615261</v>
      </c>
      <c r="U163" s="752">
        <f t="shared" si="398"/>
        <v>1572.279190117406</v>
      </c>
      <c r="V163" s="752">
        <f t="shared" si="398"/>
        <v>2445.2346029788168</v>
      </c>
      <c r="W163" s="752">
        <f t="shared" si="398"/>
        <v>1765.4796434988148</v>
      </c>
      <c r="X163" s="752">
        <f t="shared" ref="X163:AK163" si="399">X160-X162</f>
        <v>1255.8534584976283</v>
      </c>
      <c r="Y163" s="752">
        <f t="shared" si="399"/>
        <v>2399.254268436991</v>
      </c>
      <c r="Z163" s="752">
        <f t="shared" si="399"/>
        <v>842.27350467721726</v>
      </c>
      <c r="AA163" s="752">
        <f t="shared" si="399"/>
        <v>3194.9700000000012</v>
      </c>
      <c r="AB163" s="752">
        <f t="shared" si="399"/>
        <v>2295.5313347475467</v>
      </c>
      <c r="AC163" s="752">
        <f t="shared" si="399"/>
        <v>1694.568986725094</v>
      </c>
      <c r="AD163" s="752">
        <f t="shared" si="399"/>
        <v>3035.3030913606108</v>
      </c>
      <c r="AE163" s="752">
        <f t="shared" si="399"/>
        <v>1202.2709897707828</v>
      </c>
      <c r="AF163" s="752">
        <f t="shared" si="399"/>
        <v>3953.8830000000016</v>
      </c>
      <c r="AG163" s="752">
        <f t="shared" si="399"/>
        <v>2475.6047765804651</v>
      </c>
      <c r="AH163" s="752">
        <f t="shared" si="399"/>
        <v>2188.3517844606631</v>
      </c>
      <c r="AI163" s="752">
        <f t="shared" si="399"/>
        <v>2829.1967942147676</v>
      </c>
      <c r="AJ163" s="752">
        <f t="shared" si="399"/>
        <v>1952.8581037630338</v>
      </c>
      <c r="AK163" s="752">
        <f t="shared" si="399"/>
        <v>3268.5599999999977</v>
      </c>
    </row>
    <row r="164" spans="2:37" x14ac:dyDescent="0.3">
      <c r="B164" s="284" t="s">
        <v>346</v>
      </c>
      <c r="C164" s="165"/>
      <c r="D164" s="288"/>
      <c r="E164" s="288"/>
      <c r="F164" s="288"/>
      <c r="G164" s="285" t="s">
        <v>460</v>
      </c>
      <c r="H164" s="295">
        <f>H160+H161-H162</f>
        <v>1074.9032230627254</v>
      </c>
      <c r="I164" s="295">
        <f t="shared" ref="I164:U164" si="400">I160+I161-I162</f>
        <v>294.6840624427623</v>
      </c>
      <c r="J164" s="295">
        <f t="shared" si="400"/>
        <v>2034.6486073016458</v>
      </c>
      <c r="K164" s="295">
        <f t="shared" si="400"/>
        <v>-345.08159403748323</v>
      </c>
      <c r="L164" s="295">
        <f t="shared" si="400"/>
        <v>3225.8163333333341</v>
      </c>
      <c r="M164" s="295">
        <f t="shared" si="400"/>
        <v>5697.3134880682146</v>
      </c>
      <c r="N164" s="295">
        <f t="shared" si="400"/>
        <v>4688.7963760034363</v>
      </c>
      <c r="O164" s="295">
        <f t="shared" si="400"/>
        <v>6939.1872385528632</v>
      </c>
      <c r="P164" s="295">
        <f t="shared" si="400"/>
        <v>3862.6822554986529</v>
      </c>
      <c r="Q164" s="295">
        <f t="shared" si="400"/>
        <v>8482.1546666666654</v>
      </c>
      <c r="R164" s="753">
        <f t="shared" si="400"/>
        <v>4592.9944521930611</v>
      </c>
      <c r="S164" s="753">
        <f t="shared" si="400"/>
        <v>4090.2735208211088</v>
      </c>
      <c r="T164" s="753">
        <f t="shared" si="400"/>
        <v>5207.4412904878154</v>
      </c>
      <c r="U164" s="753">
        <f t="shared" si="400"/>
        <v>3675.3645014612084</v>
      </c>
      <c r="V164" s="753">
        <f t="shared" ref="V164:W164" si="401">V160+V161-V162</f>
        <v>5965.2346029788168</v>
      </c>
      <c r="W164" s="753">
        <f t="shared" si="401"/>
        <v>4431.5248785758013</v>
      </c>
      <c r="X164" s="753">
        <f t="shared" ref="X164:AE164" si="402">X160+X161-X162</f>
        <v>3612.5482358006443</v>
      </c>
      <c r="Y164" s="753">
        <f t="shared" si="402"/>
        <v>5446.0922385632821</v>
      </c>
      <c r="Z164" s="753">
        <f t="shared" si="402"/>
        <v>2945.3588160210188</v>
      </c>
      <c r="AA164" s="753">
        <f t="shared" si="402"/>
        <v>6714.9700000000012</v>
      </c>
      <c r="AB164" s="753">
        <f t="shared" si="402"/>
        <v>4961.5765698245332</v>
      </c>
      <c r="AC164" s="753">
        <f t="shared" si="402"/>
        <v>4051.2637640281109</v>
      </c>
      <c r="AD164" s="753">
        <f t="shared" si="402"/>
        <v>6082.1410614869019</v>
      </c>
      <c r="AE164" s="753">
        <f t="shared" si="402"/>
        <v>3305.3563011145843</v>
      </c>
      <c r="AF164" s="753">
        <f t="shared" ref="AF164:AK164" si="403">AF160+AF161-AF162</f>
        <v>7473.8830000000016</v>
      </c>
      <c r="AG164" s="753">
        <f t="shared" si="403"/>
        <v>5141.6500116574516</v>
      </c>
      <c r="AH164" s="753">
        <f t="shared" si="403"/>
        <v>4545.0465617636801</v>
      </c>
      <c r="AI164" s="753">
        <f t="shared" si="403"/>
        <v>5876.0347643410569</v>
      </c>
      <c r="AJ164" s="753">
        <f t="shared" si="403"/>
        <v>4055.9434151068344</v>
      </c>
      <c r="AK164" s="753">
        <f t="shared" si="403"/>
        <v>6788.5599999999977</v>
      </c>
    </row>
    <row r="165" spans="2:37" ht="14.5" x14ac:dyDescent="0.35">
      <c r="B165" t="s">
        <v>347</v>
      </c>
      <c r="G165" t="s">
        <v>460</v>
      </c>
    </row>
    <row r="166" spans="2:37" ht="14.5" x14ac:dyDescent="0.35">
      <c r="B166" t="s">
        <v>348</v>
      </c>
      <c r="G166" t="s">
        <v>460</v>
      </c>
    </row>
    <row r="167" spans="2:37" x14ac:dyDescent="0.3">
      <c r="B167" t="s">
        <v>349</v>
      </c>
      <c r="G167" t="s">
        <v>487</v>
      </c>
    </row>
    <row r="168" spans="2:37" x14ac:dyDescent="0.3">
      <c r="B168" t="s">
        <v>350</v>
      </c>
      <c r="G168" t="s">
        <v>487</v>
      </c>
    </row>
  </sheetData>
  <mergeCells count="83">
    <mergeCell ref="DK35:DO35"/>
    <mergeCell ref="DK9:DO9"/>
    <mergeCell ref="CU34:CV34"/>
    <mergeCell ref="CW35:CY35"/>
    <mergeCell ref="BW34:BX34"/>
    <mergeCell ref="BY35:CA35"/>
    <mergeCell ref="CD35:CE35"/>
    <mergeCell ref="CH35:CL35"/>
    <mergeCell ref="CU8:CV8"/>
    <mergeCell ref="DF9:DJ9"/>
    <mergeCell ref="DB35:DC35"/>
    <mergeCell ref="DF35:DJ35"/>
    <mergeCell ref="CM9:CQ9"/>
    <mergeCell ref="CM35:CQ35"/>
    <mergeCell ref="BW8:BX8"/>
    <mergeCell ref="CH9:CL9"/>
    <mergeCell ref="BA35:BC35"/>
    <mergeCell ref="BF35:BG35"/>
    <mergeCell ref="BJ35:BN35"/>
    <mergeCell ref="BO35:BS35"/>
    <mergeCell ref="BJ9:BN9"/>
    <mergeCell ref="BO9:BS9"/>
    <mergeCell ref="B2:D2"/>
    <mergeCell ref="E9:G9"/>
    <mergeCell ref="J9:K9"/>
    <mergeCell ref="N9:R9"/>
    <mergeCell ref="S9:W9"/>
    <mergeCell ref="E35:G35"/>
    <mergeCell ref="J35:K35"/>
    <mergeCell ref="N35:R35"/>
    <mergeCell ref="S35:W35"/>
    <mergeCell ref="AC35:AE35"/>
    <mergeCell ref="AA8:AB8"/>
    <mergeCell ref="AH85:AI85"/>
    <mergeCell ref="AL85:AP85"/>
    <mergeCell ref="AQ85:AU85"/>
    <mergeCell ref="BA85:BC85"/>
    <mergeCell ref="AY8:AZ8"/>
    <mergeCell ref="AH35:AI35"/>
    <mergeCell ref="AH9:AI9"/>
    <mergeCell ref="AA34:AB34"/>
    <mergeCell ref="AY34:AZ34"/>
    <mergeCell ref="AL35:AP35"/>
    <mergeCell ref="AQ35:AU35"/>
    <mergeCell ref="AL9:AP9"/>
    <mergeCell ref="AQ9:AU9"/>
    <mergeCell ref="AC9:AE9"/>
    <mergeCell ref="BF85:BG85"/>
    <mergeCell ref="E85:G85"/>
    <mergeCell ref="J85:K85"/>
    <mergeCell ref="N85:R85"/>
    <mergeCell ref="S85:W85"/>
    <mergeCell ref="AC85:AE85"/>
    <mergeCell ref="CM85:CQ85"/>
    <mergeCell ref="CW85:CY85"/>
    <mergeCell ref="DB85:DC85"/>
    <mergeCell ref="DF85:DJ85"/>
    <mergeCell ref="DK85:DO85"/>
    <mergeCell ref="BJ85:BN85"/>
    <mergeCell ref="BO85:BS85"/>
    <mergeCell ref="BY85:CA85"/>
    <mergeCell ref="CD85:CE85"/>
    <mergeCell ref="CH85:CL85"/>
    <mergeCell ref="AH110:AI110"/>
    <mergeCell ref="AL110:AP110"/>
    <mergeCell ref="AQ110:AU110"/>
    <mergeCell ref="BA110:BC110"/>
    <mergeCell ref="BF110:BG110"/>
    <mergeCell ref="E110:G110"/>
    <mergeCell ref="J110:K110"/>
    <mergeCell ref="N110:R110"/>
    <mergeCell ref="S110:W110"/>
    <mergeCell ref="AC110:AE110"/>
    <mergeCell ref="CM110:CQ110"/>
    <mergeCell ref="CW110:CY110"/>
    <mergeCell ref="DB110:DC110"/>
    <mergeCell ref="DF110:DJ110"/>
    <mergeCell ref="DK110:DO110"/>
    <mergeCell ref="BJ110:BN110"/>
    <mergeCell ref="BO110:BS110"/>
    <mergeCell ref="BY110:CA110"/>
    <mergeCell ref="CD110:CE110"/>
    <mergeCell ref="CH110:CL1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0"/>
  <sheetViews>
    <sheetView topLeftCell="C7" workbookViewId="0">
      <selection activeCell="D31" sqref="D31"/>
    </sheetView>
  </sheetViews>
  <sheetFormatPr defaultColWidth="9" defaultRowHeight="14" x14ac:dyDescent="0.3"/>
  <cols>
    <col min="2" max="2" width="22.58203125" customWidth="1"/>
  </cols>
  <sheetData>
    <row r="1" spans="1:8" x14ac:dyDescent="0.3">
      <c r="A1" s="364"/>
      <c r="B1" s="364"/>
      <c r="C1" s="364"/>
      <c r="D1" s="364"/>
      <c r="E1" s="364"/>
      <c r="F1" s="364"/>
      <c r="G1" s="364"/>
      <c r="H1" s="364"/>
    </row>
    <row r="2" spans="1:8" x14ac:dyDescent="0.3">
      <c r="A2" s="364"/>
      <c r="B2" s="364"/>
      <c r="C2" s="364"/>
      <c r="D2" s="364"/>
      <c r="E2" s="364"/>
      <c r="F2" s="364"/>
      <c r="G2" s="364"/>
      <c r="H2" s="364"/>
    </row>
    <row r="3" spans="1:8" ht="14.5" thickBot="1" x14ac:dyDescent="0.35">
      <c r="A3" s="364"/>
      <c r="B3" s="364"/>
      <c r="C3" s="364"/>
      <c r="D3" s="364"/>
      <c r="E3" s="364"/>
      <c r="F3" s="364"/>
      <c r="G3" s="364"/>
      <c r="H3" s="364"/>
    </row>
    <row r="4" spans="1:8" ht="14.5" thickBot="1" x14ac:dyDescent="0.35">
      <c r="A4" s="364"/>
      <c r="B4" s="407" t="s">
        <v>453</v>
      </c>
      <c r="C4" s="386"/>
      <c r="D4" s="386"/>
      <c r="E4" s="386"/>
      <c r="F4" s="386"/>
      <c r="G4" s="386"/>
      <c r="H4" s="386"/>
    </row>
    <row r="5" spans="1:8" x14ac:dyDescent="0.3">
      <c r="A5" s="364"/>
      <c r="B5" s="386"/>
      <c r="C5" s="386"/>
      <c r="D5" s="386"/>
      <c r="E5" s="386"/>
      <c r="F5" s="386"/>
      <c r="G5" s="386"/>
      <c r="H5" s="386"/>
    </row>
    <row r="6" spans="1:8" x14ac:dyDescent="0.3">
      <c r="A6" s="364"/>
      <c r="B6" s="375" t="s">
        <v>218</v>
      </c>
      <c r="C6" s="374"/>
      <c r="D6" s="374"/>
      <c r="E6" s="374"/>
      <c r="F6" s="374"/>
      <c r="G6" s="374"/>
      <c r="H6" s="374"/>
    </row>
    <row r="7" spans="1:8" x14ac:dyDescent="0.3">
      <c r="A7" s="364"/>
      <c r="B7" s="371"/>
      <c r="C7" s="371"/>
      <c r="D7" s="371"/>
      <c r="E7" s="371"/>
      <c r="F7" s="371"/>
      <c r="G7" s="371"/>
      <c r="H7" s="371"/>
    </row>
    <row r="8" spans="1:8" x14ac:dyDescent="0.3">
      <c r="A8" s="364"/>
      <c r="B8" s="369" t="s">
        <v>491</v>
      </c>
      <c r="C8" s="405"/>
      <c r="D8" s="760">
        <v>1</v>
      </c>
      <c r="E8" s="371"/>
      <c r="F8" s="371"/>
      <c r="G8" s="371"/>
      <c r="H8" s="371"/>
    </row>
    <row r="9" spans="1:8" x14ac:dyDescent="0.3">
      <c r="A9" s="364"/>
      <c r="B9" s="369" t="s">
        <v>375</v>
      </c>
      <c r="C9" s="405" t="s">
        <v>325</v>
      </c>
      <c r="D9" s="758">
        <v>0.04</v>
      </c>
      <c r="E9" s="371"/>
      <c r="F9" s="384"/>
      <c r="G9" s="371"/>
      <c r="H9" s="371"/>
    </row>
    <row r="10" spans="1:8" x14ac:dyDescent="0.3">
      <c r="A10" s="364"/>
      <c r="B10" s="369" t="s">
        <v>278</v>
      </c>
      <c r="C10" s="405" t="s">
        <v>481</v>
      </c>
      <c r="D10" s="368">
        <f>(AVERAGE(219,221))*$D$8</f>
        <v>220</v>
      </c>
      <c r="E10" s="371"/>
      <c r="F10" s="372"/>
      <c r="G10" s="371"/>
      <c r="H10" s="371"/>
    </row>
    <row r="11" spans="1:8" x14ac:dyDescent="0.3">
      <c r="A11" s="364"/>
      <c r="B11" s="369" t="s">
        <v>220</v>
      </c>
      <c r="C11" s="405" t="s">
        <v>481</v>
      </c>
      <c r="D11" s="381">
        <v>0</v>
      </c>
      <c r="E11" s="371"/>
      <c r="F11" s="406"/>
      <c r="G11" s="371"/>
      <c r="H11" s="371"/>
    </row>
    <row r="12" spans="1:8" x14ac:dyDescent="0.3">
      <c r="A12" s="364"/>
      <c r="B12" s="369" t="s">
        <v>221</v>
      </c>
      <c r="C12" s="405" t="s">
        <v>481</v>
      </c>
      <c r="D12" s="381">
        <v>0</v>
      </c>
      <c r="E12" s="371"/>
      <c r="F12" s="384"/>
      <c r="G12" s="371"/>
      <c r="H12" s="371"/>
    </row>
    <row r="13" spans="1:8" x14ac:dyDescent="0.3">
      <c r="A13" s="364"/>
      <c r="B13" s="371"/>
      <c r="C13" s="371"/>
      <c r="D13" s="384"/>
      <c r="E13" s="371"/>
      <c r="F13" s="384"/>
      <c r="G13" s="384"/>
      <c r="H13" s="371"/>
    </row>
    <row r="14" spans="1:8" x14ac:dyDescent="0.3">
      <c r="A14" s="364"/>
      <c r="B14" s="371"/>
      <c r="C14" s="371"/>
      <c r="D14" s="384"/>
      <c r="E14" s="371"/>
      <c r="F14" s="384"/>
      <c r="G14" s="371"/>
      <c r="H14" s="371"/>
    </row>
    <row r="15" spans="1:8" x14ac:dyDescent="0.3">
      <c r="A15" s="364"/>
      <c r="B15" s="375" t="s">
        <v>247</v>
      </c>
      <c r="C15" s="374"/>
      <c r="D15" s="374"/>
      <c r="E15" s="374"/>
      <c r="F15" s="374"/>
      <c r="G15" s="374"/>
      <c r="H15" s="374"/>
    </row>
    <row r="16" spans="1:8" x14ac:dyDescent="0.3">
      <c r="A16" s="364"/>
      <c r="B16" s="373"/>
      <c r="C16" s="371"/>
      <c r="D16" s="371"/>
      <c r="E16" s="371"/>
      <c r="F16" s="371"/>
      <c r="G16" s="371"/>
      <c r="H16" s="371"/>
    </row>
    <row r="17" spans="1:12" x14ac:dyDescent="0.3">
      <c r="A17" s="364"/>
      <c r="B17" s="373"/>
      <c r="C17" s="371"/>
      <c r="D17" s="370" t="s">
        <v>4</v>
      </c>
      <c r="E17" s="370" t="s">
        <v>5</v>
      </c>
      <c r="F17" s="370" t="s">
        <v>6</v>
      </c>
      <c r="G17" s="370" t="s">
        <v>7</v>
      </c>
      <c r="H17" s="370" t="s">
        <v>260</v>
      </c>
    </row>
    <row r="18" spans="1:12" x14ac:dyDescent="0.3">
      <c r="A18" s="364"/>
      <c r="B18" s="369" t="s">
        <v>222</v>
      </c>
      <c r="C18" s="369" t="s">
        <v>357</v>
      </c>
      <c r="D18" s="378">
        <v>8.25</v>
      </c>
      <c r="E18" s="378">
        <v>6.3</v>
      </c>
      <c r="F18" s="378">
        <v>3.5</v>
      </c>
      <c r="G18" s="378">
        <v>78</v>
      </c>
      <c r="H18" s="378">
        <v>12</v>
      </c>
      <c r="I18" s="896"/>
    </row>
    <row r="19" spans="1:12" x14ac:dyDescent="0.3">
      <c r="A19" s="364"/>
      <c r="B19" s="369" t="s">
        <v>3</v>
      </c>
      <c r="C19" s="369" t="s">
        <v>357</v>
      </c>
      <c r="D19" s="404">
        <v>3.9</v>
      </c>
      <c r="E19" s="403">
        <v>3.5</v>
      </c>
      <c r="F19" s="378">
        <v>2.6</v>
      </c>
      <c r="G19" s="402"/>
      <c r="H19" s="401"/>
    </row>
    <row r="20" spans="1:12" x14ac:dyDescent="0.3">
      <c r="A20" s="364"/>
      <c r="B20" s="371"/>
      <c r="C20" s="371"/>
      <c r="D20" s="400"/>
      <c r="E20" s="400"/>
      <c r="F20" s="400"/>
      <c r="G20" s="364"/>
      <c r="H20" s="371"/>
    </row>
    <row r="21" spans="1:12" x14ac:dyDescent="0.3">
      <c r="A21" s="364"/>
      <c r="B21" s="371"/>
      <c r="C21" s="371"/>
      <c r="D21" s="399"/>
      <c r="E21" s="399"/>
      <c r="F21" s="399"/>
      <c r="G21" s="371"/>
      <c r="H21" s="371"/>
    </row>
    <row r="22" spans="1:12" x14ac:dyDescent="0.3">
      <c r="A22" s="364"/>
      <c r="B22" s="375" t="s">
        <v>223</v>
      </c>
      <c r="C22" s="374"/>
      <c r="D22" s="374"/>
      <c r="E22" s="374"/>
      <c r="F22" s="374"/>
      <c r="G22" s="374"/>
      <c r="H22" s="374"/>
    </row>
    <row r="23" spans="1:12" x14ac:dyDescent="0.3">
      <c r="A23" s="364"/>
      <c r="B23" s="373"/>
      <c r="C23" s="371"/>
      <c r="D23" s="371"/>
      <c r="E23" s="371"/>
      <c r="F23" s="371"/>
      <c r="G23" s="371"/>
      <c r="H23" s="371"/>
    </row>
    <row r="24" spans="1:12" x14ac:dyDescent="0.3">
      <c r="A24" s="364"/>
      <c r="B24" s="373"/>
      <c r="C24" s="371"/>
      <c r="D24" s="370" t="s">
        <v>4</v>
      </c>
      <c r="E24" s="370" t="s">
        <v>5</v>
      </c>
      <c r="F24" s="370" t="s">
        <v>6</v>
      </c>
      <c r="G24" s="370" t="s">
        <v>7</v>
      </c>
      <c r="H24" s="370" t="s">
        <v>260</v>
      </c>
      <c r="K24" s="356"/>
      <c r="L24" s="744"/>
    </row>
    <row r="25" spans="1:12" x14ac:dyDescent="0.3">
      <c r="A25" s="364"/>
      <c r="B25" s="369" t="s">
        <v>521</v>
      </c>
      <c r="C25" s="369" t="s">
        <v>456</v>
      </c>
      <c r="D25" s="378">
        <f>162</f>
        <v>162</v>
      </c>
      <c r="E25" s="378">
        <f>140*$D$8</f>
        <v>140</v>
      </c>
      <c r="F25" s="378">
        <v>335</v>
      </c>
      <c r="G25" s="378">
        <v>27.16</v>
      </c>
      <c r="H25" s="378">
        <v>107.1</v>
      </c>
      <c r="K25" s="356"/>
      <c r="L25" s="744"/>
    </row>
    <row r="26" spans="1:12" x14ac:dyDescent="0.3">
      <c r="A26" s="364"/>
      <c r="B26" s="369" t="s">
        <v>3</v>
      </c>
      <c r="C26" s="398" t="s">
        <v>456</v>
      </c>
      <c r="D26" s="378">
        <v>65</v>
      </c>
      <c r="E26" s="378">
        <f>70*$D$8</f>
        <v>70</v>
      </c>
      <c r="F26" s="378">
        <f>AVERAGE(30,45)</f>
        <v>37.5</v>
      </c>
      <c r="G26" s="397"/>
      <c r="H26" s="396"/>
    </row>
    <row r="27" spans="1:12" x14ac:dyDescent="0.3">
      <c r="A27" s="364"/>
      <c r="B27" s="373"/>
      <c r="C27" s="371"/>
      <c r="D27" s="371"/>
      <c r="E27" s="371"/>
      <c r="F27" s="371"/>
      <c r="G27" s="384"/>
      <c r="H27" s="371"/>
    </row>
    <row r="28" spans="1:12" x14ac:dyDescent="0.3">
      <c r="A28" s="364"/>
      <c r="B28" s="371"/>
      <c r="C28" s="371"/>
      <c r="D28" s="371"/>
      <c r="E28" s="371"/>
      <c r="F28" s="371"/>
      <c r="G28" s="371"/>
      <c r="H28" s="371"/>
    </row>
    <row r="29" spans="1:12" x14ac:dyDescent="0.3">
      <c r="A29" s="364"/>
      <c r="B29" s="375" t="s">
        <v>225</v>
      </c>
      <c r="C29" s="374"/>
      <c r="D29" s="374"/>
      <c r="E29" s="374"/>
      <c r="F29" s="374"/>
      <c r="G29" s="374"/>
      <c r="H29" s="374"/>
    </row>
    <row r="30" spans="1:12" x14ac:dyDescent="0.3">
      <c r="A30" s="364"/>
      <c r="B30" s="371"/>
      <c r="C30" s="371"/>
      <c r="D30" s="371"/>
      <c r="E30" s="371"/>
      <c r="F30" s="371"/>
      <c r="G30" s="371"/>
      <c r="H30" s="371"/>
    </row>
    <row r="31" spans="1:12" x14ac:dyDescent="0.3">
      <c r="A31" s="364"/>
      <c r="B31" s="395" t="s">
        <v>226</v>
      </c>
      <c r="C31" s="382" t="s">
        <v>457</v>
      </c>
      <c r="D31" s="856">
        <f>12.8</f>
        <v>12.8</v>
      </c>
      <c r="E31" s="371"/>
      <c r="F31" s="371"/>
      <c r="G31" s="371"/>
      <c r="H31" s="371"/>
    </row>
    <row r="32" spans="1:12" x14ac:dyDescent="0.3">
      <c r="A32" s="364"/>
      <c r="B32" s="371"/>
      <c r="C32" s="380"/>
      <c r="D32" s="356"/>
      <c r="E32" s="371"/>
      <c r="F32" s="371"/>
      <c r="G32" s="371"/>
      <c r="H32" s="371"/>
    </row>
    <row r="33" spans="1:8" x14ac:dyDescent="0.3">
      <c r="A33" s="364"/>
      <c r="B33" s="383" t="s">
        <v>227</v>
      </c>
      <c r="C33" s="394"/>
      <c r="D33" s="393" t="s">
        <v>458</v>
      </c>
      <c r="E33" s="371"/>
      <c r="F33" s="371"/>
      <c r="G33" s="371"/>
      <c r="H33" s="371"/>
    </row>
    <row r="34" spans="1:8" x14ac:dyDescent="0.3">
      <c r="A34" s="364"/>
      <c r="B34" s="386"/>
      <c r="C34" s="392" t="s">
        <v>228</v>
      </c>
      <c r="D34" s="391">
        <f>0.652*$D$8</f>
        <v>0.65200000000000002</v>
      </c>
      <c r="E34" s="371"/>
      <c r="F34" s="371"/>
      <c r="G34" s="371"/>
      <c r="H34" s="371"/>
    </row>
    <row r="35" spans="1:8" x14ac:dyDescent="0.3">
      <c r="A35" s="364"/>
      <c r="B35" s="386"/>
      <c r="C35" s="389" t="s">
        <v>511</v>
      </c>
      <c r="D35" s="388">
        <f>0.641*$D$8</f>
        <v>0.64100000000000001</v>
      </c>
      <c r="E35" s="371" t="s">
        <v>513</v>
      </c>
      <c r="F35" s="387"/>
      <c r="G35" s="390"/>
      <c r="H35" s="371"/>
    </row>
    <row r="36" spans="1:8" x14ac:dyDescent="0.3">
      <c r="A36" s="364"/>
      <c r="B36" s="386"/>
      <c r="C36" s="385" t="s">
        <v>512</v>
      </c>
      <c r="D36" s="874">
        <f>0.45*$D$8</f>
        <v>0.45</v>
      </c>
      <c r="E36" s="371" t="s">
        <v>514</v>
      </c>
      <c r="F36" s="387"/>
      <c r="G36" s="387"/>
      <c r="H36" s="371"/>
    </row>
    <row r="37" spans="1:8" x14ac:dyDescent="0.3">
      <c r="A37" s="364"/>
      <c r="B37" s="386"/>
      <c r="C37" s="802"/>
      <c r="D37" s="803"/>
      <c r="E37" s="371"/>
      <c r="F37" s="384"/>
      <c r="G37" s="371"/>
      <c r="H37" s="371"/>
    </row>
    <row r="38" spans="1:8" x14ac:dyDescent="0.3">
      <c r="A38" s="364"/>
      <c r="B38" s="375" t="s">
        <v>13</v>
      </c>
      <c r="C38" s="374"/>
      <c r="D38" s="374"/>
      <c r="E38" s="374"/>
      <c r="F38" s="374"/>
      <c r="G38" s="374"/>
      <c r="H38" s="374"/>
    </row>
    <row r="39" spans="1:8" x14ac:dyDescent="0.3">
      <c r="A39" s="364"/>
      <c r="B39" s="371"/>
      <c r="C39" s="371"/>
      <c r="D39" s="371"/>
      <c r="E39" s="371"/>
      <c r="F39" s="371"/>
      <c r="G39" s="371"/>
      <c r="H39" s="371"/>
    </row>
    <row r="40" spans="1:8" x14ac:dyDescent="0.3">
      <c r="A40" s="364"/>
      <c r="B40" s="373"/>
      <c r="C40" s="371"/>
      <c r="D40" s="370" t="s">
        <v>4</v>
      </c>
      <c r="E40" s="370" t="s">
        <v>5</v>
      </c>
      <c r="F40" s="370" t="s">
        <v>6</v>
      </c>
      <c r="G40" s="370" t="s">
        <v>7</v>
      </c>
      <c r="H40" s="370" t="s">
        <v>260</v>
      </c>
    </row>
    <row r="41" spans="1:8" x14ac:dyDescent="0.3">
      <c r="A41" s="364"/>
      <c r="B41" s="383" t="s">
        <v>518</v>
      </c>
      <c r="C41" s="382" t="s">
        <v>481</v>
      </c>
      <c r="D41" s="378">
        <f>65+24.8</f>
        <v>89.8</v>
      </c>
      <c r="E41" s="378">
        <v>64</v>
      </c>
      <c r="F41" s="378">
        <v>55</v>
      </c>
      <c r="G41" s="378">
        <v>207</v>
      </c>
      <c r="H41" s="378">
        <f>4.75*35</f>
        <v>166.25</v>
      </c>
    </row>
    <row r="42" spans="1:8" x14ac:dyDescent="0.3">
      <c r="A42" s="364"/>
      <c r="B42" s="372"/>
      <c r="C42" s="371"/>
      <c r="D42" s="373"/>
      <c r="E42" s="373"/>
      <c r="F42" s="373"/>
      <c r="G42" s="373"/>
      <c r="H42" s="373"/>
    </row>
    <row r="43" spans="1:8" x14ac:dyDescent="0.3">
      <c r="A43" s="364"/>
      <c r="B43" s="373"/>
      <c r="C43" s="371"/>
      <c r="D43" s="370" t="s">
        <v>4</v>
      </c>
      <c r="E43" s="370" t="s">
        <v>5</v>
      </c>
      <c r="F43" s="370" t="s">
        <v>6</v>
      </c>
      <c r="G43" s="370" t="s">
        <v>7</v>
      </c>
      <c r="H43" s="370" t="s">
        <v>260</v>
      </c>
    </row>
    <row r="44" spans="1:8" x14ac:dyDescent="0.3">
      <c r="A44" s="364"/>
      <c r="B44" s="369" t="s">
        <v>515</v>
      </c>
      <c r="C44" s="369" t="s">
        <v>481</v>
      </c>
      <c r="D44" s="378">
        <v>274</v>
      </c>
      <c r="E44" s="378">
        <v>195</v>
      </c>
      <c r="F44" s="378">
        <v>238.6</v>
      </c>
      <c r="G44" s="378">
        <v>340.8</v>
      </c>
      <c r="H44" s="378">
        <v>277.3</v>
      </c>
    </row>
    <row r="45" spans="1:8" x14ac:dyDescent="0.3">
      <c r="A45" s="364"/>
      <c r="B45" s="371"/>
      <c r="C45" s="371"/>
    </row>
    <row r="46" spans="1:8" x14ac:dyDescent="0.3">
      <c r="A46" s="364"/>
      <c r="B46" s="373"/>
      <c r="C46" s="371"/>
      <c r="D46" s="370" t="s">
        <v>4</v>
      </c>
      <c r="E46" s="370" t="s">
        <v>5</v>
      </c>
      <c r="F46" s="370" t="s">
        <v>6</v>
      </c>
      <c r="G46" s="370" t="s">
        <v>7</v>
      </c>
      <c r="H46" s="370" t="s">
        <v>260</v>
      </c>
    </row>
    <row r="47" spans="1:8" x14ac:dyDescent="0.3">
      <c r="A47" s="364"/>
      <c r="B47" s="369" t="s">
        <v>229</v>
      </c>
      <c r="C47" s="369" t="s">
        <v>481</v>
      </c>
      <c r="D47" s="378">
        <v>260</v>
      </c>
      <c r="E47" s="378">
        <v>135</v>
      </c>
      <c r="F47" s="378">
        <v>230</v>
      </c>
      <c r="G47" s="378">
        <v>246</v>
      </c>
      <c r="H47" s="378">
        <v>85</v>
      </c>
    </row>
    <row r="48" spans="1:8" x14ac:dyDescent="0.3">
      <c r="A48" s="364"/>
      <c r="B48" s="380"/>
      <c r="C48" s="371"/>
      <c r="D48" s="371"/>
      <c r="E48" s="371"/>
      <c r="F48" s="371"/>
      <c r="G48" s="371"/>
      <c r="H48" s="371"/>
    </row>
    <row r="49" spans="1:8" x14ac:dyDescent="0.3">
      <c r="A49" s="364"/>
      <c r="B49" s="373"/>
      <c r="C49" s="371"/>
      <c r="D49" s="370" t="s">
        <v>4</v>
      </c>
      <c r="E49" s="370" t="s">
        <v>5</v>
      </c>
      <c r="F49" s="370" t="s">
        <v>6</v>
      </c>
      <c r="G49" s="379"/>
      <c r="H49" s="356"/>
    </row>
    <row r="50" spans="1:8" x14ac:dyDescent="0.3">
      <c r="A50" s="364"/>
      <c r="B50" s="369" t="s">
        <v>230</v>
      </c>
      <c r="C50" s="369" t="s">
        <v>456</v>
      </c>
      <c r="D50" s="378">
        <f>3.5*$D$8</f>
        <v>3.5</v>
      </c>
      <c r="E50" s="378">
        <v>3.5</v>
      </c>
      <c r="F50" s="378">
        <f>3.5*$D$8</f>
        <v>3.5</v>
      </c>
      <c r="G50" s="377"/>
      <c r="H50" s="371"/>
    </row>
    <row r="51" spans="1:8" x14ac:dyDescent="0.3">
      <c r="A51" s="364"/>
      <c r="B51" s="376"/>
      <c r="C51" s="376"/>
      <c r="D51" s="376"/>
      <c r="E51" s="376"/>
      <c r="F51" s="376"/>
      <c r="G51" s="376"/>
      <c r="H51" s="376"/>
    </row>
    <row r="52" spans="1:8" x14ac:dyDescent="0.3">
      <c r="A52" s="364"/>
      <c r="B52" s="375" t="s">
        <v>231</v>
      </c>
      <c r="C52" s="374"/>
      <c r="D52" s="374"/>
      <c r="E52" s="374"/>
      <c r="F52" s="374"/>
      <c r="G52" s="374"/>
      <c r="H52" s="374"/>
    </row>
    <row r="53" spans="1:8" x14ac:dyDescent="0.3">
      <c r="A53" s="364"/>
      <c r="B53" s="371"/>
      <c r="C53" s="371"/>
      <c r="D53" s="371"/>
      <c r="E53" s="371"/>
      <c r="F53" s="371"/>
      <c r="G53" s="371"/>
      <c r="H53" s="371"/>
    </row>
    <row r="54" spans="1:8" x14ac:dyDescent="0.3">
      <c r="A54" s="364"/>
      <c r="B54" s="371"/>
      <c r="C54" s="371"/>
      <c r="D54" s="370" t="s">
        <v>4</v>
      </c>
      <c r="E54" s="370" t="s">
        <v>5</v>
      </c>
      <c r="F54" s="370" t="s">
        <v>6</v>
      </c>
      <c r="G54" s="370" t="s">
        <v>7</v>
      </c>
      <c r="H54" s="370" t="s">
        <v>260</v>
      </c>
    </row>
    <row r="55" spans="1:8" x14ac:dyDescent="0.3">
      <c r="A55" s="364"/>
      <c r="B55" s="369" t="s">
        <v>229</v>
      </c>
      <c r="C55" s="369" t="s">
        <v>358</v>
      </c>
      <c r="D55" s="368">
        <v>4</v>
      </c>
      <c r="E55" s="368">
        <v>2</v>
      </c>
      <c r="F55" s="368">
        <v>2</v>
      </c>
      <c r="G55" s="368">
        <v>3</v>
      </c>
      <c r="H55" s="368">
        <v>3</v>
      </c>
    </row>
    <row r="56" spans="1:8" x14ac:dyDescent="0.3">
      <c r="B56" s="24"/>
      <c r="C56" s="24"/>
      <c r="D56" s="24"/>
      <c r="E56" s="24"/>
      <c r="F56" s="24"/>
      <c r="G56" s="24"/>
      <c r="H56" s="24"/>
    </row>
    <row r="57" spans="1:8" x14ac:dyDescent="0.3">
      <c r="B57" s="371"/>
      <c r="C57" s="371"/>
      <c r="D57" s="370" t="s">
        <v>4</v>
      </c>
      <c r="E57" s="370" t="s">
        <v>5</v>
      </c>
      <c r="F57" s="370" t="s">
        <v>6</v>
      </c>
      <c r="G57" s="370" t="s">
        <v>7</v>
      </c>
      <c r="H57" s="370" t="s">
        <v>260</v>
      </c>
    </row>
    <row r="58" spans="1:8" x14ac:dyDescent="0.3">
      <c r="B58" s="369" t="s">
        <v>580</v>
      </c>
      <c r="C58" s="869" t="s">
        <v>585</v>
      </c>
      <c r="D58" s="961">
        <v>250</v>
      </c>
      <c r="E58" s="961">
        <v>130</v>
      </c>
      <c r="F58" s="961">
        <v>190</v>
      </c>
      <c r="G58" s="961">
        <v>156</v>
      </c>
      <c r="H58" s="961">
        <v>150</v>
      </c>
    </row>
    <row r="59" spans="1:8" ht="14.5" x14ac:dyDescent="0.35">
      <c r="C59" s="870" t="s">
        <v>586</v>
      </c>
      <c r="D59" s="962">
        <f>64/0.437</f>
        <v>146.45308924485127</v>
      </c>
      <c r="E59" s="962">
        <f>49/0.437</f>
        <v>112.12814645308924</v>
      </c>
      <c r="F59" s="962">
        <f>49/0.437</f>
        <v>112.12814645308924</v>
      </c>
      <c r="G59" s="962">
        <f>65/0.437</f>
        <v>148.74141876430207</v>
      </c>
      <c r="H59" s="962">
        <v>115</v>
      </c>
    </row>
    <row r="60" spans="1:8" ht="14.5" x14ac:dyDescent="0.35">
      <c r="C60" s="871" t="s">
        <v>587</v>
      </c>
      <c r="D60" s="963">
        <f>46/0.41</f>
        <v>112.19512195121952</v>
      </c>
      <c r="E60" s="963">
        <f>35/0.41</f>
        <v>85.365853658536594</v>
      </c>
      <c r="F60" s="963">
        <f>39/0.41</f>
        <v>95.121951219512198</v>
      </c>
      <c r="G60" s="963">
        <f>131/0.41</f>
        <v>319.51219512195127</v>
      </c>
      <c r="H60" s="963">
        <v>235</v>
      </c>
    </row>
  </sheetData>
  <sheetProtection selectLockedCells="1"/>
  <dataValidations disablePrompts="1" count="1">
    <dataValidation type="decimal" errorStyle="information" allowBlank="1" showInputMessage="1" showErrorMessage="1" errorTitle="Input Range" error="Value between 0.01 and 0.15" promptTitle="Select discount rate" prompt="0.01-0.15" sqref="D9" xr:uid="{00000000-0002-0000-0100-000000000000}">
      <formula1>0</formula1>
      <formula2>0.15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4:N43"/>
  <sheetViews>
    <sheetView tabSelected="1" topLeftCell="I5" zoomScale="110" zoomScaleNormal="110" workbookViewId="0">
      <selection activeCell="AB28" sqref="AB28"/>
    </sheetView>
  </sheetViews>
  <sheetFormatPr defaultColWidth="9" defaultRowHeight="14" x14ac:dyDescent="0.3"/>
  <cols>
    <col min="2" max="2" width="14.33203125" customWidth="1"/>
    <col min="3" max="3" width="10.58203125" customWidth="1"/>
    <col min="6" max="6" width="11" customWidth="1"/>
    <col min="7" max="7" width="18.08203125" customWidth="1"/>
  </cols>
  <sheetData>
    <row r="4" spans="2:14" x14ac:dyDescent="0.3">
      <c r="B4" s="254"/>
      <c r="C4" s="254"/>
      <c r="D4" s="254"/>
      <c r="E4" s="254"/>
      <c r="F4" s="98"/>
      <c r="G4" s="98"/>
      <c r="H4" s="98"/>
      <c r="I4" s="254"/>
      <c r="J4" s="254"/>
      <c r="K4" s="254"/>
      <c r="L4" s="254"/>
      <c r="M4" s="254"/>
      <c r="N4" s="98"/>
    </row>
    <row r="5" spans="2:14" ht="15" customHeight="1" x14ac:dyDescent="0.3">
      <c r="B5" s="1137" t="s">
        <v>489</v>
      </c>
      <c r="C5" s="1138"/>
      <c r="D5" s="255"/>
      <c r="E5" s="255"/>
      <c r="F5" s="39"/>
      <c r="G5" s="39"/>
      <c r="H5" s="39"/>
      <c r="I5" s="255"/>
      <c r="J5" s="255"/>
      <c r="K5" s="255"/>
      <c r="L5" s="255"/>
      <c r="M5" s="255"/>
      <c r="N5" s="39"/>
    </row>
    <row r="6" spans="2:14" x14ac:dyDescent="0.3">
      <c r="B6" s="256"/>
      <c r="C6" s="39"/>
      <c r="D6" s="39"/>
      <c r="E6" s="255"/>
      <c r="H6" s="39"/>
      <c r="I6" s="255"/>
      <c r="J6" s="255"/>
      <c r="K6" s="255"/>
      <c r="L6" s="255"/>
      <c r="M6" s="255"/>
      <c r="N6" s="39"/>
    </row>
    <row r="7" spans="2:14" x14ac:dyDescent="0.3">
      <c r="B7" s="256"/>
      <c r="C7" s="39"/>
      <c r="D7" s="39"/>
      <c r="E7" s="255"/>
      <c r="H7" s="255"/>
      <c r="I7" s="255"/>
      <c r="J7" s="255"/>
      <c r="K7" s="255"/>
      <c r="L7" s="255"/>
      <c r="M7" s="255"/>
      <c r="N7" s="39"/>
    </row>
    <row r="8" spans="2:14" x14ac:dyDescent="0.3">
      <c r="B8" s="98"/>
      <c r="C8" s="39"/>
      <c r="D8" s="39"/>
      <c r="E8" s="255"/>
      <c r="H8" s="255"/>
      <c r="I8" s="255"/>
      <c r="J8" s="255"/>
      <c r="K8" s="255"/>
      <c r="L8" s="255"/>
      <c r="M8" s="255"/>
      <c r="N8" s="39"/>
    </row>
    <row r="14" spans="2:14" x14ac:dyDescent="0.3">
      <c r="B14" s="39"/>
      <c r="C14" s="39"/>
      <c r="D14" s="1139" t="s">
        <v>320</v>
      </c>
      <c r="E14" s="1140"/>
      <c r="F14" s="1140"/>
      <c r="G14" s="1140"/>
      <c r="H14" s="272"/>
      <c r="I14" s="263" t="s">
        <v>321</v>
      </c>
      <c r="J14" s="263" t="s">
        <v>322</v>
      </c>
    </row>
    <row r="15" spans="2:14" x14ac:dyDescent="0.3">
      <c r="B15" s="250"/>
      <c r="C15" s="250"/>
      <c r="D15" s="261">
        <v>-1</v>
      </c>
      <c r="E15" s="261">
        <v>-0.5</v>
      </c>
      <c r="F15" s="261">
        <v>0</v>
      </c>
      <c r="G15" s="261">
        <v>0.5</v>
      </c>
      <c r="H15" s="261">
        <v>1</v>
      </c>
      <c r="I15" s="264"/>
      <c r="J15" s="264"/>
    </row>
    <row r="16" spans="2:14" x14ac:dyDescent="0.3">
      <c r="B16" s="252" t="s">
        <v>8</v>
      </c>
      <c r="C16" s="253"/>
      <c r="D16" s="262"/>
      <c r="E16" s="262"/>
      <c r="F16" s="262"/>
      <c r="G16" s="262"/>
      <c r="H16" s="262"/>
      <c r="I16" s="263"/>
      <c r="J16" s="263"/>
    </row>
    <row r="17" spans="2:10" x14ac:dyDescent="0.3">
      <c r="B17" s="251"/>
      <c r="C17" s="251" t="s">
        <v>94</v>
      </c>
      <c r="D17" s="786">
        <f>'Sensitivity Analysis Price'!AB164</f>
        <v>-1445.3777556750306</v>
      </c>
      <c r="E17" s="786">
        <f>'Sensitivity Analysis Price'!Z164</f>
        <v>1493.0735614503847</v>
      </c>
      <c r="F17" s="786">
        <f>'Sensitivity Analysis Price'!X164</f>
        <v>4431.5248785758013</v>
      </c>
      <c r="G17" s="786">
        <f>'Sensitivity Analysis Price'!Y164</f>
        <v>7369.9761957012161</v>
      </c>
      <c r="H17" s="786">
        <f>'Sensitivity Analysis Price'!AA164</f>
        <v>10308.427512826633</v>
      </c>
      <c r="I17" s="296">
        <f t="shared" ref="I17:I22" si="0">MAX(D17:H17)-MIN(D17:H17)</f>
        <v>11753.805268501663</v>
      </c>
      <c r="J17" s="296">
        <f>RANK(I17,$I$17:$I$43)</f>
        <v>15</v>
      </c>
    </row>
    <row r="18" spans="2:10" x14ac:dyDescent="0.3">
      <c r="B18" s="251"/>
      <c r="C18" s="763" t="s">
        <v>95</v>
      </c>
      <c r="D18" s="786">
        <f>'Sensitivity Analysis Price'!AG164</f>
        <v>-2210.9494285323503</v>
      </c>
      <c r="E18" s="786">
        <f>'Sensitivity Analysis Price'!AE164</f>
        <v>1375.3135706460916</v>
      </c>
      <c r="F18" s="786">
        <f>'Sensitivity Analysis Price'!AC164</f>
        <v>4961.5765698245332</v>
      </c>
      <c r="G18" s="786">
        <f>'Sensitivity Analysis Price'!AD164</f>
        <v>8547.8395690029756</v>
      </c>
      <c r="H18" s="786">
        <f>'Sensitivity Analysis Price'!AF164</f>
        <v>12134.102568181414</v>
      </c>
      <c r="I18" s="296">
        <f t="shared" si="0"/>
        <v>14345.051996713764</v>
      </c>
      <c r="J18" s="296">
        <f t="shared" ref="J18:J40" si="1">RANK(I18,$I$17:$I$43)</f>
        <v>10</v>
      </c>
    </row>
    <row r="19" spans="2:10" x14ac:dyDescent="0.3">
      <c r="B19" s="251"/>
      <c r="C19" s="763" t="s">
        <v>260</v>
      </c>
      <c r="D19" s="786">
        <f>'Sensitivity Analysis Price'!AL164</f>
        <v>-10432.901516165013</v>
      </c>
      <c r="E19" s="786">
        <f>'Sensitivity Analysis Price'!AJ164</f>
        <v>-2645.6257522537817</v>
      </c>
      <c r="F19" s="786">
        <f>'Sensitivity Analysis Price'!AH164</f>
        <v>5141.6500116574516</v>
      </c>
      <c r="G19" s="786">
        <f>'Sensitivity Analysis Price'!AI164</f>
        <v>12928.925775568683</v>
      </c>
      <c r="H19" s="786">
        <f>'Sensitivity Analysis Price'!AK164</f>
        <v>20716.201539479916</v>
      </c>
      <c r="I19" s="296">
        <f t="shared" si="0"/>
        <v>31149.10305564493</v>
      </c>
      <c r="J19" s="296">
        <f t="shared" si="1"/>
        <v>4</v>
      </c>
    </row>
    <row r="20" spans="2:10" x14ac:dyDescent="0.3">
      <c r="B20" s="251"/>
      <c r="C20" s="257" t="s">
        <v>96</v>
      </c>
      <c r="D20" s="786">
        <f>'Sensitivity Analysis Price'!M164</f>
        <v>-5929.4816514027079</v>
      </c>
      <c r="E20" s="786">
        <f>'Sensitivity Analysis Price'!K164</f>
        <v>-2427.2892141699922</v>
      </c>
      <c r="F20" s="786">
        <f>'Sensitivity Analysis Price'!I164</f>
        <v>1074.9032230627254</v>
      </c>
      <c r="G20" s="786">
        <f>'Sensitivity Analysis Price'!J164</f>
        <v>4577.0956602954429</v>
      </c>
      <c r="H20" s="786">
        <f>'Sensitivity Analysis Price'!L164</f>
        <v>8079.2880975281569</v>
      </c>
      <c r="I20" s="296">
        <f t="shared" si="0"/>
        <v>14008.769748930865</v>
      </c>
      <c r="J20" s="296">
        <f t="shared" si="1"/>
        <v>12</v>
      </c>
    </row>
    <row r="21" spans="2:10" x14ac:dyDescent="0.3">
      <c r="B21" s="258"/>
      <c r="C21" s="257" t="s">
        <v>498</v>
      </c>
      <c r="D21" s="786">
        <f>'Sensitivity Analysis Price'!R164</f>
        <v>-3824.5541269976452</v>
      </c>
      <c r="E21" s="786">
        <f>'Sensitivity Analysis Price'!P164</f>
        <v>1016.2833760664525</v>
      </c>
      <c r="F21" s="786">
        <f>'Sensitivity Analysis Price'!N164</f>
        <v>5697.3134880682146</v>
      </c>
      <c r="G21" s="786">
        <f>'Sensitivity Analysis Price'!O164</f>
        <v>10458.247295601148</v>
      </c>
      <c r="H21" s="786">
        <f>'Sensitivity Analysis Price'!Q164</f>
        <v>15219.181103134073</v>
      </c>
      <c r="I21" s="296">
        <f t="shared" si="0"/>
        <v>19043.735230131719</v>
      </c>
      <c r="J21" s="296">
        <f t="shared" si="1"/>
        <v>7</v>
      </c>
    </row>
    <row r="22" spans="2:10" x14ac:dyDescent="0.3">
      <c r="B22" s="259"/>
      <c r="C22" s="260" t="s">
        <v>303</v>
      </c>
      <c r="D22" s="787">
        <f>'Sensitivity Analysis Price'!W164</f>
        <v>-13541.620128170027</v>
      </c>
      <c r="E22" s="787">
        <f>'Sensitivity Analysis Price'!U164</f>
        <v>-4474.312837988482</v>
      </c>
      <c r="F22" s="787">
        <f>'Sensitivity Analysis Price'!S164</f>
        <v>4592.9944521930611</v>
      </c>
      <c r="G22" s="787">
        <f>'Sensitivity Analysis Price'!T164</f>
        <v>13660.301742374611</v>
      </c>
      <c r="H22" s="787">
        <f>'Sensitivity Analysis Price'!V164</f>
        <v>22727.609032556153</v>
      </c>
      <c r="I22" s="297">
        <f t="shared" si="0"/>
        <v>36269.22916072618</v>
      </c>
      <c r="J22" s="297">
        <f>RANK(I22,$I$17:$I$43)</f>
        <v>1</v>
      </c>
    </row>
    <row r="23" spans="2:10" x14ac:dyDescent="0.3">
      <c r="B23" s="251" t="s">
        <v>323</v>
      </c>
      <c r="C23" s="63"/>
      <c r="D23" s="788"/>
      <c r="E23" s="788"/>
      <c r="F23" s="983"/>
      <c r="G23" s="788"/>
      <c r="H23" s="788"/>
      <c r="I23" s="788"/>
      <c r="J23" s="788"/>
    </row>
    <row r="24" spans="2:10" x14ac:dyDescent="0.3">
      <c r="B24" s="251"/>
      <c r="C24" s="251" t="s">
        <v>94</v>
      </c>
      <c r="D24" s="786">
        <f>'Sensitivity Analysis Yield'!AB164</f>
        <v>-1445.3777556750306</v>
      </c>
      <c r="E24" s="786">
        <f>'Sensitivity Analysis Yield'!Z164</f>
        <v>1493.0735614503847</v>
      </c>
      <c r="F24" s="786">
        <f>'Sensitivity Analysis Yield'!X164</f>
        <v>4431.5248785758013</v>
      </c>
      <c r="G24" s="786">
        <f>'Sensitivity Analysis Yield'!Y164</f>
        <v>7369.9761957012161</v>
      </c>
      <c r="H24" s="786">
        <f>'Sensitivity Analysis Yield'!AA164</f>
        <v>10308.427512826633</v>
      </c>
      <c r="I24" s="296">
        <f t="shared" ref="I24:I29" si="2">MAX(D24:H24)-MIN(D24:H24)</f>
        <v>11753.805268501663</v>
      </c>
      <c r="J24" s="296">
        <f t="shared" si="1"/>
        <v>15</v>
      </c>
    </row>
    <row r="25" spans="2:10" x14ac:dyDescent="0.3">
      <c r="B25" s="251"/>
      <c r="C25" s="763" t="s">
        <v>95</v>
      </c>
      <c r="D25" s="786">
        <f>'Sensitivity Analysis Yield'!AG164</f>
        <v>-2210.9494285323503</v>
      </c>
      <c r="E25" s="786">
        <f>'Sensitivity Analysis Yield'!AE164</f>
        <v>1375.3135706460916</v>
      </c>
      <c r="F25" s="786">
        <f>'Sensitivity Analysis Yield'!AC164</f>
        <v>4961.5765698245332</v>
      </c>
      <c r="G25" s="786">
        <f>'Sensitivity Analysis Yield'!AD164</f>
        <v>8547.8395690029756</v>
      </c>
      <c r="H25" s="786">
        <f>'Sensitivity Analysis Yield'!AF164</f>
        <v>12134.102568181414</v>
      </c>
      <c r="I25" s="296">
        <f t="shared" si="2"/>
        <v>14345.051996713764</v>
      </c>
      <c r="J25" s="296">
        <f t="shared" si="1"/>
        <v>10</v>
      </c>
    </row>
    <row r="26" spans="2:10" x14ac:dyDescent="0.3">
      <c r="B26" s="251"/>
      <c r="C26" s="763" t="s">
        <v>260</v>
      </c>
      <c r="D26" s="786">
        <f>'Sensitivity Analysis Yield'!AL164</f>
        <v>-10432.901516165013</v>
      </c>
      <c r="E26" s="786">
        <f>'Sensitivity Analysis Yield'!AJ164</f>
        <v>-2645.6257522537817</v>
      </c>
      <c r="F26" s="786">
        <f>'Sensitivity Analysis Yield'!AH164</f>
        <v>5141.6500116574516</v>
      </c>
      <c r="G26" s="786">
        <f>'Sensitivity Analysis Yield'!AI164</f>
        <v>12928.925775568687</v>
      </c>
      <c r="H26" s="786">
        <f>'Sensitivity Analysis Yield'!AK164</f>
        <v>20716.201539479916</v>
      </c>
      <c r="I26" s="296">
        <f t="shared" si="2"/>
        <v>31149.10305564493</v>
      </c>
      <c r="J26" s="296">
        <f t="shared" si="1"/>
        <v>4</v>
      </c>
    </row>
    <row r="27" spans="2:10" x14ac:dyDescent="0.3">
      <c r="B27" s="105"/>
      <c r="C27" s="257" t="s">
        <v>96</v>
      </c>
      <c r="D27" s="786">
        <f>'Sensitivity Analysis Yield'!M164</f>
        <v>-5929.4816514027079</v>
      </c>
      <c r="E27" s="786">
        <f>'Sensitivity Analysis Yield'!K164</f>
        <v>-2427.2892141699922</v>
      </c>
      <c r="F27" s="786">
        <f>'Sensitivity Analysis Yield'!I164</f>
        <v>1074.9032230627254</v>
      </c>
      <c r="G27" s="786">
        <f>'Sensitivity Analysis Yield'!J164</f>
        <v>4577.0956602954411</v>
      </c>
      <c r="H27" s="786">
        <f>'Sensitivity Analysis Yield'!L164</f>
        <v>8079.2880975281569</v>
      </c>
      <c r="I27" s="296">
        <f t="shared" si="2"/>
        <v>14008.769748930865</v>
      </c>
      <c r="J27" s="296">
        <f t="shared" si="1"/>
        <v>12</v>
      </c>
    </row>
    <row r="28" spans="2:10" x14ac:dyDescent="0.3">
      <c r="B28" s="251"/>
      <c r="C28" s="257" t="s">
        <v>498</v>
      </c>
      <c r="D28" s="786">
        <f>'Sensitivity Analysis Yield'!R164</f>
        <v>-3824.5541269976452</v>
      </c>
      <c r="E28" s="786">
        <f>'Sensitivity Analysis Yield'!P164</f>
        <v>936.37968053528402</v>
      </c>
      <c r="F28" s="786">
        <f>'Sensitivity Analysis Yield'!N164</f>
        <v>5697.3134880682146</v>
      </c>
      <c r="G28" s="786">
        <f>'Sensitivity Analysis Yield'!O164</f>
        <v>10458.247295601152</v>
      </c>
      <c r="H28" s="786">
        <f>'Sensitivity Analysis Yield'!Q164</f>
        <v>15219.181103134073</v>
      </c>
      <c r="I28" s="296">
        <f t="shared" si="2"/>
        <v>19043.735230131719</v>
      </c>
      <c r="J28" s="296">
        <f t="shared" si="1"/>
        <v>7</v>
      </c>
    </row>
    <row r="29" spans="2:10" x14ac:dyDescent="0.3">
      <c r="B29" s="249"/>
      <c r="C29" s="260" t="s">
        <v>303</v>
      </c>
      <c r="D29" s="787">
        <f>'Sensitivity Analysis Yield'!W164</f>
        <v>-13541.620128170027</v>
      </c>
      <c r="E29" s="787">
        <f>'Sensitivity Analysis Yield'!U164</f>
        <v>-4474.312837988482</v>
      </c>
      <c r="F29" s="787">
        <f>'Sensitivity Analysis Yield'!S164</f>
        <v>4592.9944521930611</v>
      </c>
      <c r="G29" s="787">
        <f>'Sensitivity Analysis Yield'!T164</f>
        <v>13660.301742374611</v>
      </c>
      <c r="H29" s="787">
        <f>'Sensitivity Analysis Yield'!V164</f>
        <v>22727.609032556153</v>
      </c>
      <c r="I29" s="297">
        <f t="shared" si="2"/>
        <v>36269.22916072618</v>
      </c>
      <c r="J29" s="297">
        <f t="shared" si="1"/>
        <v>1</v>
      </c>
    </row>
    <row r="30" spans="2:10" x14ac:dyDescent="0.3">
      <c r="B30" s="251" t="s">
        <v>324</v>
      </c>
      <c r="C30" s="63"/>
      <c r="D30" s="788"/>
      <c r="E30" s="788"/>
      <c r="F30" s="983"/>
      <c r="G30" s="788"/>
      <c r="H30" s="788"/>
      <c r="I30" s="788"/>
      <c r="J30" s="788"/>
    </row>
    <row r="31" spans="2:10" x14ac:dyDescent="0.3">
      <c r="B31" s="251"/>
      <c r="C31" s="251" t="s">
        <v>94</v>
      </c>
      <c r="D31" s="786">
        <f>'Sensitivity Analysis Costs'!AB164</f>
        <v>8542.9478693278179</v>
      </c>
      <c r="E31" s="786">
        <f>'Sensitivity Analysis Costs'!Z164</f>
        <v>6487.2363739518096</v>
      </c>
      <c r="F31" s="786">
        <f>'Sensitivity Analysis Costs'!X164</f>
        <v>4431.5248785758013</v>
      </c>
      <c r="G31" s="786">
        <f>'Sensitivity Analysis Costs'!Y164</f>
        <v>2375.8133831997939</v>
      </c>
      <c r="H31" s="786">
        <f>'Sensitivity Analysis Costs'!AA164</f>
        <v>320.10188782378464</v>
      </c>
      <c r="I31" s="296">
        <f t="shared" ref="I31:I36" si="3">MAX(D31:H31)-MIN(D31:H31)</f>
        <v>8222.8459815040333</v>
      </c>
      <c r="J31" s="296">
        <f t="shared" si="1"/>
        <v>18</v>
      </c>
    </row>
    <row r="32" spans="2:10" x14ac:dyDescent="0.3">
      <c r="B32" s="251"/>
      <c r="C32" s="763" t="s">
        <v>95</v>
      </c>
      <c r="D32" s="786">
        <f>'Sensitivity Analysis Costs'!AG164</f>
        <v>9838.5712334338696</v>
      </c>
      <c r="E32" s="786">
        <f>'Sensitivity Analysis Costs'!AE164</f>
        <v>7400.0739016292009</v>
      </c>
      <c r="F32" s="786">
        <f>'Sensitivity Analysis Costs'!AC164</f>
        <v>4961.5765698245332</v>
      </c>
      <c r="G32" s="786">
        <f>'Sensitivity Analysis Costs'!AD164</f>
        <v>2523.0792380198654</v>
      </c>
      <c r="H32" s="786">
        <f>'Sensitivity Analysis Costs'!AF164</f>
        <v>84.581906215196796</v>
      </c>
      <c r="I32" s="296">
        <f t="shared" si="3"/>
        <v>9753.9893272186728</v>
      </c>
      <c r="J32" s="296">
        <f t="shared" si="1"/>
        <v>17</v>
      </c>
    </row>
    <row r="33" spans="2:10" x14ac:dyDescent="0.3">
      <c r="B33" s="251"/>
      <c r="C33" s="763" t="s">
        <v>260</v>
      </c>
      <c r="D33" s="786">
        <f>'Sensitivity Analysis Costs'!AL164</f>
        <v>18240.596762899451</v>
      </c>
      <c r="E33" s="786">
        <f>'Sensitivity Analysis Costs'!AJ164</f>
        <v>11691.123387278451</v>
      </c>
      <c r="F33" s="786">
        <f>'Sensitivity Analysis Costs'!AH164</f>
        <v>5141.6500116574516</v>
      </c>
      <c r="G33" s="786">
        <f>'Sensitivity Analysis Costs'!AI164</f>
        <v>-1407.8233639635509</v>
      </c>
      <c r="H33" s="786">
        <f>'Sensitivity Analysis Costs'!AK164</f>
        <v>-7957.296739584548</v>
      </c>
      <c r="I33" s="296">
        <f t="shared" si="3"/>
        <v>26197.893502483999</v>
      </c>
      <c r="J33" s="296">
        <f t="shared" si="1"/>
        <v>6</v>
      </c>
    </row>
    <row r="34" spans="2:10" x14ac:dyDescent="0.3">
      <c r="B34" s="105"/>
      <c r="C34" s="257" t="s">
        <v>96</v>
      </c>
      <c r="D34" s="786">
        <f>'Sensitivity Analysis Costs'!M164</f>
        <v>9670.4301095424198</v>
      </c>
      <c r="E34" s="786">
        <f>'Sensitivity Analysis Costs'!K164</f>
        <v>5372.6666663025726</v>
      </c>
      <c r="F34" s="786">
        <f>'Sensitivity Analysis Costs'!I164</f>
        <v>1074.9032230627254</v>
      </c>
      <c r="G34" s="786">
        <f>'Sensitivity Analysis Costs'!J164</f>
        <v>-3222.8602201771228</v>
      </c>
      <c r="H34" s="786">
        <f>'Sensitivity Analysis Costs'!L164</f>
        <v>-7520.6236634169691</v>
      </c>
      <c r="I34" s="296">
        <f t="shared" si="3"/>
        <v>17191.053772959389</v>
      </c>
      <c r="J34" s="296">
        <f t="shared" si="1"/>
        <v>9</v>
      </c>
    </row>
    <row r="35" spans="2:10" x14ac:dyDescent="0.3">
      <c r="B35" s="105"/>
      <c r="C35" s="257" t="s">
        <v>498</v>
      </c>
      <c r="D35" s="786">
        <f>'Sensitivity Analysis Costs'!R164</f>
        <v>12160.149625007181</v>
      </c>
      <c r="E35" s="786">
        <f>'Sensitivity Analysis Costs'!P164</f>
        <v>8942.6131691055307</v>
      </c>
      <c r="F35" s="786">
        <f>'Sensitivity Analysis Costs'!N164</f>
        <v>5697.3134880682146</v>
      </c>
      <c r="G35" s="786">
        <f>'Sensitivity Analysis Costs'!O164</f>
        <v>2452.013807030904</v>
      </c>
      <c r="H35" s="786">
        <f>'Sensitivity Analysis Costs'!Q164</f>
        <v>-793.28587400641663</v>
      </c>
      <c r="I35" s="296">
        <f t="shared" si="3"/>
        <v>12953.435499013598</v>
      </c>
      <c r="J35" s="296">
        <f t="shared" si="1"/>
        <v>14</v>
      </c>
    </row>
    <row r="36" spans="2:10" x14ac:dyDescent="0.3">
      <c r="B36" s="106"/>
      <c r="C36" s="260" t="s">
        <v>303</v>
      </c>
      <c r="D36" s="787">
        <f>'Sensitivity Analysis Costs'!W164</f>
        <v>20800.659815440074</v>
      </c>
      <c r="E36" s="787">
        <f>'Sensitivity Analysis Costs'!U164</f>
        <v>12696.827133816569</v>
      </c>
      <c r="F36" s="787">
        <f>'Sensitivity Analysis Costs'!S164</f>
        <v>4592.9944521930611</v>
      </c>
      <c r="G36" s="787">
        <f>'Sensitivity Analysis Costs'!T164</f>
        <v>-3510.8382294304502</v>
      </c>
      <c r="H36" s="787">
        <f>'Sensitivity Analysis Costs'!V164</f>
        <v>-11614.670911053952</v>
      </c>
      <c r="I36" s="297">
        <f t="shared" si="3"/>
        <v>32415.330726494027</v>
      </c>
      <c r="J36" s="297">
        <f t="shared" si="1"/>
        <v>3</v>
      </c>
    </row>
    <row r="37" spans="2:10" x14ac:dyDescent="0.3">
      <c r="B37" s="251" t="s">
        <v>301</v>
      </c>
      <c r="C37" s="763"/>
      <c r="D37" s="789"/>
      <c r="E37" s="789"/>
      <c r="F37" s="789"/>
      <c r="G37" s="789"/>
      <c r="H37" s="789"/>
      <c r="I37" s="789"/>
      <c r="J37" s="789"/>
    </row>
    <row r="38" spans="2:10" x14ac:dyDescent="0.3">
      <c r="B38" s="251"/>
      <c r="C38" s="251" t="s">
        <v>94</v>
      </c>
      <c r="D38" s="786">
        <f>'Sensitivity Analysis Discount R'!AA164</f>
        <v>6714.9700000000012</v>
      </c>
      <c r="E38" s="786">
        <f>'Sensitivity Analysis Discount R'!Y164</f>
        <v>5446.0922385632821</v>
      </c>
      <c r="F38" s="786">
        <f>'Sensitivity Analysis Discount R'!W164</f>
        <v>4431.5248785758013</v>
      </c>
      <c r="G38" s="786">
        <f>'Sensitivity Analysis Discount R'!X164</f>
        <v>3612.5482358006443</v>
      </c>
      <c r="H38" s="786">
        <f>'Sensitivity Analysis Discount R'!Z164</f>
        <v>2945.3588160210188</v>
      </c>
      <c r="I38" s="296">
        <f t="shared" ref="I38:I43" si="4">MAX(D38:H38)-MIN(D38:H38)</f>
        <v>3769.6111839789824</v>
      </c>
      <c r="J38" s="296">
        <f t="shared" si="1"/>
        <v>21</v>
      </c>
    </row>
    <row r="39" spans="2:10" x14ac:dyDescent="0.3">
      <c r="B39" s="251"/>
      <c r="C39" s="763" t="s">
        <v>95</v>
      </c>
      <c r="D39" s="786">
        <f>'Sensitivity Analysis Discount R'!AF164</f>
        <v>7473.8830000000016</v>
      </c>
      <c r="E39" s="786">
        <f>'Sensitivity Analysis Discount R'!AD164</f>
        <v>6082.1410614869019</v>
      </c>
      <c r="F39" s="786">
        <f>'Sensitivity Analysis Discount R'!AB164</f>
        <v>4961.5765698245332</v>
      </c>
      <c r="G39" s="786">
        <f>'Sensitivity Analysis Discount R'!AC164</f>
        <v>4051.2637640281109</v>
      </c>
      <c r="H39" s="786">
        <f>'Sensitivity Analysis Discount R'!AE164</f>
        <v>3305.3563011145843</v>
      </c>
      <c r="I39" s="296">
        <f t="shared" si="4"/>
        <v>4168.5266988854173</v>
      </c>
      <c r="J39" s="296">
        <f t="shared" si="1"/>
        <v>20</v>
      </c>
    </row>
    <row r="40" spans="2:10" x14ac:dyDescent="0.3">
      <c r="B40" s="251"/>
      <c r="C40" s="763" t="s">
        <v>260</v>
      </c>
      <c r="D40" s="786">
        <f>'Sensitivity Analysis Discount R'!AK164</f>
        <v>6788.5599999999977</v>
      </c>
      <c r="E40" s="786">
        <f>'Sensitivity Analysis Discount R'!AI164</f>
        <v>5876.0347643410569</v>
      </c>
      <c r="F40" s="786">
        <f>'Sensitivity Analysis Discount R'!AG164</f>
        <v>5141.6500116574516</v>
      </c>
      <c r="G40" s="786">
        <f>'Sensitivity Analysis Discount R'!AH164</f>
        <v>4545.0465617636801</v>
      </c>
      <c r="H40" s="786">
        <f>'Sensitivity Analysis Discount R'!AJ164</f>
        <v>4055.9434151068344</v>
      </c>
      <c r="I40" s="296">
        <f t="shared" si="4"/>
        <v>2732.6165848931632</v>
      </c>
      <c r="J40" s="296">
        <f t="shared" si="1"/>
        <v>23</v>
      </c>
    </row>
    <row r="41" spans="2:10" x14ac:dyDescent="0.3">
      <c r="B41" s="258"/>
      <c r="C41" s="257" t="s">
        <v>96</v>
      </c>
      <c r="D41" s="786">
        <f>'Sensitivity Analysis Discount R'!L164</f>
        <v>3225.8163333333341</v>
      </c>
      <c r="E41" s="786">
        <f>'Sensitivity Analysis Discount R'!J164</f>
        <v>2034.6486073016458</v>
      </c>
      <c r="F41" s="786">
        <f>'Sensitivity Analysis Discount R'!$H$164</f>
        <v>1074.9032230627254</v>
      </c>
      <c r="G41" s="786">
        <f>'Sensitivity Analysis Discount R'!I164</f>
        <v>294.6840624427623</v>
      </c>
      <c r="H41" s="786">
        <f>'Sensitivity Analysis Discount R'!K164</f>
        <v>-345.08159403748323</v>
      </c>
      <c r="I41" s="296">
        <f t="shared" si="4"/>
        <v>3570.8979273708173</v>
      </c>
      <c r="J41" s="296">
        <f>RANK(I41,$I$20:$I$42)</f>
        <v>19</v>
      </c>
    </row>
    <row r="42" spans="2:10" x14ac:dyDescent="0.3">
      <c r="B42" s="258"/>
      <c r="C42" s="257" t="s">
        <v>498</v>
      </c>
      <c r="D42" s="786">
        <f>'Sensitivity Analysis Discount R'!Q164</f>
        <v>8482.1546666666654</v>
      </c>
      <c r="E42" s="786">
        <f>'Sensitivity Analysis Discount R'!O164</f>
        <v>6939.1872385528632</v>
      </c>
      <c r="F42" s="786">
        <f>'Sensitivity Analysis Discount R'!$M$164</f>
        <v>5697.3134880682146</v>
      </c>
      <c r="G42" s="786">
        <f>'Sensitivity Analysis Discount R'!N164</f>
        <v>4688.7963760034363</v>
      </c>
      <c r="H42" s="786">
        <f>'Sensitivity Analysis Discount R'!P164</f>
        <v>3862.6822554986529</v>
      </c>
      <c r="I42" s="296">
        <f t="shared" si="4"/>
        <v>4619.4724111680125</v>
      </c>
      <c r="J42" s="296">
        <f>RANK(I42,$I$20:$I$43)</f>
        <v>16</v>
      </c>
    </row>
    <row r="43" spans="2:10" x14ac:dyDescent="0.3">
      <c r="B43" s="106"/>
      <c r="C43" s="764" t="s">
        <v>303</v>
      </c>
      <c r="D43" s="790">
        <f>'Sensitivity Analysis Discount R'!V164</f>
        <v>5965.2346029788168</v>
      </c>
      <c r="E43" s="790">
        <f>'Sensitivity Analysis Discount R'!T164</f>
        <v>5207.4412904878154</v>
      </c>
      <c r="F43" s="790">
        <f>'Sensitivity Analysis Discount R'!R164</f>
        <v>4592.9944521930611</v>
      </c>
      <c r="G43" s="790">
        <f>'Sensitivity Analysis Discount R'!S164</f>
        <v>4090.2735208211088</v>
      </c>
      <c r="H43" s="790">
        <f>'Sensitivity Analysis Discount R'!U164</f>
        <v>3675.3645014612084</v>
      </c>
      <c r="I43" s="297">
        <f t="shared" si="4"/>
        <v>2289.8701015176084</v>
      </c>
      <c r="J43" s="297">
        <f>RANK(I43,$I$20:$I$43)</f>
        <v>21</v>
      </c>
    </row>
  </sheetData>
  <mergeCells count="2">
    <mergeCell ref="B5:C5"/>
    <mergeCell ref="D14:G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D193"/>
  <sheetViews>
    <sheetView topLeftCell="D177" zoomScale="90" zoomScaleNormal="90" workbookViewId="0">
      <selection activeCell="N185" sqref="N185"/>
    </sheetView>
  </sheetViews>
  <sheetFormatPr defaultColWidth="9" defaultRowHeight="14" x14ac:dyDescent="0.3"/>
  <cols>
    <col min="2" max="2" width="45" customWidth="1"/>
    <col min="5" max="5" width="4.08203125" customWidth="1"/>
    <col min="6" max="6" width="9" customWidth="1"/>
    <col min="7" max="7" width="8" customWidth="1"/>
    <col min="8" max="9" width="9" customWidth="1"/>
    <col min="10" max="10" width="4.08203125" customWidth="1"/>
    <col min="11" max="14" width="9" customWidth="1"/>
    <col min="15" max="15" width="4.08203125" customWidth="1"/>
    <col min="16" max="19" width="9" customWidth="1"/>
    <col min="20" max="20" width="4.08203125" customWidth="1"/>
    <col min="25" max="25" width="4.08203125" customWidth="1"/>
  </cols>
  <sheetData>
    <row r="1" spans="2:29" ht="14.5" thickBot="1" x14ac:dyDescent="0.35"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</row>
    <row r="2" spans="2:29" ht="14.5" thickBot="1" x14ac:dyDescent="0.35">
      <c r="B2" s="411" t="s">
        <v>459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</row>
    <row r="3" spans="2:29" x14ac:dyDescent="0.3">
      <c r="B3" s="412"/>
      <c r="C3" s="364"/>
      <c r="D3" s="364"/>
      <c r="E3" s="364"/>
      <c r="F3" s="413"/>
      <c r="G3" s="364"/>
      <c r="H3" s="364"/>
      <c r="I3" s="364"/>
      <c r="J3" s="364"/>
      <c r="K3" s="364"/>
      <c r="L3" s="364"/>
      <c r="M3" s="413"/>
      <c r="N3" s="414"/>
      <c r="O3" s="41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</row>
    <row r="4" spans="2:29" x14ac:dyDescent="0.3">
      <c r="B4" s="415" t="s">
        <v>40</v>
      </c>
      <c r="C4" s="84">
        <f>'Arable Inputs'!D31*'Arable Inputs'!D8</f>
        <v>12.8</v>
      </c>
      <c r="D4" s="364"/>
      <c r="E4" s="364"/>
      <c r="F4" s="413"/>
      <c r="G4" s="414"/>
      <c r="H4" s="364"/>
      <c r="I4" s="413"/>
      <c r="J4" s="413"/>
      <c r="K4" s="414"/>
      <c r="L4" s="364"/>
      <c r="M4" s="413"/>
      <c r="N4" s="414"/>
      <c r="O4" s="41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</row>
    <row r="5" spans="2:29" x14ac:dyDescent="0.3"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</row>
    <row r="6" spans="2:29" x14ac:dyDescent="0.3">
      <c r="B6" s="416"/>
      <c r="C6" s="364"/>
      <c r="D6" s="364"/>
      <c r="E6" s="364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7"/>
      <c r="Y6" s="417"/>
      <c r="Z6" s="417"/>
      <c r="AA6" s="417"/>
      <c r="AB6" s="417"/>
      <c r="AC6" s="417"/>
    </row>
    <row r="7" spans="2:29" x14ac:dyDescent="0.3">
      <c r="B7" s="418"/>
      <c r="C7" s="418"/>
      <c r="D7" s="418"/>
      <c r="E7" s="419"/>
      <c r="F7" s="420" t="s">
        <v>4</v>
      </c>
      <c r="G7" s="421"/>
      <c r="H7" s="421"/>
      <c r="I7" s="421"/>
      <c r="J7" s="419"/>
      <c r="K7" s="422" t="s">
        <v>5</v>
      </c>
      <c r="L7" s="421"/>
      <c r="M7" s="421"/>
      <c r="N7" s="423"/>
      <c r="O7" s="421"/>
      <c r="P7" s="422" t="s">
        <v>6</v>
      </c>
      <c r="Q7" s="421"/>
      <c r="R7" s="421"/>
      <c r="S7" s="423"/>
      <c r="T7" s="421"/>
      <c r="U7" s="422" t="s">
        <v>7</v>
      </c>
      <c r="V7" s="421"/>
      <c r="W7" s="421"/>
      <c r="X7" s="423"/>
      <c r="Y7" s="421"/>
      <c r="Z7" s="422" t="s">
        <v>260</v>
      </c>
      <c r="AA7" s="421"/>
      <c r="AB7" s="421"/>
      <c r="AC7" s="423"/>
    </row>
    <row r="8" spans="2:29" ht="22.5" customHeight="1" x14ac:dyDescent="0.3">
      <c r="B8" s="424"/>
      <c r="C8" s="425"/>
      <c r="D8" s="425"/>
      <c r="E8" s="426"/>
      <c r="F8" s="1063" t="s">
        <v>38</v>
      </c>
      <c r="G8" s="1064"/>
      <c r="H8" s="1061">
        <f>H35+H48+H53+H71+H81+H105+H116+H134+H141+H160</f>
        <v>17.100000000000001</v>
      </c>
      <c r="I8" s="1062"/>
      <c r="J8" s="427"/>
      <c r="K8" s="1072" t="s">
        <v>38</v>
      </c>
      <c r="L8" s="1073"/>
      <c r="M8" s="1062">
        <f>M35+M48+M53+M71+M81+M105+M116+M134+M141+M160</f>
        <v>15.899999999999999</v>
      </c>
      <c r="N8" s="1075"/>
      <c r="O8" s="428"/>
      <c r="P8" s="1072" t="s">
        <v>38</v>
      </c>
      <c r="Q8" s="1063"/>
      <c r="R8" s="1062">
        <f>R35+R48+R53+R71+R81+R105+R116+R134+R141+R160</f>
        <v>18.3</v>
      </c>
      <c r="S8" s="1075"/>
      <c r="T8" s="428"/>
      <c r="U8" s="1072" t="s">
        <v>38</v>
      </c>
      <c r="V8" s="1063"/>
      <c r="W8" s="1062">
        <f>W35+W48+W53+W71+W81+W105+W116+W134+W141+W160</f>
        <v>27.199999999999996</v>
      </c>
      <c r="X8" s="1075"/>
      <c r="Y8" s="428"/>
      <c r="Z8" s="1072" t="s">
        <v>38</v>
      </c>
      <c r="AA8" s="1063"/>
      <c r="AB8" s="1062">
        <f>AB35+AB48+AB53+AB71+AB81+AB105+AB116+AB134+AB141+AB160</f>
        <v>9.3000000000000007</v>
      </c>
      <c r="AC8" s="1075"/>
    </row>
    <row r="9" spans="2:29" ht="22.5" customHeight="1" x14ac:dyDescent="0.3">
      <c r="B9" s="429"/>
      <c r="C9" s="425"/>
      <c r="D9" s="425"/>
      <c r="E9" s="426"/>
      <c r="F9" s="1067" t="s">
        <v>37</v>
      </c>
      <c r="G9" s="1068"/>
      <c r="H9" s="1065">
        <f>I35+I48+I54+I71+I81+I105+I116+I134+I141+I160</f>
        <v>218.88</v>
      </c>
      <c r="I9" s="1066"/>
      <c r="J9" s="430"/>
      <c r="K9" s="1074" t="s">
        <v>37</v>
      </c>
      <c r="L9" s="1067"/>
      <c r="M9" s="1066">
        <f>N35+N48+N54+N71+N81+N105+N116+N134+N141+N160</f>
        <v>203.52</v>
      </c>
      <c r="N9" s="1076"/>
      <c r="O9" s="431"/>
      <c r="P9" s="1074" t="s">
        <v>37</v>
      </c>
      <c r="Q9" s="1067"/>
      <c r="R9" s="1066">
        <f>S35+S48+S54+S71+S81+S105+S116+S134+S141+S160</f>
        <v>234.24</v>
      </c>
      <c r="S9" s="1076"/>
      <c r="T9" s="431"/>
      <c r="U9" s="1074" t="s">
        <v>37</v>
      </c>
      <c r="V9" s="1067"/>
      <c r="W9" s="1066">
        <f>X35+X48+X54+X71+X81+X105+X116+X134+X141+X160</f>
        <v>348.16</v>
      </c>
      <c r="X9" s="1076"/>
      <c r="Y9" s="431"/>
      <c r="Z9" s="1074" t="s">
        <v>37</v>
      </c>
      <c r="AA9" s="1067"/>
      <c r="AB9" s="1066">
        <f>AC35+AC48+AC54+AC71+AC81+AC105+AC116+AC134+AC141+AC160</f>
        <v>119.03999999999999</v>
      </c>
      <c r="AC9" s="1076"/>
    </row>
    <row r="10" spans="2:29" ht="22.5" customHeight="1" x14ac:dyDescent="0.3">
      <c r="B10" s="429" t="s">
        <v>242</v>
      </c>
      <c r="C10" s="432"/>
      <c r="D10" s="425"/>
      <c r="E10" s="426"/>
      <c r="F10" s="1067" t="s">
        <v>36</v>
      </c>
      <c r="G10" s="1068"/>
      <c r="H10" s="1065">
        <f>G35+G48+G53+G71+G81+G105+G116+G134+G141+G160</f>
        <v>561</v>
      </c>
      <c r="I10" s="1066"/>
      <c r="J10" s="430"/>
      <c r="K10" s="1074" t="s">
        <v>36</v>
      </c>
      <c r="L10" s="1067"/>
      <c r="M10" s="1066">
        <f>L35+L48+L53+L71+L81+L105+L116+L134+L141+L160</f>
        <v>508.7</v>
      </c>
      <c r="N10" s="1076"/>
      <c r="O10" s="431"/>
      <c r="P10" s="1074" t="s">
        <v>36</v>
      </c>
      <c r="Q10" s="1067"/>
      <c r="R10" s="1066">
        <f>Q35+Q48+Q53+Q71+Q81+Q105+Q116+Q134+Q141+Q160</f>
        <v>325.79428571428571</v>
      </c>
      <c r="S10" s="1076"/>
      <c r="T10" s="431"/>
      <c r="U10" s="1074" t="s">
        <v>36</v>
      </c>
      <c r="V10" s="1067"/>
      <c r="W10" s="1066">
        <f>V35+V48+V53+V71+V81+V105+V116+V134+V141+V160</f>
        <v>492.87</v>
      </c>
      <c r="X10" s="1076"/>
      <c r="Y10" s="431"/>
      <c r="Z10" s="1074" t="s">
        <v>36</v>
      </c>
      <c r="AA10" s="1067"/>
      <c r="AB10" s="1066">
        <f>AA35+AA48+AA53+AA71+AA81+AA105+AA116+AA134+AA141+AA160</f>
        <v>433.36</v>
      </c>
      <c r="AC10" s="1076"/>
    </row>
    <row r="11" spans="2:29" ht="22.5" customHeight="1" x14ac:dyDescent="0.3">
      <c r="B11" s="16"/>
      <c r="C11" s="418"/>
      <c r="D11" s="418"/>
      <c r="E11" s="433"/>
      <c r="F11" s="1060" t="s">
        <v>39</v>
      </c>
      <c r="G11" s="1069"/>
      <c r="H11" s="1070">
        <f>H10-H9</f>
        <v>342.12</v>
      </c>
      <c r="I11" s="1071"/>
      <c r="J11" s="434"/>
      <c r="K11" s="1059" t="s">
        <v>39</v>
      </c>
      <c r="L11" s="1060"/>
      <c r="M11" s="1077">
        <f>M10-M9</f>
        <v>305.17999999999995</v>
      </c>
      <c r="N11" s="1078"/>
      <c r="O11" s="435"/>
      <c r="P11" s="1059" t="s">
        <v>39</v>
      </c>
      <c r="Q11" s="1060"/>
      <c r="R11" s="1071">
        <f>R10-R9</f>
        <v>91.554285714285697</v>
      </c>
      <c r="S11" s="1078"/>
      <c r="T11" s="435"/>
      <c r="U11" s="1059" t="s">
        <v>39</v>
      </c>
      <c r="V11" s="1060"/>
      <c r="W11" s="1071">
        <f>W10-W9</f>
        <v>144.70999999999998</v>
      </c>
      <c r="X11" s="1078"/>
      <c r="Y11" s="435"/>
      <c r="Z11" s="1059" t="s">
        <v>39</v>
      </c>
      <c r="AA11" s="1079"/>
      <c r="AB11" s="1071">
        <f>AB10-AB9</f>
        <v>314.32000000000005</v>
      </c>
      <c r="AC11" s="1078"/>
    </row>
    <row r="12" spans="2:29" x14ac:dyDescent="0.3">
      <c r="B12" s="436"/>
      <c r="C12" s="437" t="s">
        <v>100</v>
      </c>
      <c r="D12" s="438" t="s">
        <v>101</v>
      </c>
      <c r="E12" s="439" t="s">
        <v>243</v>
      </c>
      <c r="F12" s="440" t="s">
        <v>42</v>
      </c>
      <c r="G12" s="441" t="s">
        <v>43</v>
      </c>
      <c r="H12" s="440" t="s">
        <v>44</v>
      </c>
      <c r="I12" s="440" t="s">
        <v>45</v>
      </c>
      <c r="J12" s="442" t="s">
        <v>243</v>
      </c>
      <c r="K12" s="443" t="s">
        <v>42</v>
      </c>
      <c r="L12" s="441" t="s">
        <v>45</v>
      </c>
      <c r="M12" s="440" t="s">
        <v>44</v>
      </c>
      <c r="N12" s="441" t="s">
        <v>45</v>
      </c>
      <c r="O12" s="442" t="s">
        <v>243</v>
      </c>
      <c r="P12" s="443" t="s">
        <v>42</v>
      </c>
      <c r="Q12" s="441" t="s">
        <v>45</v>
      </c>
      <c r="R12" s="440" t="s">
        <v>44</v>
      </c>
      <c r="S12" s="441" t="s">
        <v>45</v>
      </c>
      <c r="T12" s="442" t="s">
        <v>243</v>
      </c>
      <c r="U12" s="443" t="s">
        <v>42</v>
      </c>
      <c r="V12" s="441" t="s">
        <v>45</v>
      </c>
      <c r="W12" s="440" t="s">
        <v>44</v>
      </c>
      <c r="X12" s="441" t="s">
        <v>45</v>
      </c>
      <c r="Y12" s="442" t="s">
        <v>243</v>
      </c>
      <c r="Z12" s="443" t="s">
        <v>42</v>
      </c>
      <c r="AA12" s="441" t="s">
        <v>45</v>
      </c>
      <c r="AB12" s="440" t="s">
        <v>44</v>
      </c>
      <c r="AC12" s="441" t="s">
        <v>45</v>
      </c>
    </row>
    <row r="13" spans="2:29" x14ac:dyDescent="0.3">
      <c r="B13" s="422" t="s">
        <v>41</v>
      </c>
      <c r="C13" s="444"/>
      <c r="D13" s="445"/>
      <c r="E13" s="445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7"/>
    </row>
    <row r="14" spans="2:29" x14ac:dyDescent="0.3">
      <c r="B14" s="16" t="s">
        <v>121</v>
      </c>
      <c r="C14" s="448">
        <f>61.38*'Arable Inputs'!$D$8</f>
        <v>61.38</v>
      </c>
      <c r="D14" s="449">
        <f>52.06*'Arable Inputs'!$D$8</f>
        <v>52.06</v>
      </c>
      <c r="E14" s="450"/>
      <c r="F14" s="425"/>
      <c r="G14" s="451"/>
      <c r="H14" s="425"/>
      <c r="I14" s="425"/>
      <c r="J14" s="450"/>
      <c r="K14" s="425"/>
      <c r="L14" s="451"/>
      <c r="M14" s="425"/>
      <c r="N14" s="425"/>
      <c r="O14" s="450"/>
      <c r="P14" s="425"/>
      <c r="Q14" s="451"/>
      <c r="R14" s="16"/>
      <c r="S14" s="425"/>
      <c r="T14" s="450"/>
      <c r="U14" s="425"/>
      <c r="V14" s="451"/>
      <c r="W14" s="425"/>
      <c r="X14" s="425"/>
      <c r="Y14" s="450"/>
      <c r="Z14" s="425"/>
      <c r="AA14" s="451"/>
      <c r="AB14" s="452"/>
      <c r="AC14" s="451"/>
    </row>
    <row r="15" spans="2:29" x14ac:dyDescent="0.3">
      <c r="B15" s="16" t="s">
        <v>122</v>
      </c>
      <c r="C15" s="448">
        <f>63.88*'Arable Inputs'!$D$8</f>
        <v>63.88</v>
      </c>
      <c r="D15" s="449">
        <f>57.54*'Arable Inputs'!$D$8</f>
        <v>57.54</v>
      </c>
      <c r="E15" s="450">
        <v>2</v>
      </c>
      <c r="F15" s="453">
        <v>1</v>
      </c>
      <c r="G15" s="986">
        <f>IF(F15&gt;=1,CHOOSE(E15,$C15,$D15)*F15)</f>
        <v>57.54</v>
      </c>
      <c r="H15" s="795">
        <v>1.4</v>
      </c>
      <c r="I15" s="569">
        <f>H15*$C$4</f>
        <v>17.919999999999998</v>
      </c>
      <c r="J15" s="450">
        <v>2</v>
      </c>
      <c r="K15" s="453">
        <v>1</v>
      </c>
      <c r="L15" s="986">
        <f>IF(K15&gt;=1,CHOOSE(J15,$C15,$D15)*K15)</f>
        <v>57.54</v>
      </c>
      <c r="M15" s="795">
        <v>1.4</v>
      </c>
      <c r="N15" s="414">
        <f>M15*$C$4</f>
        <v>17.919999999999998</v>
      </c>
      <c r="O15" s="450"/>
      <c r="P15" s="425"/>
      <c r="Q15" s="451"/>
      <c r="R15" s="799"/>
      <c r="S15" s="414"/>
      <c r="T15" s="450">
        <v>2</v>
      </c>
      <c r="U15" s="453">
        <v>1</v>
      </c>
      <c r="V15" s="986">
        <f>IF(U15&gt;=1,CHOOSE(T15,$C15,$D15)*U15)</f>
        <v>57.54</v>
      </c>
      <c r="W15" s="795">
        <v>1.4</v>
      </c>
      <c r="X15" s="569">
        <f>W15*$C$4</f>
        <v>17.919999999999998</v>
      </c>
      <c r="Y15" s="450">
        <v>2</v>
      </c>
      <c r="Z15" s="453">
        <v>1</v>
      </c>
      <c r="AA15" s="986">
        <f>IF(Z15&gt;=1,CHOOSE(Y15,$C15,$D15)*Z15)</f>
        <v>57.54</v>
      </c>
      <c r="AB15" s="848">
        <v>1.4</v>
      </c>
      <c r="AC15" s="454">
        <f>AB15*$C$4</f>
        <v>17.919999999999998</v>
      </c>
    </row>
    <row r="16" spans="2:29" x14ac:dyDescent="0.3">
      <c r="B16" s="16" t="s">
        <v>123</v>
      </c>
      <c r="C16" s="448">
        <f>(C14+6.92)*'Arable Inputs'!$D$8</f>
        <v>68.3</v>
      </c>
      <c r="D16" s="449">
        <f>(D14+10.44)*'Arable Inputs'!$D$8</f>
        <v>62.5</v>
      </c>
      <c r="E16" s="450"/>
      <c r="F16" s="425"/>
      <c r="G16" s="986"/>
      <c r="H16" s="425"/>
      <c r="I16" s="569"/>
      <c r="J16" s="450"/>
      <c r="K16" s="425"/>
      <c r="L16" s="986"/>
      <c r="M16" s="425"/>
      <c r="N16" s="425"/>
      <c r="O16" s="450"/>
      <c r="P16" s="425"/>
      <c r="Q16" s="451"/>
      <c r="R16" s="425"/>
      <c r="S16" s="425"/>
      <c r="T16" s="450"/>
      <c r="U16" s="425"/>
      <c r="V16" s="986"/>
      <c r="W16" s="425"/>
      <c r="X16" s="569"/>
      <c r="Y16" s="450"/>
      <c r="Z16" s="425"/>
      <c r="AA16" s="986"/>
      <c r="AB16" s="452"/>
      <c r="AC16" s="451"/>
    </row>
    <row r="17" spans="2:29" x14ac:dyDescent="0.3">
      <c r="B17" s="16" t="s">
        <v>102</v>
      </c>
      <c r="C17" s="448">
        <f>76.5*'Arable Inputs'!$D$8</f>
        <v>76.5</v>
      </c>
      <c r="D17" s="449">
        <f>68.49*'Arable Inputs'!$D$8</f>
        <v>68.489999999999995</v>
      </c>
      <c r="E17" s="450"/>
      <c r="F17" s="425"/>
      <c r="G17" s="986"/>
      <c r="H17" s="425"/>
      <c r="I17" s="569"/>
      <c r="J17" s="450"/>
      <c r="K17" s="425"/>
      <c r="L17" s="986"/>
      <c r="M17" s="425"/>
      <c r="N17" s="425"/>
      <c r="O17" s="450"/>
      <c r="P17" s="425"/>
      <c r="Q17" s="451"/>
      <c r="R17" s="425"/>
      <c r="S17" s="425"/>
      <c r="T17" s="450"/>
      <c r="U17" s="425"/>
      <c r="V17" s="986"/>
      <c r="W17" s="425"/>
      <c r="X17" s="569"/>
      <c r="Y17" s="450"/>
      <c r="Z17" s="425"/>
      <c r="AA17" s="986"/>
      <c r="AB17" s="452"/>
      <c r="AC17" s="451"/>
    </row>
    <row r="18" spans="2:29" x14ac:dyDescent="0.3">
      <c r="B18" s="16" t="s">
        <v>125</v>
      </c>
      <c r="C18" s="448">
        <f>75.12*'Arable Inputs'!$D$8</f>
        <v>75.12</v>
      </c>
      <c r="D18" s="449">
        <v>62.16</v>
      </c>
      <c r="E18" s="450"/>
      <c r="F18" s="425"/>
      <c r="G18" s="986"/>
      <c r="H18" s="425"/>
      <c r="I18" s="569"/>
      <c r="J18" s="450"/>
      <c r="K18" s="425"/>
      <c r="L18" s="986"/>
      <c r="M18" s="425"/>
      <c r="N18" s="425"/>
      <c r="O18" s="450"/>
      <c r="P18" s="425"/>
      <c r="Q18" s="451"/>
      <c r="R18" s="425"/>
      <c r="S18" s="425"/>
      <c r="T18" s="450"/>
      <c r="U18" s="425"/>
      <c r="V18" s="986"/>
      <c r="W18" s="425"/>
      <c r="X18" s="569"/>
      <c r="Y18" s="450"/>
      <c r="Z18" s="425"/>
      <c r="AA18" s="986"/>
      <c r="AB18" s="452"/>
      <c r="AC18" s="451"/>
    </row>
    <row r="19" spans="2:29" x14ac:dyDescent="0.3">
      <c r="B19" s="16" t="s">
        <v>124</v>
      </c>
      <c r="C19" s="448" t="s">
        <v>118</v>
      </c>
      <c r="D19" s="449">
        <f>88.06*'Arable Inputs'!$D$8</f>
        <v>88.06</v>
      </c>
      <c r="E19" s="450"/>
      <c r="F19" s="425"/>
      <c r="G19" s="986"/>
      <c r="H19" s="425"/>
      <c r="I19" s="569"/>
      <c r="J19" s="450"/>
      <c r="K19" s="425"/>
      <c r="L19" s="986"/>
      <c r="M19" s="425"/>
      <c r="N19" s="425"/>
      <c r="O19" s="450"/>
      <c r="P19" s="425"/>
      <c r="Q19" s="451"/>
      <c r="R19" s="425"/>
      <c r="S19" s="425"/>
      <c r="T19" s="450"/>
      <c r="U19" s="425"/>
      <c r="V19" s="986"/>
      <c r="W19" s="425"/>
      <c r="X19" s="569"/>
      <c r="Y19" s="450"/>
      <c r="Z19" s="425"/>
      <c r="AA19" s="986"/>
      <c r="AB19" s="452"/>
      <c r="AC19" s="451"/>
    </row>
    <row r="20" spans="2:29" x14ac:dyDescent="0.3">
      <c r="B20" s="16" t="s">
        <v>103</v>
      </c>
      <c r="C20" s="448">
        <f>59.3*'Arable Inputs'!$D$8</f>
        <v>59.3</v>
      </c>
      <c r="D20" s="449">
        <f>52.25*'Arable Inputs'!$D$8</f>
        <v>52.25</v>
      </c>
      <c r="E20" s="450"/>
      <c r="F20" s="425"/>
      <c r="G20" s="986"/>
      <c r="H20" s="425"/>
      <c r="I20" s="569"/>
      <c r="J20" s="450"/>
      <c r="K20" s="425"/>
      <c r="L20" s="986"/>
      <c r="M20" s="425"/>
      <c r="N20" s="425"/>
      <c r="O20" s="450"/>
      <c r="P20" s="425"/>
      <c r="Q20" s="451"/>
      <c r="R20" s="425"/>
      <c r="S20" s="425"/>
      <c r="T20" s="450"/>
      <c r="U20" s="425"/>
      <c r="V20" s="986"/>
      <c r="W20" s="425"/>
      <c r="X20" s="569"/>
      <c r="Y20" s="450"/>
      <c r="Z20" s="425"/>
      <c r="AA20" s="986"/>
      <c r="AB20" s="452"/>
      <c r="AC20" s="451"/>
    </row>
    <row r="21" spans="2:29" x14ac:dyDescent="0.3">
      <c r="B21" s="16" t="s">
        <v>104</v>
      </c>
      <c r="C21" s="448">
        <f>70.77*'Arable Inputs'!$D$8</f>
        <v>70.77</v>
      </c>
      <c r="D21" s="449">
        <f>59.72*'Arable Inputs'!$D$8</f>
        <v>59.72</v>
      </c>
      <c r="E21" s="450"/>
      <c r="F21" s="425"/>
      <c r="G21" s="986"/>
      <c r="H21" s="425"/>
      <c r="I21" s="569"/>
      <c r="J21" s="450"/>
      <c r="K21" s="425"/>
      <c r="L21" s="986"/>
      <c r="M21" s="425"/>
      <c r="N21" s="425"/>
      <c r="O21" s="450"/>
      <c r="P21" s="425"/>
      <c r="Q21" s="451"/>
      <c r="R21" s="425"/>
      <c r="S21" s="425"/>
      <c r="T21" s="450"/>
      <c r="U21" s="425"/>
      <c r="V21" s="986"/>
      <c r="W21" s="425"/>
      <c r="X21" s="569"/>
      <c r="Y21" s="450"/>
      <c r="Z21" s="425"/>
      <c r="AA21" s="986"/>
      <c r="AB21" s="452"/>
      <c r="AC21" s="451"/>
    </row>
    <row r="22" spans="2:29" x14ac:dyDescent="0.3">
      <c r="B22" s="16" t="s">
        <v>46</v>
      </c>
      <c r="C22" s="448">
        <f>18.93*'Arable Inputs'!$D$8</f>
        <v>18.93</v>
      </c>
      <c r="D22" s="449">
        <f>15.22*'Arable Inputs'!$D$8</f>
        <v>15.22</v>
      </c>
      <c r="E22" s="450"/>
      <c r="F22" s="425"/>
      <c r="G22" s="986"/>
      <c r="H22" s="425"/>
      <c r="I22" s="569"/>
      <c r="J22" s="450"/>
      <c r="K22" s="425"/>
      <c r="L22" s="986"/>
      <c r="M22" s="425"/>
      <c r="N22" s="425"/>
      <c r="O22" s="450"/>
      <c r="P22" s="425"/>
      <c r="Q22" s="451"/>
      <c r="R22" s="425"/>
      <c r="S22" s="425"/>
      <c r="T22" s="450"/>
      <c r="U22" s="425"/>
      <c r="V22" s="986"/>
      <c r="W22" s="425"/>
      <c r="X22" s="569"/>
      <c r="Y22" s="450"/>
      <c r="Z22" s="425"/>
      <c r="AA22" s="986"/>
      <c r="AB22" s="452"/>
      <c r="AC22" s="451"/>
    </row>
    <row r="23" spans="2:29" x14ac:dyDescent="0.3">
      <c r="B23" s="16" t="s">
        <v>127</v>
      </c>
      <c r="C23" s="448">
        <f>51.89*'Arable Inputs'!$D$8</f>
        <v>51.89</v>
      </c>
      <c r="D23" s="449">
        <f>33.4*'Arable Inputs'!$D$8</f>
        <v>33.4</v>
      </c>
      <c r="E23" s="450"/>
      <c r="F23" s="425"/>
      <c r="G23" s="986"/>
      <c r="H23" s="425"/>
      <c r="I23" s="569"/>
      <c r="J23" s="450"/>
      <c r="K23" s="425"/>
      <c r="L23" s="986"/>
      <c r="M23" s="425"/>
      <c r="N23" s="425"/>
      <c r="O23" s="450"/>
      <c r="P23" s="425"/>
      <c r="Q23" s="451"/>
      <c r="R23" s="425"/>
      <c r="S23" s="425"/>
      <c r="T23" s="450"/>
      <c r="U23" s="425"/>
      <c r="V23" s="986"/>
      <c r="W23" s="425"/>
      <c r="X23" s="569"/>
      <c r="Y23" s="450"/>
      <c r="Z23" s="425"/>
      <c r="AA23" s="986"/>
      <c r="AB23" s="452"/>
      <c r="AC23" s="451"/>
    </row>
    <row r="24" spans="2:29" x14ac:dyDescent="0.3">
      <c r="B24" s="16" t="s">
        <v>126</v>
      </c>
      <c r="C24" s="448">
        <f>59.3*'Arable Inputs'!$D$8</f>
        <v>59.3</v>
      </c>
      <c r="D24" s="449">
        <f>41.49*'Arable Inputs'!$D$8</f>
        <v>41.49</v>
      </c>
      <c r="E24" s="450"/>
      <c r="F24" s="425"/>
      <c r="G24" s="986"/>
      <c r="H24" s="425"/>
      <c r="I24" s="569"/>
      <c r="J24" s="450"/>
      <c r="K24" s="425"/>
      <c r="L24" s="986"/>
      <c r="M24" s="425"/>
      <c r="N24" s="425"/>
      <c r="O24" s="450"/>
      <c r="P24" s="425"/>
      <c r="Q24" s="451"/>
      <c r="R24" s="425"/>
      <c r="S24" s="425"/>
      <c r="T24" s="450"/>
      <c r="U24" s="425"/>
      <c r="V24" s="986"/>
      <c r="W24" s="425"/>
      <c r="X24" s="569"/>
      <c r="Y24" s="450"/>
      <c r="Z24" s="425"/>
      <c r="AA24" s="986"/>
      <c r="AB24" s="452"/>
      <c r="AC24" s="451"/>
    </row>
    <row r="25" spans="2:29" x14ac:dyDescent="0.3">
      <c r="B25" s="16" t="s">
        <v>128</v>
      </c>
      <c r="C25" s="448">
        <f>59.3*'Arable Inputs'!$D$8</f>
        <v>59.3</v>
      </c>
      <c r="D25" s="449">
        <f>52.41*'Arable Inputs'!$D$8</f>
        <v>52.41</v>
      </c>
      <c r="E25" s="450">
        <v>2</v>
      </c>
      <c r="F25" s="453">
        <v>1</v>
      </c>
      <c r="G25" s="986">
        <f>IF(F25&gt;=1,CHOOSE(E25,$C25,$D25)*F25)</f>
        <v>52.41</v>
      </c>
      <c r="H25" s="798">
        <f>1+1.1</f>
        <v>2.1</v>
      </c>
      <c r="I25" s="569">
        <f>H25*$C$4</f>
        <v>26.880000000000003</v>
      </c>
      <c r="J25" s="450">
        <v>2</v>
      </c>
      <c r="K25" s="453">
        <v>1</v>
      </c>
      <c r="L25" s="986">
        <f>IF(K25&gt;=1,CHOOSE(J25,$C25,$D25)*K25)</f>
        <v>52.41</v>
      </c>
      <c r="M25" s="798">
        <f>1+1.1</f>
        <v>2.1</v>
      </c>
      <c r="N25" s="414">
        <f>M25*$C$4</f>
        <v>26.880000000000003</v>
      </c>
      <c r="O25" s="450"/>
      <c r="P25" s="425"/>
      <c r="Q25" s="451"/>
      <c r="R25" s="799"/>
      <c r="S25" s="414"/>
      <c r="T25" s="450"/>
      <c r="U25" s="425"/>
      <c r="V25" s="986"/>
      <c r="W25" s="425"/>
      <c r="X25" s="569"/>
      <c r="Y25" s="450">
        <v>2</v>
      </c>
      <c r="Z25" s="453">
        <v>1</v>
      </c>
      <c r="AA25" s="986">
        <f>IF(Z25&gt;=1,CHOOSE(Y25,$C25,$D25)*Z25)</f>
        <v>52.41</v>
      </c>
      <c r="AB25" s="822">
        <v>2.1</v>
      </c>
      <c r="AC25" s="454">
        <f>AB25*$C$4</f>
        <v>26.880000000000003</v>
      </c>
    </row>
    <row r="26" spans="2:29" x14ac:dyDescent="0.3">
      <c r="B26" s="16" t="s">
        <v>129</v>
      </c>
      <c r="C26" s="448">
        <f>51.89*'Arable Inputs'!$D$8</f>
        <v>51.89</v>
      </c>
      <c r="D26" s="449">
        <f>39.31*'Arable Inputs'!$D$8</f>
        <v>39.31</v>
      </c>
      <c r="E26" s="450"/>
      <c r="F26" s="425"/>
      <c r="G26" s="451"/>
      <c r="H26" s="425"/>
      <c r="I26" s="569"/>
      <c r="J26" s="450"/>
      <c r="K26" s="425"/>
      <c r="L26" s="451"/>
      <c r="M26" s="425"/>
      <c r="N26" s="425"/>
      <c r="O26" s="450"/>
      <c r="P26" s="425"/>
      <c r="Q26" s="451"/>
      <c r="R26" s="799"/>
      <c r="S26" s="414"/>
      <c r="T26" s="450"/>
      <c r="U26" s="425"/>
      <c r="V26" s="986"/>
      <c r="W26" s="799"/>
      <c r="X26" s="569"/>
      <c r="Y26" s="450"/>
      <c r="Z26" s="425"/>
      <c r="AA26" s="986"/>
      <c r="AB26" s="821"/>
      <c r="AC26" s="454"/>
    </row>
    <row r="27" spans="2:29" x14ac:dyDescent="0.3">
      <c r="B27" s="16" t="s">
        <v>105</v>
      </c>
      <c r="C27" s="448">
        <f>34.59*'Arable Inputs'!$D$8</f>
        <v>34.590000000000003</v>
      </c>
      <c r="D27" s="449">
        <f>21.76*'Arable Inputs'!$D$8</f>
        <v>21.76</v>
      </c>
      <c r="E27" s="450"/>
      <c r="F27" s="425"/>
      <c r="G27" s="451"/>
      <c r="H27" s="425"/>
      <c r="I27" s="569"/>
      <c r="J27" s="450"/>
      <c r="K27" s="425"/>
      <c r="L27" s="451"/>
      <c r="M27" s="425"/>
      <c r="N27" s="425"/>
      <c r="O27" s="450"/>
      <c r="P27" s="425"/>
      <c r="Q27" s="451"/>
      <c r="R27" s="425"/>
      <c r="S27" s="425"/>
      <c r="T27" s="450"/>
      <c r="U27" s="425"/>
      <c r="V27" s="986"/>
      <c r="W27" s="425"/>
      <c r="X27" s="569"/>
      <c r="Y27" s="450"/>
      <c r="Z27" s="425"/>
      <c r="AA27" s="986"/>
      <c r="AB27" s="452"/>
      <c r="AC27" s="451"/>
    </row>
    <row r="28" spans="2:29" x14ac:dyDescent="0.3">
      <c r="B28" s="16" t="s">
        <v>106</v>
      </c>
      <c r="C28" s="448">
        <f>37.07*'Arable Inputs'!$D$8</f>
        <v>37.07</v>
      </c>
      <c r="D28" s="449">
        <f>25.65*'Arable Inputs'!$D$8</f>
        <v>25.65</v>
      </c>
      <c r="E28" s="450"/>
      <c r="F28" s="425"/>
      <c r="G28" s="451"/>
      <c r="H28" s="425"/>
      <c r="I28" s="569"/>
      <c r="J28" s="450"/>
      <c r="K28" s="425"/>
      <c r="L28" s="451"/>
      <c r="M28" s="425"/>
      <c r="N28" s="425"/>
      <c r="O28" s="450"/>
      <c r="P28" s="425"/>
      <c r="Q28" s="451"/>
      <c r="R28" s="425"/>
      <c r="S28" s="425"/>
      <c r="T28" s="450"/>
      <c r="U28" s="425"/>
      <c r="V28" s="986"/>
      <c r="W28" s="425"/>
      <c r="X28" s="569"/>
      <c r="Y28" s="450"/>
      <c r="Z28" s="425"/>
      <c r="AA28" s="986"/>
      <c r="AB28" s="452"/>
      <c r="AC28" s="451"/>
    </row>
    <row r="29" spans="2:29" x14ac:dyDescent="0.3">
      <c r="B29" s="16" t="s">
        <v>109</v>
      </c>
      <c r="C29" s="448">
        <f>67.26*'Arable Inputs'!$D$8</f>
        <v>67.260000000000005</v>
      </c>
      <c r="D29" s="449">
        <f>52.91*'Arable Inputs'!$D$8</f>
        <v>52.91</v>
      </c>
      <c r="E29" s="450"/>
      <c r="F29" s="425"/>
      <c r="G29" s="451"/>
      <c r="H29" s="425"/>
      <c r="I29" s="569"/>
      <c r="J29" s="450"/>
      <c r="K29" s="425"/>
      <c r="L29" s="451"/>
      <c r="M29" s="425"/>
      <c r="N29" s="425"/>
      <c r="O29" s="450"/>
      <c r="P29" s="425"/>
      <c r="Q29" s="451"/>
      <c r="R29" s="425"/>
      <c r="S29" s="425"/>
      <c r="T29" s="450"/>
      <c r="U29" s="425"/>
      <c r="V29" s="986"/>
      <c r="W29" s="425"/>
      <c r="X29" s="569"/>
      <c r="Y29" s="450"/>
      <c r="Z29" s="425"/>
      <c r="AA29" s="986"/>
      <c r="AB29" s="452"/>
      <c r="AC29" s="451"/>
    </row>
    <row r="30" spans="2:29" x14ac:dyDescent="0.3">
      <c r="B30" s="16" t="s">
        <v>108</v>
      </c>
      <c r="C30" s="448">
        <f>37.07*'Arable Inputs'!$D$8</f>
        <v>37.07</v>
      </c>
      <c r="D30" s="449">
        <f>37.32*'Arable Inputs'!$D$8</f>
        <v>37.32</v>
      </c>
      <c r="E30" s="450"/>
      <c r="F30" s="425"/>
      <c r="G30" s="451"/>
      <c r="H30" s="425"/>
      <c r="I30" s="569"/>
      <c r="J30" s="450"/>
      <c r="K30" s="425"/>
      <c r="L30" s="451"/>
      <c r="M30" s="425"/>
      <c r="N30" s="425"/>
      <c r="O30" s="450">
        <v>2</v>
      </c>
      <c r="P30" s="453">
        <v>1</v>
      </c>
      <c r="Q30" s="986">
        <f>IF(P30&gt;=1,CHOOSE(O30,$C30,$D30)*P30)</f>
        <v>37.32</v>
      </c>
      <c r="R30" s="798">
        <v>1.6</v>
      </c>
      <c r="S30" s="569">
        <f>R30*$C$4</f>
        <v>20.480000000000004</v>
      </c>
      <c r="T30" s="450">
        <v>2</v>
      </c>
      <c r="U30" s="453">
        <v>1</v>
      </c>
      <c r="V30" s="986">
        <f>IF(U30&gt;=1,CHOOSE(T30,$C30,$D30)*U30)</f>
        <v>37.32</v>
      </c>
      <c r="W30" s="795">
        <v>3.2</v>
      </c>
      <c r="X30" s="569">
        <f>W30*$C$4</f>
        <v>40.960000000000008</v>
      </c>
      <c r="Y30" s="450"/>
      <c r="Z30" s="425"/>
      <c r="AA30" s="986"/>
      <c r="AB30" s="854"/>
      <c r="AC30" s="454"/>
    </row>
    <row r="31" spans="2:29" x14ac:dyDescent="0.3">
      <c r="B31" s="16" t="s">
        <v>107</v>
      </c>
      <c r="C31" s="448">
        <f>29.9*'Arable Inputs'!$D$8</f>
        <v>29.9</v>
      </c>
      <c r="D31" s="449">
        <f>16.68*'Arable Inputs'!$D$8</f>
        <v>16.68</v>
      </c>
      <c r="E31" s="450"/>
      <c r="F31" s="364"/>
      <c r="G31" s="451"/>
      <c r="H31" s="364"/>
      <c r="I31" s="569"/>
      <c r="J31" s="450"/>
      <c r="K31" s="456"/>
      <c r="L31" s="451"/>
      <c r="M31" s="425"/>
      <c r="N31" s="425"/>
      <c r="O31" s="450"/>
      <c r="P31" s="364" t="s">
        <v>610</v>
      </c>
      <c r="Q31" s="986"/>
      <c r="R31" s="364"/>
      <c r="S31" s="569"/>
      <c r="T31" s="450">
        <v>2</v>
      </c>
      <c r="U31" s="453">
        <v>1</v>
      </c>
      <c r="V31" s="986">
        <f>IF(U31&gt;=1,CHOOSE(T31,$C31,$D31)*U31)</f>
        <v>16.68</v>
      </c>
      <c r="W31" s="795">
        <v>0.8</v>
      </c>
      <c r="X31" s="569">
        <f>W31*$C$4</f>
        <v>10.240000000000002</v>
      </c>
      <c r="Y31" s="450"/>
      <c r="Z31" s="425"/>
      <c r="AA31" s="986"/>
      <c r="AB31" s="452"/>
      <c r="AC31" s="454"/>
    </row>
    <row r="32" spans="2:29" x14ac:dyDescent="0.3">
      <c r="B32" s="16" t="s">
        <v>130</v>
      </c>
      <c r="C32" s="448">
        <f>21.42*'Arable Inputs'!$D$8</f>
        <v>21.42</v>
      </c>
      <c r="D32" s="449">
        <f>8.89*'Arable Inputs'!$D$8</f>
        <v>8.89</v>
      </c>
      <c r="E32" s="450">
        <v>2</v>
      </c>
      <c r="F32" s="453">
        <v>1</v>
      </c>
      <c r="G32" s="986">
        <f>IF(F32&gt;=1,CHOOSE(E32,$C32,$D32)*F32)</f>
        <v>8.89</v>
      </c>
      <c r="H32" s="795">
        <v>1.1000000000000001</v>
      </c>
      <c r="I32" s="569">
        <f>H32*$C$4</f>
        <v>14.080000000000002</v>
      </c>
      <c r="J32" s="450">
        <v>2</v>
      </c>
      <c r="K32" s="453">
        <v>1</v>
      </c>
      <c r="L32" s="986">
        <f>IF(K32&gt;=1,CHOOSE(J32,$C32,$D32)*K32)</f>
        <v>8.89</v>
      </c>
      <c r="M32" s="795">
        <v>1.1000000000000001</v>
      </c>
      <c r="N32" s="414">
        <f>M32*$C$4</f>
        <v>14.080000000000002</v>
      </c>
      <c r="O32" s="450">
        <v>2</v>
      </c>
      <c r="P32" s="453">
        <v>1</v>
      </c>
      <c r="Q32" s="986">
        <f>IF(P32&gt;=1,CHOOSE(O32,$C32,$D32)*P32)</f>
        <v>8.89</v>
      </c>
      <c r="R32" s="795">
        <v>1.6</v>
      </c>
      <c r="S32" s="569">
        <f>R32*$C$4</f>
        <v>20.480000000000004</v>
      </c>
      <c r="T32" s="450"/>
      <c r="U32" s="425"/>
      <c r="V32" s="986"/>
      <c r="W32" s="799"/>
      <c r="X32" s="569"/>
      <c r="Y32" s="450">
        <v>2</v>
      </c>
      <c r="Z32" s="453">
        <v>1</v>
      </c>
      <c r="AA32" s="986">
        <f>IF(Z32&gt;=1,CHOOSE(Y32,$C32,$D32)*Z32)</f>
        <v>8.89</v>
      </c>
      <c r="AB32" s="822">
        <v>1.1000000000000001</v>
      </c>
      <c r="AC32" s="454">
        <f>AB32*$C$4</f>
        <v>14.080000000000002</v>
      </c>
    </row>
    <row r="33" spans="2:29" x14ac:dyDescent="0.3">
      <c r="B33" s="16" t="s">
        <v>54</v>
      </c>
      <c r="C33" s="448">
        <f>276.75*'Arable Inputs'!$D$8</f>
        <v>276.75</v>
      </c>
      <c r="D33" s="457">
        <f>217.01*'Arable Inputs'!$D$8</f>
        <v>217.01</v>
      </c>
      <c r="E33" s="450"/>
      <c r="F33" s="425"/>
      <c r="G33" s="986"/>
      <c r="H33" s="425"/>
      <c r="I33" s="569"/>
      <c r="J33" s="450"/>
      <c r="K33" s="425"/>
      <c r="L33" s="986"/>
      <c r="M33" s="425"/>
      <c r="N33" s="425"/>
      <c r="O33" s="450"/>
      <c r="P33" s="425"/>
      <c r="Q33" s="986"/>
      <c r="R33" s="425"/>
      <c r="S33" s="569"/>
      <c r="T33" s="450"/>
      <c r="U33" s="425"/>
      <c r="V33" s="986"/>
      <c r="W33" s="425"/>
      <c r="X33" s="569"/>
      <c r="Y33" s="450"/>
      <c r="Z33" s="425"/>
      <c r="AA33" s="986"/>
      <c r="AB33" s="452"/>
      <c r="AC33" s="451"/>
    </row>
    <row r="34" spans="2:29" x14ac:dyDescent="0.3">
      <c r="B34" s="16" t="s">
        <v>55</v>
      </c>
      <c r="C34" s="458">
        <f>85.25*'Arable Inputs'!$D$8</f>
        <v>85.25</v>
      </c>
      <c r="D34" s="457">
        <f>56.5*'Arable Inputs'!$D$8</f>
        <v>56.5</v>
      </c>
      <c r="E34" s="450"/>
      <c r="F34" s="425"/>
      <c r="G34" s="986"/>
      <c r="H34" s="425"/>
      <c r="I34" s="569"/>
      <c r="J34" s="450"/>
      <c r="K34" s="425"/>
      <c r="L34" s="986"/>
      <c r="M34" s="425"/>
      <c r="N34" s="425"/>
      <c r="O34" s="450"/>
      <c r="P34" s="425"/>
      <c r="Q34" s="986"/>
      <c r="R34" s="425"/>
      <c r="S34" s="569"/>
      <c r="T34" s="450"/>
      <c r="U34" s="425"/>
      <c r="V34" s="986"/>
      <c r="W34" s="425"/>
      <c r="X34" s="569"/>
      <c r="Y34" s="450"/>
      <c r="Z34" s="425"/>
      <c r="AA34" s="986"/>
      <c r="AB34" s="452"/>
      <c r="AC34" s="451"/>
    </row>
    <row r="35" spans="2:29" x14ac:dyDescent="0.3">
      <c r="B35" s="422" t="s">
        <v>47</v>
      </c>
      <c r="C35" s="459"/>
      <c r="D35" s="459"/>
      <c r="E35" s="460"/>
      <c r="F35" s="420" t="s">
        <v>12</v>
      </c>
      <c r="G35" s="812">
        <f>SUM(G14:G34)</f>
        <v>118.83999999999999</v>
      </c>
      <c r="H35" s="422">
        <f>SUM(H14:H34)</f>
        <v>4.5999999999999996</v>
      </c>
      <c r="I35" s="825">
        <f>SUM(I14:I34)</f>
        <v>58.879999999999995</v>
      </c>
      <c r="J35" s="463"/>
      <c r="K35" s="420"/>
      <c r="L35" s="812">
        <f>SUM(L14:L34)</f>
        <v>118.83999999999999</v>
      </c>
      <c r="M35" s="422">
        <f>SUM(M14:M34)</f>
        <v>4.5999999999999996</v>
      </c>
      <c r="N35" s="462">
        <f>SUM(N14:N34)</f>
        <v>58.879999999999995</v>
      </c>
      <c r="O35" s="463"/>
      <c r="P35" s="420"/>
      <c r="Q35" s="812">
        <f>SUM(Q14:Q34)</f>
        <v>46.21</v>
      </c>
      <c r="R35" s="422">
        <f>SUM(R14:R34)</f>
        <v>3.2</v>
      </c>
      <c r="S35" s="825">
        <f>SUM(S14:S34)</f>
        <v>40.960000000000008</v>
      </c>
      <c r="T35" s="463"/>
      <c r="U35" s="420"/>
      <c r="V35" s="812">
        <f>SUM(V14:V34)</f>
        <v>111.53999999999999</v>
      </c>
      <c r="W35" s="422">
        <f>SUM(W14:W34)</f>
        <v>5.3999999999999995</v>
      </c>
      <c r="X35" s="825">
        <f>SUM(X14:X34)</f>
        <v>69.12</v>
      </c>
      <c r="Y35" s="463"/>
      <c r="Z35" s="420"/>
      <c r="AA35" s="812">
        <f>SUM(AA14:AA34)</f>
        <v>118.83999999999999</v>
      </c>
      <c r="AB35" s="422">
        <f>SUM(AB14:AB34)</f>
        <v>4.5999999999999996</v>
      </c>
      <c r="AC35" s="464">
        <f>SUM(AC14:AC34)</f>
        <v>58.879999999999995</v>
      </c>
    </row>
    <row r="36" spans="2:29" s="39" customFormat="1" x14ac:dyDescent="0.3">
      <c r="B36" s="465"/>
      <c r="C36" s="459"/>
      <c r="D36" s="459"/>
      <c r="E36" s="459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461"/>
    </row>
    <row r="37" spans="2:29" x14ac:dyDescent="0.3">
      <c r="B37" s="465" t="s">
        <v>147</v>
      </c>
      <c r="C37" s="459"/>
      <c r="D37" s="459"/>
      <c r="E37" s="459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23"/>
    </row>
    <row r="38" spans="2:29" x14ac:dyDescent="0.3">
      <c r="B38" s="16" t="s">
        <v>206</v>
      </c>
      <c r="C38" s="448">
        <f>12.36*'Arable Inputs'!$D$8</f>
        <v>12.36</v>
      </c>
      <c r="D38" s="449">
        <f>6.69*'Arable Inputs'!$D$8</f>
        <v>6.69</v>
      </c>
      <c r="E38" s="450"/>
      <c r="F38" s="466"/>
      <c r="G38" s="467"/>
      <c r="H38" s="425"/>
      <c r="I38" s="425"/>
      <c r="J38" s="450"/>
      <c r="K38" s="466"/>
      <c r="L38" s="467"/>
      <c r="M38" s="425"/>
      <c r="N38" s="425"/>
      <c r="O38" s="450"/>
      <c r="P38" s="466"/>
      <c r="Q38" s="467"/>
      <c r="R38" s="425"/>
      <c r="S38" s="425"/>
      <c r="T38" s="450"/>
      <c r="U38" s="466"/>
      <c r="V38" s="467"/>
      <c r="W38" s="425"/>
      <c r="X38" s="425"/>
      <c r="Y38" s="450"/>
      <c r="Z38" s="466"/>
      <c r="AA38" s="988"/>
      <c r="AB38" s="452"/>
      <c r="AC38" s="451"/>
    </row>
    <row r="39" spans="2:29" x14ac:dyDescent="0.3">
      <c r="B39" s="16" t="s">
        <v>48</v>
      </c>
      <c r="C39" s="448">
        <f>(C38+3.71)*'Arable Inputs'!$D$8</f>
        <v>16.07</v>
      </c>
      <c r="D39" s="449" t="s">
        <v>118</v>
      </c>
      <c r="E39" s="450">
        <v>1</v>
      </c>
      <c r="F39" s="453">
        <v>4</v>
      </c>
      <c r="G39" s="986">
        <f>IF(F39&gt;=1,CHOOSE(E39,$C39,$D39)*F39)</f>
        <v>64.28</v>
      </c>
      <c r="H39" s="795">
        <f>0.3*F39</f>
        <v>1.2</v>
      </c>
      <c r="I39" s="569">
        <f>H39*$C$4</f>
        <v>15.36</v>
      </c>
      <c r="J39" s="450">
        <v>1</v>
      </c>
      <c r="K39" s="453">
        <v>2</v>
      </c>
      <c r="L39" s="986">
        <f>IF(K39&gt;=1,CHOOSE(J39,$C39,$D39)*K39)</f>
        <v>32.14</v>
      </c>
      <c r="M39" s="795">
        <f>0.3*K39</f>
        <v>0.6</v>
      </c>
      <c r="N39" s="569">
        <f>M39*$C$4</f>
        <v>7.68</v>
      </c>
      <c r="O39" s="450">
        <v>1</v>
      </c>
      <c r="P39" s="453">
        <v>1</v>
      </c>
      <c r="Q39" s="986">
        <f>IF(P39&gt;=1,CHOOSE(O39,$C39,$D39)*P39)</f>
        <v>16.07</v>
      </c>
      <c r="R39" s="795">
        <f>1.6*P39</f>
        <v>1.6</v>
      </c>
      <c r="S39" s="569">
        <f>R39*$C$4</f>
        <v>20.480000000000004</v>
      </c>
      <c r="T39" s="450">
        <v>1</v>
      </c>
      <c r="U39" s="453">
        <v>1</v>
      </c>
      <c r="V39" s="986">
        <f>IF(U39&gt;=1,CHOOSE(T39,$C39,$D39)*U39)</f>
        <v>16.07</v>
      </c>
      <c r="W39" s="795">
        <f>0.7*U39</f>
        <v>0.7</v>
      </c>
      <c r="X39" s="569">
        <f>W39*$C$4</f>
        <v>8.9599999999999991</v>
      </c>
      <c r="Y39" s="450">
        <v>1</v>
      </c>
      <c r="Z39" s="453">
        <v>4</v>
      </c>
      <c r="AA39" s="986">
        <f>IF(Z39&gt;=1,CHOOSE(Y39,$C39,$D39)*Z39)</f>
        <v>64.28</v>
      </c>
      <c r="AB39" s="822">
        <v>1.2</v>
      </c>
      <c r="AC39" s="986">
        <f>AB39*$C$4</f>
        <v>15.36</v>
      </c>
    </row>
    <row r="40" spans="2:29" x14ac:dyDescent="0.3">
      <c r="B40" s="16" t="s">
        <v>131</v>
      </c>
      <c r="C40" s="448">
        <f>6.1*'Arable Inputs'!$D$8</f>
        <v>6.1</v>
      </c>
      <c r="D40" s="449" t="s">
        <v>118</v>
      </c>
      <c r="E40" s="450"/>
      <c r="F40" s="425"/>
      <c r="G40" s="986"/>
      <c r="H40" s="425"/>
      <c r="I40" s="569"/>
      <c r="J40" s="450"/>
      <c r="K40" s="425"/>
      <c r="L40" s="986"/>
      <c r="M40" s="425"/>
      <c r="N40" s="569"/>
      <c r="O40" s="450"/>
      <c r="P40" s="425"/>
      <c r="Q40" s="986"/>
      <c r="R40" s="425"/>
      <c r="S40" s="569"/>
      <c r="T40" s="450"/>
      <c r="U40" s="425"/>
      <c r="V40" s="986"/>
      <c r="W40" s="425"/>
      <c r="X40" s="569"/>
      <c r="Y40" s="450"/>
      <c r="Z40" s="425"/>
      <c r="AA40" s="986"/>
      <c r="AB40" s="452"/>
      <c r="AC40" s="986"/>
    </row>
    <row r="41" spans="2:29" x14ac:dyDescent="0.3">
      <c r="B41" s="16" t="s">
        <v>49</v>
      </c>
      <c r="C41" s="448">
        <f>14.83*'Arable Inputs'!$D$8</f>
        <v>14.83</v>
      </c>
      <c r="D41" s="449">
        <f>12.09*'Arable Inputs'!$D$8</f>
        <v>12.09</v>
      </c>
      <c r="E41" s="450"/>
      <c r="F41" s="425"/>
      <c r="G41" s="986"/>
      <c r="H41" s="425"/>
      <c r="I41" s="569"/>
      <c r="J41" s="450"/>
      <c r="K41" s="425"/>
      <c r="L41" s="986"/>
      <c r="M41" s="425"/>
      <c r="N41" s="569"/>
      <c r="O41" s="450"/>
      <c r="P41" s="425"/>
      <c r="Q41" s="986"/>
      <c r="R41" s="425"/>
      <c r="S41" s="569"/>
      <c r="T41" s="450"/>
      <c r="U41" s="425"/>
      <c r="V41" s="986"/>
      <c r="W41" s="425"/>
      <c r="X41" s="569"/>
      <c r="Y41" s="450"/>
      <c r="Z41" s="425"/>
      <c r="AA41" s="986"/>
      <c r="AB41" s="452"/>
      <c r="AC41" s="986"/>
    </row>
    <row r="42" spans="2:29" x14ac:dyDescent="0.3">
      <c r="B42" s="16" t="s">
        <v>176</v>
      </c>
      <c r="C42" s="448">
        <f>49.5*'Arable Inputs'!$D$8</f>
        <v>49.5</v>
      </c>
      <c r="D42" s="449">
        <f>49.64*'Arable Inputs'!$D$8</f>
        <v>49.64</v>
      </c>
      <c r="E42" s="450"/>
      <c r="F42" s="425"/>
      <c r="G42" s="986"/>
      <c r="H42" s="799"/>
      <c r="I42" s="569"/>
      <c r="J42" s="450"/>
      <c r="K42" s="425"/>
      <c r="L42" s="986"/>
      <c r="M42" s="799"/>
      <c r="N42" s="569"/>
      <c r="O42" s="450"/>
      <c r="P42" s="425"/>
      <c r="Q42" s="986"/>
      <c r="R42" s="799"/>
      <c r="S42" s="569"/>
      <c r="T42" s="450"/>
      <c r="U42" s="425"/>
      <c r="V42" s="986"/>
      <c r="W42" s="425"/>
      <c r="X42" s="569"/>
      <c r="Y42" s="450"/>
      <c r="Z42" s="425"/>
      <c r="AA42" s="986"/>
      <c r="AB42" s="800"/>
      <c r="AC42" s="986"/>
    </row>
    <row r="43" spans="2:29" x14ac:dyDescent="0.3">
      <c r="B43" s="16" t="s">
        <v>177</v>
      </c>
      <c r="C43" s="448">
        <f>44.5*'Arable Inputs'!$D$8</f>
        <v>44.5</v>
      </c>
      <c r="D43" s="449" t="s">
        <v>118</v>
      </c>
      <c r="E43" s="450"/>
      <c r="F43" s="425"/>
      <c r="G43" s="986"/>
      <c r="H43" s="425"/>
      <c r="I43" s="569"/>
      <c r="J43" s="450"/>
      <c r="K43" s="425"/>
      <c r="L43" s="986"/>
      <c r="M43" s="425"/>
      <c r="N43" s="569"/>
      <c r="O43" s="450"/>
      <c r="P43" s="425"/>
      <c r="Q43" s="986"/>
      <c r="R43" s="425"/>
      <c r="S43" s="569"/>
      <c r="T43" s="450"/>
      <c r="U43" s="425"/>
      <c r="V43" s="986"/>
      <c r="W43" s="425"/>
      <c r="X43" s="569"/>
      <c r="Y43" s="450"/>
      <c r="Z43" s="425"/>
      <c r="AA43" s="986"/>
      <c r="AB43" s="452"/>
      <c r="AC43" s="986"/>
    </row>
    <row r="44" spans="2:29" x14ac:dyDescent="0.3">
      <c r="B44" s="16" t="s">
        <v>178</v>
      </c>
      <c r="C44" s="448">
        <f>50*'Arable Inputs'!$D$8</f>
        <v>50</v>
      </c>
      <c r="D44" s="449">
        <f>54.11*'Arable Inputs'!$D$8</f>
        <v>54.11</v>
      </c>
      <c r="E44" s="450"/>
      <c r="F44" s="425"/>
      <c r="G44" s="986"/>
      <c r="H44" s="425"/>
      <c r="I44" s="569"/>
      <c r="J44" s="450"/>
      <c r="K44" s="425"/>
      <c r="L44" s="986"/>
      <c r="M44" s="425"/>
      <c r="N44" s="569"/>
      <c r="O44" s="450"/>
      <c r="P44" s="425"/>
      <c r="Q44" s="986"/>
      <c r="R44" s="425"/>
      <c r="S44" s="569"/>
      <c r="T44" s="450"/>
      <c r="U44" s="425"/>
      <c r="V44" s="986"/>
      <c r="W44" s="425"/>
      <c r="X44" s="569"/>
      <c r="Y44" s="450"/>
      <c r="Z44" s="425"/>
      <c r="AA44" s="986"/>
      <c r="AB44" s="452"/>
      <c r="AC44" s="986"/>
    </row>
    <row r="45" spans="2:29" x14ac:dyDescent="0.3">
      <c r="B45" s="16" t="s">
        <v>179</v>
      </c>
      <c r="C45" s="448">
        <f>78.2*'Arable Inputs'!$D$8</f>
        <v>78.2</v>
      </c>
      <c r="D45" s="449" t="s">
        <v>118</v>
      </c>
      <c r="E45" s="450"/>
      <c r="F45" s="425"/>
      <c r="G45" s="986"/>
      <c r="H45" s="425"/>
      <c r="I45" s="569"/>
      <c r="J45" s="450"/>
      <c r="K45" s="425"/>
      <c r="L45" s="986"/>
      <c r="M45" s="425"/>
      <c r="N45" s="569"/>
      <c r="O45" s="450"/>
      <c r="P45" s="425"/>
      <c r="Q45" s="986"/>
      <c r="R45" s="425"/>
      <c r="S45" s="569"/>
      <c r="T45" s="450"/>
      <c r="U45" s="425"/>
      <c r="V45" s="986"/>
      <c r="W45" s="425"/>
      <c r="X45" s="569"/>
      <c r="Y45" s="450"/>
      <c r="Z45" s="425"/>
      <c r="AA45" s="986"/>
      <c r="AB45" s="452"/>
      <c r="AC45" s="986"/>
    </row>
    <row r="46" spans="2:29" x14ac:dyDescent="0.3">
      <c r="B46" s="16" t="s">
        <v>180</v>
      </c>
      <c r="C46" s="448">
        <f>40*'Arable Inputs'!$D$8</f>
        <v>40</v>
      </c>
      <c r="D46" s="449" t="s">
        <v>118</v>
      </c>
      <c r="E46" s="450"/>
      <c r="F46" s="425"/>
      <c r="G46" s="986"/>
      <c r="H46" s="425"/>
      <c r="I46" s="569"/>
      <c r="J46" s="450"/>
      <c r="K46" s="425"/>
      <c r="L46" s="986"/>
      <c r="M46" s="425"/>
      <c r="N46" s="569"/>
      <c r="O46" s="450"/>
      <c r="P46" s="425"/>
      <c r="Q46" s="986"/>
      <c r="R46" s="425"/>
      <c r="S46" s="569"/>
      <c r="T46" s="450"/>
      <c r="U46" s="425"/>
      <c r="V46" s="986"/>
      <c r="W46" s="425"/>
      <c r="X46" s="569"/>
      <c r="Y46" s="450"/>
      <c r="Z46" s="425"/>
      <c r="AA46" s="986"/>
      <c r="AB46" s="452"/>
      <c r="AC46" s="986"/>
    </row>
    <row r="47" spans="2:29" x14ac:dyDescent="0.3">
      <c r="B47" s="16" t="s">
        <v>181</v>
      </c>
      <c r="C47" s="458">
        <f>54.83*'Arable Inputs'!$D$8</f>
        <v>54.83</v>
      </c>
      <c r="D47" s="468" t="s">
        <v>118</v>
      </c>
      <c r="E47" s="469"/>
      <c r="F47" s="418"/>
      <c r="G47" s="987"/>
      <c r="H47" s="425"/>
      <c r="I47" s="569"/>
      <c r="J47" s="450"/>
      <c r="K47" s="418"/>
      <c r="L47" s="987"/>
      <c r="M47" s="425"/>
      <c r="N47" s="569"/>
      <c r="O47" s="450"/>
      <c r="P47" s="418"/>
      <c r="Q47" s="987"/>
      <c r="R47" s="425"/>
      <c r="S47" s="569"/>
      <c r="T47" s="450"/>
      <c r="U47" s="418"/>
      <c r="V47" s="987"/>
      <c r="W47" s="425"/>
      <c r="X47" s="569"/>
      <c r="Y47" s="450"/>
      <c r="Z47" s="418"/>
      <c r="AA47" s="987"/>
      <c r="AB47" s="452"/>
      <c r="AC47" s="986"/>
    </row>
    <row r="48" spans="2:29" s="39" customFormat="1" x14ac:dyDescent="0.3">
      <c r="B48" s="422" t="s">
        <v>50</v>
      </c>
      <c r="C48" s="459"/>
      <c r="D48" s="459"/>
      <c r="E48" s="460"/>
      <c r="F48" s="420" t="s">
        <v>12</v>
      </c>
      <c r="G48" s="825">
        <f>SUM(G38:G47)</f>
        <v>64.28</v>
      </c>
      <c r="H48" s="471">
        <f>SUM(H38:H47)</f>
        <v>1.2</v>
      </c>
      <c r="I48" s="825">
        <f>SUM(I38:I47)</f>
        <v>15.36</v>
      </c>
      <c r="J48" s="463"/>
      <c r="K48" s="420"/>
      <c r="L48" s="825">
        <f>SUM(L38:L47)</f>
        <v>32.14</v>
      </c>
      <c r="M48" s="471">
        <f>SUM(M38:M47)</f>
        <v>0.6</v>
      </c>
      <c r="N48" s="825">
        <f>SUM(N38:N47)</f>
        <v>7.68</v>
      </c>
      <c r="O48" s="463"/>
      <c r="P48" s="420"/>
      <c r="Q48" s="825">
        <f>SUM(Q38:Q47)</f>
        <v>16.07</v>
      </c>
      <c r="R48" s="471">
        <f>SUM(R38:R47)</f>
        <v>1.6</v>
      </c>
      <c r="S48" s="825">
        <f>SUM(S38:S47)</f>
        <v>20.480000000000004</v>
      </c>
      <c r="T48" s="463"/>
      <c r="U48" s="420"/>
      <c r="V48" s="825">
        <f>SUM(V38:V47)</f>
        <v>16.07</v>
      </c>
      <c r="W48" s="471">
        <f>SUM(W38:W47)</f>
        <v>0.7</v>
      </c>
      <c r="X48" s="825">
        <f>SUM(X38:X47)</f>
        <v>8.9599999999999991</v>
      </c>
      <c r="Y48" s="463"/>
      <c r="Z48" s="420"/>
      <c r="AA48" s="825">
        <f>SUM(AA38:AA47)</f>
        <v>64.28</v>
      </c>
      <c r="AB48" s="471">
        <f>SUM(AB38:AB47)</f>
        <v>1.2</v>
      </c>
      <c r="AC48" s="812">
        <f>SUM(AC38:AC47)</f>
        <v>15.36</v>
      </c>
    </row>
    <row r="49" spans="2:30" s="39" customFormat="1" x14ac:dyDescent="0.3">
      <c r="B49" s="422"/>
      <c r="C49" s="459"/>
      <c r="D49" s="459"/>
      <c r="E49" s="459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61"/>
    </row>
    <row r="50" spans="2:30" x14ac:dyDescent="0.3">
      <c r="B50" s="422" t="s">
        <v>132</v>
      </c>
      <c r="C50" s="472"/>
      <c r="D50" s="472"/>
      <c r="E50" s="472"/>
      <c r="F50" s="421"/>
      <c r="G50" s="421"/>
      <c r="H50" s="421"/>
      <c r="I50" s="421"/>
      <c r="J50" s="421"/>
      <c r="K50" s="421"/>
      <c r="L50" s="421"/>
      <c r="M50" s="421"/>
      <c r="N50" s="421"/>
      <c r="O50" s="421"/>
      <c r="P50" s="421"/>
      <c r="Q50" s="421"/>
      <c r="R50" s="421"/>
      <c r="S50" s="421"/>
      <c r="T50" s="421"/>
      <c r="U50" s="421"/>
      <c r="V50" s="421"/>
      <c r="W50" s="421"/>
      <c r="X50" s="421"/>
      <c r="Y50" s="421"/>
      <c r="Z50" s="421"/>
      <c r="AA50" s="421"/>
      <c r="AB50" s="421"/>
      <c r="AC50" s="423"/>
    </row>
    <row r="51" spans="2:30" x14ac:dyDescent="0.3">
      <c r="B51" s="473" t="s">
        <v>133</v>
      </c>
      <c r="C51" s="448">
        <f>98.84*'Arable Inputs'!$D$8</f>
        <v>98.84</v>
      </c>
      <c r="D51" s="449" t="s">
        <v>118</v>
      </c>
      <c r="E51" s="474"/>
      <c r="F51" s="425"/>
      <c r="G51" s="451"/>
      <c r="H51" s="425"/>
      <c r="I51" s="466"/>
      <c r="J51" s="450"/>
      <c r="K51" s="425"/>
      <c r="L51" s="451"/>
      <c r="M51" s="425"/>
      <c r="N51" s="425"/>
      <c r="O51" s="450"/>
      <c r="P51" s="425"/>
      <c r="Q51" s="451"/>
      <c r="R51" s="425"/>
      <c r="S51" s="425"/>
      <c r="T51" s="450"/>
      <c r="U51" s="425"/>
      <c r="V51" s="451"/>
      <c r="W51" s="425"/>
      <c r="X51" s="425"/>
      <c r="Y51" s="450"/>
      <c r="Z51" s="425"/>
      <c r="AA51" s="451"/>
      <c r="AB51" s="425"/>
      <c r="AC51" s="451"/>
      <c r="AD51" s="64"/>
    </row>
    <row r="52" spans="2:30" x14ac:dyDescent="0.3">
      <c r="B52" s="77" t="s">
        <v>175</v>
      </c>
      <c r="C52" s="458">
        <f>98*'Arable Inputs'!$D$8</f>
        <v>98</v>
      </c>
      <c r="D52" s="468" t="s">
        <v>118</v>
      </c>
      <c r="E52" s="475"/>
      <c r="F52" s="418"/>
      <c r="G52" s="470"/>
      <c r="H52" s="418"/>
      <c r="I52" s="418"/>
      <c r="J52" s="469"/>
      <c r="K52" s="418"/>
      <c r="L52" s="470"/>
      <c r="M52" s="418"/>
      <c r="N52" s="418"/>
      <c r="O52" s="469"/>
      <c r="P52" s="418"/>
      <c r="Q52" s="470"/>
      <c r="R52" s="418"/>
      <c r="S52" s="418"/>
      <c r="T52" s="469"/>
      <c r="U52" s="418"/>
      <c r="V52" s="470"/>
      <c r="W52" s="418"/>
      <c r="X52" s="418"/>
      <c r="Y52" s="469"/>
      <c r="Z52" s="418"/>
      <c r="AA52" s="470"/>
      <c r="AB52" s="418"/>
      <c r="AC52" s="470"/>
      <c r="AD52" s="63"/>
    </row>
    <row r="53" spans="2:30" x14ac:dyDescent="0.3">
      <c r="B53" s="422" t="s">
        <v>134</v>
      </c>
      <c r="C53" s="472"/>
      <c r="D53" s="472"/>
      <c r="E53" s="476"/>
      <c r="F53" s="420" t="s">
        <v>12</v>
      </c>
      <c r="G53" s="461"/>
      <c r="H53" s="420"/>
      <c r="I53" s="420"/>
      <c r="J53" s="463"/>
      <c r="K53" s="420"/>
      <c r="L53" s="461"/>
      <c r="M53" s="420"/>
      <c r="N53" s="420"/>
      <c r="O53" s="463"/>
      <c r="P53" s="420"/>
      <c r="Q53" s="461"/>
      <c r="R53" s="420"/>
      <c r="S53" s="420"/>
      <c r="T53" s="463"/>
      <c r="U53" s="420"/>
      <c r="V53" s="461"/>
      <c r="W53" s="420"/>
      <c r="X53" s="420"/>
      <c r="Y53" s="463"/>
      <c r="Z53" s="420"/>
      <c r="AA53" s="461"/>
      <c r="AB53" s="420"/>
      <c r="AC53" s="461"/>
    </row>
    <row r="54" spans="2:30" s="39" customFormat="1" x14ac:dyDescent="0.3">
      <c r="B54" s="96"/>
      <c r="C54" s="477"/>
      <c r="D54" s="477"/>
      <c r="E54" s="478"/>
      <c r="F54" s="425"/>
      <c r="G54" s="425"/>
      <c r="H54" s="425"/>
      <c r="I54" s="425"/>
      <c r="J54" s="425"/>
      <c r="K54" s="425"/>
      <c r="L54" s="425"/>
      <c r="M54" s="425"/>
      <c r="N54" s="425"/>
      <c r="O54" s="425"/>
      <c r="P54" s="425"/>
      <c r="Q54" s="425"/>
      <c r="R54" s="425"/>
      <c r="S54" s="425"/>
      <c r="T54" s="425"/>
      <c r="U54" s="425"/>
      <c r="V54" s="425"/>
      <c r="W54" s="425"/>
      <c r="X54" s="425"/>
      <c r="Y54" s="425"/>
      <c r="Z54" s="425"/>
      <c r="AA54" s="425"/>
      <c r="AB54" s="452"/>
      <c r="AC54" s="451"/>
    </row>
    <row r="55" spans="2:30" s="39" customFormat="1" x14ac:dyDescent="0.3">
      <c r="B55" s="422" t="s">
        <v>187</v>
      </c>
      <c r="C55" s="459"/>
      <c r="D55" s="459"/>
      <c r="E55" s="459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V55" s="421"/>
      <c r="W55" s="421"/>
      <c r="X55" s="421"/>
      <c r="Y55" s="421"/>
      <c r="Z55" s="421"/>
      <c r="AA55" s="421"/>
      <c r="AB55" s="421"/>
      <c r="AC55" s="423"/>
    </row>
    <row r="56" spans="2:30" x14ac:dyDescent="0.3">
      <c r="B56" s="16" t="s">
        <v>110</v>
      </c>
      <c r="C56" s="448">
        <f>67.78*'Arable Inputs'!$D$8</f>
        <v>67.78</v>
      </c>
      <c r="D56" s="449">
        <f>57.48*'Arable Inputs'!$D$8</f>
        <v>57.48</v>
      </c>
      <c r="E56" s="481"/>
      <c r="F56" s="425"/>
      <c r="G56" s="451"/>
      <c r="H56" s="425"/>
      <c r="I56" s="425"/>
      <c r="J56" s="450"/>
      <c r="K56" s="425"/>
      <c r="L56" s="451"/>
      <c r="M56" s="425"/>
      <c r="N56" s="425"/>
      <c r="O56" s="450">
        <v>2</v>
      </c>
      <c r="P56" s="453">
        <v>1</v>
      </c>
      <c r="Q56" s="986">
        <f>IF(P56&gt;=1,CHOOSE(O56,$C56,$D56)*P56)</f>
        <v>57.48</v>
      </c>
      <c r="R56" s="798">
        <v>1.6</v>
      </c>
      <c r="S56" s="569">
        <f>R56*$C$4</f>
        <v>20.480000000000004</v>
      </c>
      <c r="T56" s="450"/>
      <c r="U56" s="425"/>
      <c r="V56" s="451"/>
      <c r="W56" s="425"/>
      <c r="X56" s="425"/>
      <c r="Y56" s="450"/>
      <c r="Z56" s="425"/>
      <c r="AA56" s="451"/>
      <c r="AB56" s="425"/>
      <c r="AC56" s="451"/>
    </row>
    <row r="57" spans="2:30" x14ac:dyDescent="0.3">
      <c r="B57" s="16" t="s">
        <v>111</v>
      </c>
      <c r="C57" s="448">
        <f>50.14*'Arable Inputs'!$D$8</f>
        <v>50.14</v>
      </c>
      <c r="D57" s="449">
        <f>27.04*'Arable Inputs'!$D$8</f>
        <v>27.04</v>
      </c>
      <c r="E57" s="450">
        <v>2</v>
      </c>
      <c r="F57" s="453">
        <v>1</v>
      </c>
      <c r="G57" s="986">
        <f>IF(F57&gt;=1,CHOOSE(E57,$C57,$D57)*F57)</f>
        <v>27.04</v>
      </c>
      <c r="H57" s="795">
        <v>1.1000000000000001</v>
      </c>
      <c r="I57" s="569">
        <f>H57*$C$4</f>
        <v>14.080000000000002</v>
      </c>
      <c r="J57" s="450">
        <v>2</v>
      </c>
      <c r="K57" s="453">
        <v>1</v>
      </c>
      <c r="L57" s="986">
        <f>IF(K57&gt;=1,CHOOSE(J57,$C57,$D57)*K57)</f>
        <v>27.04</v>
      </c>
      <c r="M57" s="795">
        <v>1.1000000000000001</v>
      </c>
      <c r="N57" s="569">
        <f>M57*$C$4</f>
        <v>14.080000000000002</v>
      </c>
      <c r="O57" s="450"/>
      <c r="P57" s="364"/>
      <c r="Q57" s="986"/>
      <c r="R57" s="364"/>
      <c r="S57" s="569"/>
      <c r="T57" s="450"/>
      <c r="U57" s="425"/>
      <c r="V57" s="451"/>
      <c r="W57" s="425"/>
      <c r="X57" s="425"/>
      <c r="Y57" s="450"/>
      <c r="Z57" s="425"/>
      <c r="AA57" s="451"/>
      <c r="AB57" s="452"/>
      <c r="AC57" s="451"/>
    </row>
    <row r="58" spans="2:30" x14ac:dyDescent="0.3">
      <c r="B58" s="16" t="s">
        <v>112</v>
      </c>
      <c r="C58" s="448">
        <f>61.78*'Arable Inputs'!$D$8</f>
        <v>61.78</v>
      </c>
      <c r="D58" s="449">
        <f>58.52*'Arable Inputs'!$D$8</f>
        <v>58.52</v>
      </c>
      <c r="E58" s="474"/>
      <c r="F58" s="425"/>
      <c r="G58" s="986"/>
      <c r="H58" s="425"/>
      <c r="I58" s="569"/>
      <c r="J58" s="450"/>
      <c r="K58" s="425"/>
      <c r="L58" s="986"/>
      <c r="M58" s="425"/>
      <c r="N58" s="569"/>
      <c r="O58" s="450"/>
      <c r="P58" s="425"/>
      <c r="Q58" s="986"/>
      <c r="R58" s="425"/>
      <c r="S58" s="569"/>
      <c r="T58" s="450"/>
      <c r="U58" s="425"/>
      <c r="V58" s="451"/>
      <c r="W58" s="425"/>
      <c r="X58" s="425"/>
      <c r="Y58" s="450"/>
      <c r="Z58" s="425"/>
      <c r="AA58" s="451"/>
      <c r="AB58" s="452"/>
      <c r="AC58" s="451"/>
    </row>
    <row r="59" spans="2:30" x14ac:dyDescent="0.3">
      <c r="B59" s="16" t="s">
        <v>113</v>
      </c>
      <c r="C59" s="448">
        <f>51.89*'Arable Inputs'!$D$8</f>
        <v>51.89</v>
      </c>
      <c r="D59" s="449">
        <f>50.58*'Arable Inputs'!$D$8</f>
        <v>50.58</v>
      </c>
      <c r="E59" s="474"/>
      <c r="F59" s="425"/>
      <c r="G59" s="986"/>
      <c r="H59" s="425"/>
      <c r="I59" s="569"/>
      <c r="J59" s="450"/>
      <c r="K59" s="425"/>
      <c r="L59" s="986"/>
      <c r="M59" s="425"/>
      <c r="N59" s="569"/>
      <c r="O59" s="450"/>
      <c r="P59" s="425"/>
      <c r="Q59" s="986"/>
      <c r="R59" s="425"/>
      <c r="S59" s="569"/>
      <c r="T59" s="450"/>
      <c r="U59" s="425"/>
      <c r="V59" s="451"/>
      <c r="W59" s="425"/>
      <c r="X59" s="425"/>
      <c r="Y59" s="450"/>
      <c r="Z59" s="425"/>
      <c r="AA59" s="451"/>
      <c r="AB59" s="452"/>
      <c r="AC59" s="451"/>
    </row>
    <row r="60" spans="2:30" x14ac:dyDescent="0.3">
      <c r="B60" s="16" t="s">
        <v>114</v>
      </c>
      <c r="C60" s="448">
        <f>58.71*'Arable Inputs'!$D$8</f>
        <v>58.71</v>
      </c>
      <c r="D60" s="449">
        <f>61.14*'Arable Inputs'!$D$8</f>
        <v>61.14</v>
      </c>
      <c r="E60" s="474"/>
      <c r="F60" s="425"/>
      <c r="G60" s="986"/>
      <c r="H60" s="425"/>
      <c r="I60" s="569"/>
      <c r="J60" s="450"/>
      <c r="K60" s="425"/>
      <c r="L60" s="986"/>
      <c r="M60" s="425"/>
      <c r="N60" s="569"/>
      <c r="O60" s="450"/>
      <c r="P60" s="425"/>
      <c r="Q60" s="986"/>
      <c r="R60" s="425"/>
      <c r="S60" s="569"/>
      <c r="T60" s="450"/>
      <c r="U60" s="425"/>
      <c r="V60" s="451"/>
      <c r="W60" s="425"/>
      <c r="X60" s="425"/>
      <c r="Y60" s="450"/>
      <c r="Z60" s="425"/>
      <c r="AA60" s="451"/>
      <c r="AB60" s="452"/>
      <c r="AC60" s="451"/>
    </row>
    <row r="61" spans="2:30" x14ac:dyDescent="0.3">
      <c r="B61" s="16" t="s">
        <v>53</v>
      </c>
      <c r="C61" s="448">
        <f>51.97*'Arable Inputs'!$D$8</f>
        <v>51.97</v>
      </c>
      <c r="D61" s="449">
        <f>57.16*'Arable Inputs'!$D$8</f>
        <v>57.16</v>
      </c>
      <c r="E61" s="474"/>
      <c r="F61" s="425"/>
      <c r="G61" s="986"/>
      <c r="H61" s="425"/>
      <c r="I61" s="569"/>
      <c r="J61" s="450"/>
      <c r="K61" s="425"/>
      <c r="L61" s="986"/>
      <c r="M61" s="425"/>
      <c r="N61" s="569"/>
      <c r="O61" s="450"/>
      <c r="P61" s="425"/>
      <c r="Q61" s="986"/>
      <c r="R61" s="425"/>
      <c r="S61" s="569"/>
      <c r="T61" s="450">
        <v>2</v>
      </c>
      <c r="U61" s="453">
        <v>1</v>
      </c>
      <c r="V61" s="986">
        <f>IF(U61&gt;=1,CHOOSE(T61,$C61,$D61)*U61)</f>
        <v>57.16</v>
      </c>
      <c r="W61" s="795">
        <v>1</v>
      </c>
      <c r="X61" s="569">
        <f>W61*$C$4</f>
        <v>12.8</v>
      </c>
      <c r="Y61" s="450"/>
      <c r="Z61" s="425"/>
      <c r="AA61" s="451"/>
      <c r="AB61" s="452"/>
      <c r="AC61" s="451"/>
    </row>
    <row r="62" spans="2:30" x14ac:dyDescent="0.3">
      <c r="B62" s="16" t="s">
        <v>115</v>
      </c>
      <c r="C62" s="448">
        <f>78.26*'Arable Inputs'!$D$8</f>
        <v>78.260000000000005</v>
      </c>
      <c r="D62" s="449" t="s">
        <v>118</v>
      </c>
      <c r="E62" s="474"/>
      <c r="F62" s="425"/>
      <c r="G62" s="986"/>
      <c r="H62" s="425"/>
      <c r="I62" s="569"/>
      <c r="J62" s="450"/>
      <c r="K62" s="425"/>
      <c r="L62" s="986"/>
      <c r="M62" s="425"/>
      <c r="N62" s="569"/>
      <c r="O62" s="450"/>
      <c r="P62" s="425"/>
      <c r="Q62" s="986"/>
      <c r="R62" s="425"/>
      <c r="S62" s="569"/>
      <c r="T62" s="450"/>
      <c r="U62" s="425"/>
      <c r="V62" s="986"/>
      <c r="W62" s="425"/>
      <c r="X62" s="569"/>
      <c r="Y62" s="450"/>
      <c r="Z62" s="425"/>
      <c r="AA62" s="451"/>
      <c r="AB62" s="452"/>
      <c r="AC62" s="451"/>
    </row>
    <row r="63" spans="2:30" x14ac:dyDescent="0.3">
      <c r="B63" s="16" t="s">
        <v>51</v>
      </c>
      <c r="C63" s="448">
        <f>29.31*'Arable Inputs'!$D$8</f>
        <v>29.31</v>
      </c>
      <c r="D63" s="449">
        <f>20*'Arable Inputs'!$D$8</f>
        <v>20</v>
      </c>
      <c r="E63" s="474"/>
      <c r="F63" s="425"/>
      <c r="G63" s="986"/>
      <c r="H63" s="425"/>
      <c r="I63" s="569"/>
      <c r="J63" s="450"/>
      <c r="K63" s="425"/>
      <c r="L63" s="986"/>
      <c r="M63" s="425"/>
      <c r="N63" s="569"/>
      <c r="O63" s="450"/>
      <c r="P63" s="425"/>
      <c r="Q63" s="986"/>
      <c r="R63" s="425"/>
      <c r="S63" s="569"/>
      <c r="T63" s="450"/>
      <c r="U63" s="425"/>
      <c r="V63" s="986"/>
      <c r="W63" s="425"/>
      <c r="X63" s="569"/>
      <c r="Y63" s="450"/>
      <c r="Z63" s="425"/>
      <c r="AA63" s="451"/>
      <c r="AB63" s="452"/>
      <c r="AC63" s="451"/>
    </row>
    <row r="64" spans="2:30" x14ac:dyDescent="0.3">
      <c r="B64" s="16" t="s">
        <v>116</v>
      </c>
      <c r="C64" s="448">
        <f>31.16*'Arable Inputs'!$D$8</f>
        <v>31.16</v>
      </c>
      <c r="D64" s="449">
        <f>20.54*'Arable Inputs'!$D$8</f>
        <v>20.54</v>
      </c>
      <c r="E64" s="474"/>
      <c r="F64" s="425"/>
      <c r="G64" s="986"/>
      <c r="H64" s="425"/>
      <c r="I64" s="569"/>
      <c r="J64" s="450"/>
      <c r="K64" s="425"/>
      <c r="L64" s="986"/>
      <c r="M64" s="425"/>
      <c r="N64" s="569"/>
      <c r="O64" s="450"/>
      <c r="P64" s="425"/>
      <c r="Q64" s="986"/>
      <c r="R64" s="425"/>
      <c r="S64" s="569"/>
      <c r="T64" s="450"/>
      <c r="U64" s="425"/>
      <c r="V64" s="986"/>
      <c r="W64" s="425"/>
      <c r="X64" s="569"/>
      <c r="Y64" s="450"/>
      <c r="Z64" s="425"/>
      <c r="AA64" s="451"/>
      <c r="AB64" s="452"/>
      <c r="AC64" s="451"/>
    </row>
    <row r="65" spans="2:29" x14ac:dyDescent="0.3">
      <c r="B65" s="16" t="s">
        <v>117</v>
      </c>
      <c r="C65" s="448">
        <f>74.13*'Arable Inputs'!$D$8</f>
        <v>74.13</v>
      </c>
      <c r="D65" s="449" t="s">
        <v>118</v>
      </c>
      <c r="E65" s="474"/>
      <c r="F65" s="425"/>
      <c r="G65" s="986"/>
      <c r="H65" s="425"/>
      <c r="I65" s="569"/>
      <c r="J65" s="450"/>
      <c r="K65" s="425"/>
      <c r="L65" s="986"/>
      <c r="M65" s="425"/>
      <c r="N65" s="569"/>
      <c r="O65" s="450"/>
      <c r="P65" s="425"/>
      <c r="Q65" s="986"/>
      <c r="R65" s="425"/>
      <c r="S65" s="569"/>
      <c r="T65" s="450"/>
      <c r="U65" s="425"/>
      <c r="V65" s="986"/>
      <c r="W65" s="425"/>
      <c r="X65" s="569"/>
      <c r="Y65" s="450"/>
      <c r="Z65" s="425"/>
      <c r="AA65" s="451"/>
      <c r="AB65" s="452"/>
      <c r="AC65" s="451"/>
    </row>
    <row r="66" spans="2:29" x14ac:dyDescent="0.3">
      <c r="B66" s="16" t="s">
        <v>119</v>
      </c>
      <c r="C66" s="448">
        <f>23.3*'Arable Inputs'!$D$8</f>
        <v>23.3</v>
      </c>
      <c r="D66" s="449">
        <f>14.67*'Arable Inputs'!$D$8</f>
        <v>14.67</v>
      </c>
      <c r="E66" s="474"/>
      <c r="F66" s="425"/>
      <c r="G66" s="986"/>
      <c r="H66" s="425"/>
      <c r="I66" s="569"/>
      <c r="J66" s="450"/>
      <c r="K66" s="425"/>
      <c r="L66" s="986"/>
      <c r="M66" s="425"/>
      <c r="N66" s="569"/>
      <c r="O66" s="450"/>
      <c r="P66" s="425"/>
      <c r="Q66" s="986"/>
      <c r="R66" s="425"/>
      <c r="S66" s="569"/>
      <c r="T66" s="450"/>
      <c r="U66" s="425"/>
      <c r="V66" s="986"/>
      <c r="W66" s="425"/>
      <c r="X66" s="569"/>
      <c r="Y66" s="450"/>
      <c r="Z66" s="425"/>
      <c r="AA66" s="451"/>
      <c r="AB66" s="452"/>
      <c r="AC66" s="451"/>
    </row>
    <row r="67" spans="2:29" x14ac:dyDescent="0.3">
      <c r="B67" s="16" t="s">
        <v>52</v>
      </c>
      <c r="C67" s="448">
        <f>46.55*'Arable Inputs'!$D$8</f>
        <v>46.55</v>
      </c>
      <c r="D67" s="449" t="s">
        <v>118</v>
      </c>
      <c r="E67" s="474"/>
      <c r="F67" s="425"/>
      <c r="G67" s="986"/>
      <c r="H67" s="425"/>
      <c r="I67" s="569"/>
      <c r="J67" s="450"/>
      <c r="K67" s="425"/>
      <c r="L67" s="986"/>
      <c r="M67" s="425"/>
      <c r="N67" s="569"/>
      <c r="O67" s="450"/>
      <c r="P67" s="425"/>
      <c r="Q67" s="986"/>
      <c r="R67" s="425"/>
      <c r="S67" s="569"/>
      <c r="T67" s="450"/>
      <c r="U67" s="425"/>
      <c r="V67" s="986"/>
      <c r="W67" s="425"/>
      <c r="X67" s="569"/>
      <c r="Y67" s="450"/>
      <c r="Z67" s="425"/>
      <c r="AA67" s="986"/>
      <c r="AB67" s="822">
        <v>1.1000000000000001</v>
      </c>
      <c r="AC67" s="986">
        <f>AB67*$C$4</f>
        <v>14.080000000000002</v>
      </c>
    </row>
    <row r="68" spans="2:29" x14ac:dyDescent="0.3">
      <c r="B68" s="16" t="s">
        <v>120</v>
      </c>
      <c r="C68" s="448">
        <f>123.87*'Arable Inputs'!$D$8</f>
        <v>123.87</v>
      </c>
      <c r="D68" s="449" t="s">
        <v>118</v>
      </c>
      <c r="E68" s="474"/>
      <c r="F68" s="482"/>
      <c r="G68" s="989"/>
      <c r="H68" s="484"/>
      <c r="I68" s="990"/>
      <c r="J68" s="485"/>
      <c r="K68" s="482"/>
      <c r="L68" s="989"/>
      <c r="M68" s="484"/>
      <c r="N68" s="990"/>
      <c r="O68" s="485"/>
      <c r="P68" s="482"/>
      <c r="Q68" s="989"/>
      <c r="R68" s="484"/>
      <c r="S68" s="990"/>
      <c r="T68" s="485"/>
      <c r="U68" s="482"/>
      <c r="V68" s="989"/>
      <c r="W68" s="486"/>
      <c r="X68" s="991"/>
      <c r="Y68" s="450"/>
      <c r="Z68" s="425"/>
      <c r="AA68" s="986"/>
      <c r="AB68" s="853"/>
      <c r="AC68" s="986"/>
    </row>
    <row r="69" spans="2:29" x14ac:dyDescent="0.3">
      <c r="B69" s="16" t="s">
        <v>56</v>
      </c>
      <c r="C69" s="448">
        <f>187.8*'Arable Inputs'!$D$8</f>
        <v>187.8</v>
      </c>
      <c r="D69" s="449">
        <f>126.29*'Arable Inputs'!$D$8</f>
        <v>126.29</v>
      </c>
      <c r="E69" s="474"/>
      <c r="F69" s="425"/>
      <c r="G69" s="986"/>
      <c r="H69" s="425"/>
      <c r="I69" s="569"/>
      <c r="J69" s="450"/>
      <c r="K69" s="425"/>
      <c r="L69" s="986"/>
      <c r="M69" s="425"/>
      <c r="N69" s="569"/>
      <c r="O69" s="450"/>
      <c r="P69" s="425"/>
      <c r="Q69" s="986"/>
      <c r="R69" s="425"/>
      <c r="S69" s="569"/>
      <c r="T69" s="450"/>
      <c r="U69" s="425"/>
      <c r="V69" s="986"/>
      <c r="W69" s="425"/>
      <c r="X69" s="569"/>
      <c r="Y69" s="450"/>
      <c r="Z69" s="425"/>
      <c r="AA69" s="986"/>
      <c r="AB69" s="452"/>
      <c r="AC69" s="986"/>
    </row>
    <row r="70" spans="2:29" x14ac:dyDescent="0.3">
      <c r="B70" s="16" t="s">
        <v>208</v>
      </c>
      <c r="C70" s="448">
        <f>42*'Arable Inputs'!$D$8</f>
        <v>42</v>
      </c>
      <c r="D70" s="449">
        <f>35.63*'Arable Inputs'!$D$8</f>
        <v>35.630000000000003</v>
      </c>
      <c r="E70" s="474"/>
      <c r="F70" s="425"/>
      <c r="G70" s="986"/>
      <c r="H70" s="425"/>
      <c r="I70" s="569"/>
      <c r="J70" s="450"/>
      <c r="K70" s="425"/>
      <c r="L70" s="986"/>
      <c r="M70" s="425"/>
      <c r="N70" s="569"/>
      <c r="O70" s="450"/>
      <c r="P70" s="425"/>
      <c r="Q70" s="986"/>
      <c r="R70" s="799"/>
      <c r="S70" s="569"/>
      <c r="T70" s="450"/>
      <c r="U70" s="425"/>
      <c r="V70" s="986"/>
      <c r="W70" s="425"/>
      <c r="X70" s="569"/>
      <c r="Y70" s="450"/>
      <c r="Z70" s="418"/>
      <c r="AA70" s="986"/>
      <c r="AB70" s="452"/>
      <c r="AC70" s="986"/>
    </row>
    <row r="71" spans="2:29" s="39" customFormat="1" x14ac:dyDescent="0.3">
      <c r="B71" s="422" t="s">
        <v>57</v>
      </c>
      <c r="C71" s="459"/>
      <c r="D71" s="459"/>
      <c r="E71" s="460"/>
      <c r="F71" s="420" t="s">
        <v>12</v>
      </c>
      <c r="G71" s="812">
        <f>SUM(G56:G70)</f>
        <v>27.04</v>
      </c>
      <c r="H71" s="422">
        <f>SUM(H56:H70)</f>
        <v>1.1000000000000001</v>
      </c>
      <c r="I71" s="825">
        <f>SUM(I56:I70)</f>
        <v>14.080000000000002</v>
      </c>
      <c r="J71" s="463"/>
      <c r="K71" s="420"/>
      <c r="L71" s="812">
        <f>SUM(L56:L70)</f>
        <v>27.04</v>
      </c>
      <c r="M71" s="422">
        <f>SUM(M56:M70)</f>
        <v>1.1000000000000001</v>
      </c>
      <c r="N71" s="825">
        <f>SUM(N56:N70)</f>
        <v>14.080000000000002</v>
      </c>
      <c r="O71" s="463"/>
      <c r="P71" s="420"/>
      <c r="Q71" s="812">
        <f>SUM(Q56:Q70)</f>
        <v>57.48</v>
      </c>
      <c r="R71" s="422">
        <f>SUM(R56:R70)</f>
        <v>1.6</v>
      </c>
      <c r="S71" s="825">
        <f>SUM(S56:S70)</f>
        <v>20.480000000000004</v>
      </c>
      <c r="T71" s="463"/>
      <c r="U71" s="420"/>
      <c r="V71" s="812">
        <f>SUM(V56:V70)</f>
        <v>57.16</v>
      </c>
      <c r="W71" s="422">
        <f>SUM(W56:W70)</f>
        <v>1</v>
      </c>
      <c r="X71" s="825">
        <f>SUM(X56:X70)</f>
        <v>12.8</v>
      </c>
      <c r="Y71" s="463"/>
      <c r="Z71" s="420"/>
      <c r="AA71" s="829">
        <v>45</v>
      </c>
      <c r="AB71" s="422">
        <f>SUM(AB56:AB70)</f>
        <v>1.1000000000000001</v>
      </c>
      <c r="AC71" s="812">
        <f>SUM(AC56:AC70)</f>
        <v>14.080000000000002</v>
      </c>
    </row>
    <row r="72" spans="2:29" s="39" customFormat="1" x14ac:dyDescent="0.3">
      <c r="B72" s="422"/>
      <c r="C72" s="459"/>
      <c r="D72" s="459"/>
      <c r="E72" s="459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420"/>
      <c r="Q72" s="420"/>
      <c r="R72" s="420"/>
      <c r="S72" s="420"/>
      <c r="T72" s="420"/>
      <c r="U72" s="420"/>
      <c r="V72" s="420"/>
      <c r="W72" s="420"/>
      <c r="X72" s="420"/>
      <c r="Y72" s="420"/>
      <c r="Z72" s="420"/>
      <c r="AA72" s="420"/>
      <c r="AB72" s="420"/>
      <c r="AC72" s="461"/>
    </row>
    <row r="73" spans="2:29" x14ac:dyDescent="0.3">
      <c r="B73" s="422" t="s">
        <v>35</v>
      </c>
      <c r="C73" s="459"/>
      <c r="D73" s="459"/>
      <c r="E73" s="459"/>
      <c r="F73" s="421"/>
      <c r="G73" s="421"/>
      <c r="H73" s="421"/>
      <c r="I73" s="421"/>
      <c r="J73" s="421"/>
      <c r="K73" s="421"/>
      <c r="L73" s="421"/>
      <c r="M73" s="421"/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421"/>
      <c r="Z73" s="421"/>
      <c r="AA73" s="421"/>
      <c r="AB73" s="421"/>
      <c r="AC73" s="423"/>
    </row>
    <row r="74" spans="2:29" x14ac:dyDescent="0.3">
      <c r="B74" s="16" t="s">
        <v>60</v>
      </c>
      <c r="C74" s="448">
        <f>12.63*'Arable Inputs'!$D$8</f>
        <v>12.63</v>
      </c>
      <c r="D74" s="487">
        <f>10.08*'Arable Inputs'!$D$8</f>
        <v>10.08</v>
      </c>
      <c r="E74" s="450">
        <v>2</v>
      </c>
      <c r="F74" s="488">
        <f>'Arable Inputs'!D55</f>
        <v>4</v>
      </c>
      <c r="G74" s="986">
        <f>IF(F74&gt;=1,CHOOSE(E74,$C74,$D74)*F74)</f>
        <v>40.32</v>
      </c>
      <c r="H74" s="796">
        <f>0.3*F74</f>
        <v>1.2</v>
      </c>
      <c r="I74" s="569">
        <f>H74*$C$4</f>
        <v>15.36</v>
      </c>
      <c r="J74" s="450">
        <v>2</v>
      </c>
      <c r="K74" s="488">
        <f>'Arable Inputs'!E55</f>
        <v>2</v>
      </c>
      <c r="L74" s="986">
        <f>IF(K74&gt;=1,CHOOSE(J74,$C74,$D74)*K74)</f>
        <v>20.16</v>
      </c>
      <c r="M74" s="796">
        <f>0.3*K74</f>
        <v>0.6</v>
      </c>
      <c r="N74" s="569">
        <f>M74*$C$4</f>
        <v>7.68</v>
      </c>
      <c r="O74" s="450">
        <v>2</v>
      </c>
      <c r="P74" s="489">
        <f>'Arable Inputs'!F55</f>
        <v>2</v>
      </c>
      <c r="Q74" s="986">
        <f>IF(P74&gt;=1,CHOOSE(O74,$C74,$D74)*P74)</f>
        <v>20.16</v>
      </c>
      <c r="R74" s="796">
        <f>0.6*P74</f>
        <v>1.2</v>
      </c>
      <c r="S74" s="569">
        <f>R74*$C$4</f>
        <v>15.36</v>
      </c>
      <c r="T74" s="450">
        <v>2</v>
      </c>
      <c r="U74" s="489">
        <f>'Arable Inputs'!G55</f>
        <v>3</v>
      </c>
      <c r="V74" s="986">
        <f>IF(U74&gt;=1,CHOOSE(T74,$C74,$D74)*U74)</f>
        <v>30.240000000000002</v>
      </c>
      <c r="W74" s="796">
        <f>(0.6+0.3)*U74</f>
        <v>2.6999999999999997</v>
      </c>
      <c r="X74" s="569">
        <f>W74*$C$4</f>
        <v>34.559999999999995</v>
      </c>
      <c r="Y74" s="450">
        <v>2</v>
      </c>
      <c r="Z74" s="489">
        <f>'Arable Inputs'!H55</f>
        <v>3</v>
      </c>
      <c r="AA74" s="986">
        <f>IF(Z74&gt;=1,CHOOSE(Y74,$C74,$D74)*Z74)</f>
        <v>30.240000000000002</v>
      </c>
      <c r="AB74" s="849">
        <f>0.3*Z74</f>
        <v>0.89999999999999991</v>
      </c>
      <c r="AC74" s="986">
        <f>AB74*$C$4</f>
        <v>11.52</v>
      </c>
    </row>
    <row r="75" spans="2:29" x14ac:dyDescent="0.3">
      <c r="B75" s="16" t="s">
        <v>59</v>
      </c>
      <c r="C75" s="448" t="s">
        <v>118</v>
      </c>
      <c r="D75" s="449">
        <f>8.16*'Arable Inputs'!$D$8</f>
        <v>8.16</v>
      </c>
      <c r="E75" s="450"/>
      <c r="F75" s="425"/>
      <c r="G75" s="569"/>
      <c r="H75" s="16"/>
      <c r="I75" s="569"/>
      <c r="J75" s="450"/>
      <c r="K75" s="425"/>
      <c r="L75" s="569"/>
      <c r="M75" s="16"/>
      <c r="N75" s="569"/>
      <c r="O75" s="450"/>
      <c r="P75" s="425"/>
      <c r="Q75" s="569"/>
      <c r="R75" s="16"/>
      <c r="S75" s="569"/>
      <c r="T75" s="450"/>
      <c r="U75" s="425"/>
      <c r="V75" s="569"/>
      <c r="W75" s="16"/>
      <c r="X75" s="569"/>
      <c r="Y75" s="450"/>
      <c r="Z75" s="425"/>
      <c r="AA75" s="569"/>
      <c r="AB75" s="16"/>
      <c r="AC75" s="986"/>
    </row>
    <row r="76" spans="2:29" x14ac:dyDescent="0.3">
      <c r="B76" s="10" t="s">
        <v>58</v>
      </c>
      <c r="C76" s="490">
        <f>(C74+4.32)*'Arable Inputs'!$D$8</f>
        <v>16.950000000000003</v>
      </c>
      <c r="D76" s="449" t="s">
        <v>118</v>
      </c>
      <c r="E76" s="450"/>
      <c r="F76" s="425"/>
      <c r="G76" s="569"/>
      <c r="H76" s="16"/>
      <c r="I76" s="569"/>
      <c r="J76" s="450"/>
      <c r="K76" s="425"/>
      <c r="L76" s="569"/>
      <c r="M76" s="16"/>
      <c r="N76" s="569"/>
      <c r="O76" s="450"/>
      <c r="P76" s="425"/>
      <c r="Q76" s="569"/>
      <c r="R76" s="16"/>
      <c r="S76" s="569"/>
      <c r="T76" s="450"/>
      <c r="U76" s="425"/>
      <c r="V76" s="569"/>
      <c r="W76" s="16"/>
      <c r="X76" s="569"/>
      <c r="Y76" s="450"/>
      <c r="Z76" s="425"/>
      <c r="AA76" s="569"/>
      <c r="AB76" s="16"/>
      <c r="AC76" s="986"/>
    </row>
    <row r="77" spans="2:29" x14ac:dyDescent="0.3">
      <c r="B77" s="16" t="s">
        <v>135</v>
      </c>
      <c r="C77" s="448">
        <f>12.36*'Arable Inputs'!$D$8</f>
        <v>12.36</v>
      </c>
      <c r="D77" s="449" t="s">
        <v>118</v>
      </c>
      <c r="E77" s="450"/>
      <c r="F77" s="484"/>
      <c r="G77" s="990"/>
      <c r="H77" s="486"/>
      <c r="I77" s="991"/>
      <c r="J77" s="485"/>
      <c r="K77" s="484"/>
      <c r="L77" s="990"/>
      <c r="M77" s="486"/>
      <c r="N77" s="990"/>
      <c r="O77" s="485"/>
      <c r="P77" s="482"/>
      <c r="Q77" s="990"/>
      <c r="R77" s="486"/>
      <c r="S77" s="990"/>
      <c r="T77" s="485"/>
      <c r="U77" s="482"/>
      <c r="V77" s="990"/>
      <c r="W77" s="486"/>
      <c r="X77" s="990"/>
      <c r="Y77" s="485"/>
      <c r="Z77" s="482"/>
      <c r="AA77" s="990"/>
      <c r="AB77" s="486"/>
      <c r="AC77" s="989"/>
    </row>
    <row r="78" spans="2:29" x14ac:dyDescent="0.3">
      <c r="B78" s="16" t="s">
        <v>136</v>
      </c>
      <c r="C78" s="448">
        <f>8.9*'Arable Inputs'!$D$8</f>
        <v>8.9</v>
      </c>
      <c r="D78" s="449">
        <f>2.89*'Arable Inputs'!$D$8</f>
        <v>2.89</v>
      </c>
      <c r="E78" s="450"/>
      <c r="F78" s="484"/>
      <c r="G78" s="990"/>
      <c r="H78" s="486"/>
      <c r="I78" s="991"/>
      <c r="J78" s="485"/>
      <c r="K78" s="484"/>
      <c r="L78" s="990"/>
      <c r="M78" s="486"/>
      <c r="N78" s="990"/>
      <c r="O78" s="485"/>
      <c r="P78" s="482"/>
      <c r="Q78" s="990"/>
      <c r="R78" s="486"/>
      <c r="S78" s="990"/>
      <c r="T78" s="485"/>
      <c r="U78" s="482"/>
      <c r="V78" s="990"/>
      <c r="W78" s="486"/>
      <c r="X78" s="990"/>
      <c r="Y78" s="485"/>
      <c r="Z78" s="482"/>
      <c r="AA78" s="990"/>
      <c r="AB78" s="486"/>
      <c r="AC78" s="989"/>
    </row>
    <row r="79" spans="2:29" x14ac:dyDescent="0.3">
      <c r="B79" s="16" t="s">
        <v>61</v>
      </c>
      <c r="C79" s="448">
        <f>25.95*'Arable Inputs'!$D$8</f>
        <v>25.95</v>
      </c>
      <c r="D79" s="449" t="s">
        <v>118</v>
      </c>
      <c r="E79" s="450"/>
      <c r="F79" s="425"/>
      <c r="G79" s="569"/>
      <c r="H79" s="16"/>
      <c r="I79" s="569"/>
      <c r="J79" s="450"/>
      <c r="K79" s="425"/>
      <c r="L79" s="569"/>
      <c r="M79" s="16"/>
      <c r="N79" s="569"/>
      <c r="O79" s="450"/>
      <c r="P79" s="425"/>
      <c r="Q79" s="569"/>
      <c r="R79" s="16"/>
      <c r="S79" s="569"/>
      <c r="T79" s="450"/>
      <c r="U79" s="425"/>
      <c r="V79" s="569"/>
      <c r="W79" s="16"/>
      <c r="X79" s="569"/>
      <c r="Y79" s="450"/>
      <c r="Z79" s="425"/>
      <c r="AA79" s="569"/>
      <c r="AB79" s="16"/>
      <c r="AC79" s="986"/>
    </row>
    <row r="80" spans="2:29" x14ac:dyDescent="0.3">
      <c r="B80" s="16" t="s">
        <v>137</v>
      </c>
      <c r="C80" s="448">
        <f>19.77*'Arable Inputs'!$D$8</f>
        <v>19.77</v>
      </c>
      <c r="D80" s="449" t="s">
        <v>118</v>
      </c>
      <c r="E80" s="450">
        <v>1</v>
      </c>
      <c r="F80" s="453">
        <v>1</v>
      </c>
      <c r="G80" s="986">
        <f>IF(F80&gt;=1,CHOOSE(E80,$C80,$D80)*F80)</f>
        <v>19.77</v>
      </c>
      <c r="H80" s="797">
        <v>1</v>
      </c>
      <c r="I80" s="569">
        <f>H80*$C$4</f>
        <v>12.8</v>
      </c>
      <c r="J80" s="450">
        <v>1</v>
      </c>
      <c r="K80" s="491">
        <v>1</v>
      </c>
      <c r="L80" s="986">
        <f>IF(K80&gt;=1,CHOOSE(J80,$C80,$D80)*K80)</f>
        <v>19.77</v>
      </c>
      <c r="M80" s="797">
        <v>1</v>
      </c>
      <c r="N80" s="569">
        <f>M80*$C$4</f>
        <v>12.8</v>
      </c>
      <c r="O80" s="450"/>
      <c r="P80" s="418"/>
      <c r="Q80" s="986"/>
      <c r="R80" s="965"/>
      <c r="S80" s="569"/>
      <c r="T80" s="450"/>
      <c r="U80" s="418"/>
      <c r="V80" s="986"/>
      <c r="W80" s="813"/>
      <c r="X80" s="569"/>
      <c r="Y80" s="450"/>
      <c r="Z80" s="418"/>
      <c r="AA80" s="986"/>
      <c r="AB80" s="964"/>
      <c r="AC80" s="986"/>
    </row>
    <row r="81" spans="2:29" s="39" customFormat="1" x14ac:dyDescent="0.3">
      <c r="B81" s="422" t="s">
        <v>62</v>
      </c>
      <c r="C81" s="459"/>
      <c r="D81" s="459"/>
      <c r="E81" s="460"/>
      <c r="F81" s="420" t="s">
        <v>12</v>
      </c>
      <c r="G81" s="812">
        <f>SUM(G74:G80)</f>
        <v>60.09</v>
      </c>
      <c r="H81" s="794">
        <f>SUM(H74:H80)</f>
        <v>2.2000000000000002</v>
      </c>
      <c r="I81" s="825">
        <f>SUM(I74:I80)</f>
        <v>28.16</v>
      </c>
      <c r="J81" s="463"/>
      <c r="K81" s="420"/>
      <c r="L81" s="461">
        <f>SUM(L74:L80)</f>
        <v>39.93</v>
      </c>
      <c r="M81" s="794">
        <f>SUM(M74:M80)</f>
        <v>1.6</v>
      </c>
      <c r="N81" s="825">
        <f>SUM(N74:N80)</f>
        <v>20.48</v>
      </c>
      <c r="O81" s="463"/>
      <c r="P81" s="420"/>
      <c r="Q81" s="812">
        <f>SUM(Q74:Q80)</f>
        <v>20.16</v>
      </c>
      <c r="R81" s="422">
        <f>SUM(R74:R80)</f>
        <v>1.2</v>
      </c>
      <c r="S81" s="825">
        <f>SUM(S74:S80)</f>
        <v>15.36</v>
      </c>
      <c r="T81" s="463"/>
      <c r="U81" s="420"/>
      <c r="V81" s="812">
        <f>SUM(V74:V80)</f>
        <v>30.240000000000002</v>
      </c>
      <c r="W81" s="794">
        <f>SUM(W74:W80)</f>
        <v>2.6999999999999997</v>
      </c>
      <c r="X81" s="825">
        <f>SUM(X74:X80)</f>
        <v>34.559999999999995</v>
      </c>
      <c r="Y81" s="463"/>
      <c r="Z81" s="420"/>
      <c r="AA81" s="812">
        <f>SUM(AA74:AA80)</f>
        <v>30.240000000000002</v>
      </c>
      <c r="AB81" s="422">
        <f>SUM(AB74:AB80)</f>
        <v>0.89999999999999991</v>
      </c>
      <c r="AC81" s="812">
        <f>SUM(AC74:AC80)</f>
        <v>11.52</v>
      </c>
    </row>
    <row r="82" spans="2:29" s="39" customFormat="1" x14ac:dyDescent="0.3">
      <c r="B82" s="422"/>
      <c r="C82" s="459"/>
      <c r="D82" s="459"/>
      <c r="E82" s="459"/>
      <c r="F82" s="420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61"/>
    </row>
    <row r="83" spans="2:29" s="39" customFormat="1" x14ac:dyDescent="0.3">
      <c r="B83" s="422" t="s">
        <v>182</v>
      </c>
      <c r="C83" s="459"/>
      <c r="D83" s="459"/>
      <c r="E83" s="459"/>
      <c r="F83" s="421"/>
      <c r="G83" s="421"/>
      <c r="H83" s="421"/>
      <c r="I83" s="421"/>
      <c r="J83" s="421"/>
      <c r="K83" s="421"/>
      <c r="L83" s="421"/>
      <c r="M83" s="421"/>
      <c r="N83" s="421"/>
      <c r="O83" s="421"/>
      <c r="P83" s="421"/>
      <c r="Q83" s="421"/>
      <c r="R83" s="421"/>
      <c r="S83" s="421"/>
      <c r="T83" s="421"/>
      <c r="U83" s="421"/>
      <c r="V83" s="421"/>
      <c r="W83" s="421"/>
      <c r="X83" s="421"/>
      <c r="Y83" s="421"/>
      <c r="Z83" s="421"/>
      <c r="AA83" s="421"/>
      <c r="AB83" s="421"/>
      <c r="AC83" s="423"/>
    </row>
    <row r="84" spans="2:29" x14ac:dyDescent="0.3">
      <c r="B84" s="16" t="s">
        <v>64</v>
      </c>
      <c r="C84" s="448">
        <f>89.13*'Arable Inputs'!$D$8</f>
        <v>89.13</v>
      </c>
      <c r="D84" s="487">
        <f>90.1*'Arable Inputs'!$D$8</f>
        <v>90.1</v>
      </c>
      <c r="E84" s="450">
        <v>2</v>
      </c>
      <c r="F84" s="453">
        <v>1</v>
      </c>
      <c r="G84" s="451">
        <f>IF(F84&gt;=1,CHOOSE(E84,$C84,$D84)*F84)</f>
        <v>90.1</v>
      </c>
      <c r="H84" s="798">
        <v>1.5</v>
      </c>
      <c r="I84" s="569">
        <f>H84*$C$4</f>
        <v>19.200000000000003</v>
      </c>
      <c r="J84" s="450">
        <v>2</v>
      </c>
      <c r="K84" s="453">
        <v>1</v>
      </c>
      <c r="L84" s="451">
        <f>IF(K84&gt;=1,CHOOSE(J84,$C84,$D84)*K84)</f>
        <v>90.1</v>
      </c>
      <c r="M84" s="798">
        <v>1.5</v>
      </c>
      <c r="N84" s="569">
        <f>M84*$C$4</f>
        <v>19.200000000000003</v>
      </c>
      <c r="O84" s="450"/>
      <c r="P84" s="425"/>
      <c r="Q84" s="451"/>
      <c r="R84" s="425"/>
      <c r="S84" s="425"/>
      <c r="T84" s="450"/>
      <c r="U84" s="425"/>
      <c r="V84" s="451"/>
      <c r="W84" s="425"/>
      <c r="X84" s="425"/>
      <c r="Y84" s="450"/>
      <c r="Z84" s="425"/>
      <c r="AA84" s="451"/>
      <c r="AB84" s="452"/>
      <c r="AC84" s="451"/>
    </row>
    <row r="85" spans="2:29" x14ac:dyDescent="0.3">
      <c r="B85" s="16" t="s">
        <v>138</v>
      </c>
      <c r="C85" s="448">
        <f>(C84+6.35)*'Arable Inputs'!$D$8</f>
        <v>95.47999999999999</v>
      </c>
      <c r="D85" s="449">
        <f>90.1*'Arable Inputs'!$D$8</f>
        <v>90.1</v>
      </c>
      <c r="E85" s="450"/>
      <c r="F85" s="425"/>
      <c r="G85" s="451"/>
      <c r="H85" s="425"/>
      <c r="I85" s="569"/>
      <c r="J85" s="450"/>
      <c r="K85" s="425"/>
      <c r="L85" s="451"/>
      <c r="M85" s="425"/>
      <c r="N85" s="569"/>
      <c r="O85" s="450"/>
      <c r="P85" s="425"/>
      <c r="Q85" s="451"/>
      <c r="R85" s="425"/>
      <c r="S85" s="425"/>
      <c r="T85" s="450"/>
      <c r="U85" s="425"/>
      <c r="V85" s="451"/>
      <c r="W85" s="425"/>
      <c r="X85" s="425"/>
      <c r="Y85" s="450"/>
      <c r="Z85" s="425"/>
      <c r="AA85" s="451"/>
      <c r="AB85" s="452"/>
      <c r="AC85" s="451"/>
    </row>
    <row r="86" spans="2:29" x14ac:dyDescent="0.3">
      <c r="B86" s="16" t="s">
        <v>139</v>
      </c>
      <c r="C86" s="448">
        <f>(C84+0.02)*'Arable Inputs'!$D$8</f>
        <v>89.149999999999991</v>
      </c>
      <c r="D86" s="449">
        <f>90.1*'Arable Inputs'!$D$8</f>
        <v>90.1</v>
      </c>
      <c r="E86" s="450"/>
      <c r="F86" s="425"/>
      <c r="G86" s="451"/>
      <c r="H86" s="425"/>
      <c r="I86" s="569"/>
      <c r="J86" s="450"/>
      <c r="K86" s="425"/>
      <c r="L86" s="451"/>
      <c r="M86" s="425"/>
      <c r="N86" s="569"/>
      <c r="O86" s="450"/>
      <c r="P86" s="425"/>
      <c r="Q86" s="451"/>
      <c r="R86" s="425"/>
      <c r="S86" s="425"/>
      <c r="T86" s="450"/>
      <c r="U86" s="425"/>
      <c r="V86" s="451"/>
      <c r="W86" s="425"/>
      <c r="X86" s="425"/>
      <c r="Y86" s="450"/>
      <c r="Z86" s="425"/>
      <c r="AA86" s="451"/>
      <c r="AB86" s="452"/>
      <c r="AC86" s="451"/>
    </row>
    <row r="87" spans="2:29" x14ac:dyDescent="0.3">
      <c r="B87" s="16" t="s">
        <v>140</v>
      </c>
      <c r="C87" s="448">
        <f>(C84+2.47)*'Arable Inputs'!$D$8</f>
        <v>91.6</v>
      </c>
      <c r="D87" s="449">
        <f>90.1*'Arable Inputs'!$D$8</f>
        <v>90.1</v>
      </c>
      <c r="E87" s="450"/>
      <c r="F87" s="425"/>
      <c r="G87" s="451"/>
      <c r="H87" s="425"/>
      <c r="I87" s="569"/>
      <c r="J87" s="450"/>
      <c r="K87" s="425"/>
      <c r="L87" s="451"/>
      <c r="M87" s="425"/>
      <c r="N87" s="569"/>
      <c r="O87" s="450"/>
      <c r="P87" s="425"/>
      <c r="Q87" s="451"/>
      <c r="R87" s="425"/>
      <c r="S87" s="425"/>
      <c r="T87" s="450"/>
      <c r="U87" s="425"/>
      <c r="V87" s="451"/>
      <c r="W87" s="425"/>
      <c r="X87" s="425"/>
      <c r="Y87" s="450"/>
      <c r="Z87" s="425"/>
      <c r="AA87" s="451"/>
      <c r="AB87" s="452"/>
      <c r="AC87" s="451"/>
    </row>
    <row r="88" spans="2:29" x14ac:dyDescent="0.3">
      <c r="B88" s="16" t="s">
        <v>141</v>
      </c>
      <c r="C88" s="448">
        <f>86.49*'Arable Inputs'!$D$8</f>
        <v>86.49</v>
      </c>
      <c r="D88" s="449" t="s">
        <v>118</v>
      </c>
      <c r="E88" s="450"/>
      <c r="F88" s="425"/>
      <c r="G88" s="451"/>
      <c r="H88" s="425"/>
      <c r="I88" s="569"/>
      <c r="J88" s="450"/>
      <c r="K88" s="425"/>
      <c r="L88" s="451"/>
      <c r="M88" s="425"/>
      <c r="N88" s="569"/>
      <c r="O88" s="450"/>
      <c r="P88" s="425"/>
      <c r="Q88" s="451"/>
      <c r="R88" s="425"/>
      <c r="S88" s="425"/>
      <c r="T88" s="450"/>
      <c r="U88" s="425"/>
      <c r="V88" s="451"/>
      <c r="W88" s="425"/>
      <c r="X88" s="425"/>
      <c r="Y88" s="450"/>
      <c r="Z88" s="425"/>
      <c r="AA88" s="451"/>
      <c r="AB88" s="452"/>
      <c r="AC88" s="451"/>
    </row>
    <row r="89" spans="2:29" x14ac:dyDescent="0.3">
      <c r="B89" s="16" t="s">
        <v>142</v>
      </c>
      <c r="C89" s="448">
        <f>89.6*'Arable Inputs'!$D$8</f>
        <v>89.6</v>
      </c>
      <c r="D89" s="449">
        <f>90.1*'Arable Inputs'!$D$8</f>
        <v>90.1</v>
      </c>
      <c r="E89" s="450"/>
      <c r="F89" s="425"/>
      <c r="G89" s="451"/>
      <c r="H89" s="425"/>
      <c r="I89" s="569"/>
      <c r="J89" s="450"/>
      <c r="K89" s="425"/>
      <c r="L89" s="451"/>
      <c r="M89" s="425"/>
      <c r="N89" s="569"/>
      <c r="O89" s="450">
        <v>2</v>
      </c>
      <c r="P89" s="453">
        <v>1</v>
      </c>
      <c r="Q89" s="451">
        <f>IF(P89&gt;=1,CHOOSE(O89,$C89,$D89)*P89)</f>
        <v>90.1</v>
      </c>
      <c r="R89" s="795">
        <v>2.4</v>
      </c>
      <c r="S89" s="414">
        <f>R89*$C$4</f>
        <v>30.72</v>
      </c>
      <c r="T89" s="450"/>
      <c r="U89" s="425"/>
      <c r="V89" s="451"/>
      <c r="W89" s="425"/>
      <c r="X89" s="414"/>
      <c r="Y89" s="450"/>
      <c r="Z89" s="425"/>
      <c r="AA89" s="451"/>
      <c r="AB89" s="452"/>
      <c r="AC89" s="451"/>
    </row>
    <row r="90" spans="2:29" x14ac:dyDescent="0.3">
      <c r="B90" s="16" t="s">
        <v>143</v>
      </c>
      <c r="C90" s="448">
        <f>93.16*'Arable Inputs'!$D$8</f>
        <v>93.16</v>
      </c>
      <c r="D90" s="449">
        <f>90.1*'Arable Inputs'!$D$8</f>
        <v>90.1</v>
      </c>
      <c r="E90" s="450"/>
      <c r="F90" s="425"/>
      <c r="G90" s="451"/>
      <c r="H90" s="425"/>
      <c r="I90" s="569"/>
      <c r="J90" s="450"/>
      <c r="K90" s="425"/>
      <c r="L90" s="451"/>
      <c r="M90" s="425"/>
      <c r="N90" s="569"/>
      <c r="O90" s="450"/>
      <c r="P90" s="425"/>
      <c r="Q90" s="451"/>
      <c r="R90" s="425"/>
      <c r="S90" s="425"/>
      <c r="T90" s="450"/>
      <c r="U90" s="425"/>
      <c r="V90" s="451"/>
      <c r="W90" s="425"/>
      <c r="X90" s="425"/>
      <c r="Y90" s="450"/>
      <c r="Z90" s="425"/>
      <c r="AA90" s="451"/>
      <c r="AB90" s="452"/>
      <c r="AC90" s="451"/>
    </row>
    <row r="91" spans="2:29" x14ac:dyDescent="0.3">
      <c r="B91" s="16" t="s">
        <v>144</v>
      </c>
      <c r="C91" s="448">
        <f>106.45*'Arable Inputs'!$D$8</f>
        <v>106.45</v>
      </c>
      <c r="D91" s="449" t="s">
        <v>118</v>
      </c>
      <c r="E91" s="450"/>
      <c r="F91" s="425"/>
      <c r="G91" s="451"/>
      <c r="H91" s="425"/>
      <c r="I91" s="569"/>
      <c r="J91" s="450"/>
      <c r="K91" s="425"/>
      <c r="L91" s="451"/>
      <c r="M91" s="425"/>
      <c r="N91" s="569"/>
      <c r="O91" s="450"/>
      <c r="P91" s="425"/>
      <c r="Q91" s="451"/>
      <c r="R91" s="425"/>
      <c r="S91" s="425"/>
      <c r="T91" s="450"/>
      <c r="U91" s="425"/>
      <c r="V91" s="451"/>
      <c r="W91" s="425"/>
      <c r="X91" s="425"/>
      <c r="Y91" s="450"/>
      <c r="Z91" s="425"/>
      <c r="AA91" s="451"/>
      <c r="AB91" s="452"/>
      <c r="AC91" s="454"/>
    </row>
    <row r="92" spans="2:29" x14ac:dyDescent="0.3">
      <c r="B92" s="16" t="s">
        <v>145</v>
      </c>
      <c r="C92" s="448">
        <f>44.48*'Arable Inputs'!$D$8</f>
        <v>44.48</v>
      </c>
      <c r="D92" s="449" t="s">
        <v>118</v>
      </c>
      <c r="E92" s="450"/>
      <c r="F92" s="425"/>
      <c r="G92" s="451"/>
      <c r="H92" s="425"/>
      <c r="I92" s="569"/>
      <c r="J92" s="450"/>
      <c r="K92" s="425"/>
      <c r="L92" s="451"/>
      <c r="M92" s="425"/>
      <c r="N92" s="569"/>
      <c r="O92" s="450"/>
      <c r="P92" s="425"/>
      <c r="Q92" s="451"/>
      <c r="R92" s="425"/>
      <c r="S92" s="425"/>
      <c r="T92" s="450"/>
      <c r="U92" s="425"/>
      <c r="V92" s="451"/>
      <c r="W92" s="425"/>
      <c r="X92" s="425"/>
      <c r="Y92" s="450"/>
      <c r="Z92" s="425"/>
      <c r="AA92" s="451"/>
      <c r="AB92" s="452"/>
      <c r="AC92" s="451"/>
    </row>
    <row r="93" spans="2:29" x14ac:dyDescent="0.3">
      <c r="B93" s="16" t="s">
        <v>146</v>
      </c>
      <c r="C93" s="448">
        <f>42*'Arable Inputs'!$D$8</f>
        <v>42</v>
      </c>
      <c r="D93" s="449">
        <f>35.63*'Arable Inputs'!$D$8</f>
        <v>35.630000000000003</v>
      </c>
      <c r="E93" s="450"/>
      <c r="F93" s="425"/>
      <c r="G93" s="451"/>
      <c r="H93" s="425"/>
      <c r="I93" s="569"/>
      <c r="J93" s="450"/>
      <c r="K93" s="425"/>
      <c r="L93" s="451"/>
      <c r="M93" s="425"/>
      <c r="N93" s="569"/>
      <c r="O93" s="450"/>
      <c r="P93" s="425"/>
      <c r="Q93" s="451"/>
      <c r="R93" s="425"/>
      <c r="S93" s="425"/>
      <c r="T93" s="450"/>
      <c r="U93" s="425"/>
      <c r="V93" s="451"/>
      <c r="W93" s="425"/>
      <c r="X93" s="425"/>
      <c r="Y93" s="450"/>
      <c r="Z93" s="425"/>
      <c r="AA93" s="451"/>
      <c r="AB93" s="452"/>
      <c r="AC93" s="451"/>
    </row>
    <row r="94" spans="2:29" x14ac:dyDescent="0.3">
      <c r="B94" s="10" t="s">
        <v>171</v>
      </c>
      <c r="C94" s="448">
        <f>778.37*'Arable Inputs'!$D$8</f>
        <v>778.37</v>
      </c>
      <c r="D94" s="449">
        <f>602.86*'Arable Inputs'!$D$8</f>
        <v>602.86</v>
      </c>
      <c r="E94" s="450"/>
      <c r="F94" s="425"/>
      <c r="G94" s="451"/>
      <c r="H94" s="425"/>
      <c r="I94" s="569"/>
      <c r="J94" s="450"/>
      <c r="K94" s="425"/>
      <c r="L94" s="451"/>
      <c r="M94" s="425"/>
      <c r="N94" s="569"/>
      <c r="O94" s="450"/>
      <c r="P94" s="425"/>
      <c r="Q94" s="451"/>
      <c r="R94" s="425"/>
      <c r="S94" s="425"/>
      <c r="T94" s="450"/>
      <c r="U94" s="425"/>
      <c r="V94" s="451"/>
      <c r="W94" s="425"/>
      <c r="X94" s="425"/>
      <c r="Y94" s="450"/>
      <c r="Z94" s="425"/>
      <c r="AA94" s="451"/>
      <c r="AB94" s="452"/>
      <c r="AC94" s="451"/>
    </row>
    <row r="95" spans="2:29" x14ac:dyDescent="0.3">
      <c r="B95" s="16" t="s">
        <v>172</v>
      </c>
      <c r="C95" s="448">
        <f>998.28*'Arable Inputs'!$D$8</f>
        <v>998.28</v>
      </c>
      <c r="D95" s="449">
        <f>830.86*'Arable Inputs'!$D$8</f>
        <v>830.86</v>
      </c>
      <c r="E95" s="450"/>
      <c r="F95" s="425"/>
      <c r="G95" s="451"/>
      <c r="H95" s="425"/>
      <c r="I95" s="569"/>
      <c r="J95" s="450"/>
      <c r="K95" s="425"/>
      <c r="L95" s="451"/>
      <c r="M95" s="425"/>
      <c r="N95" s="569"/>
      <c r="O95" s="450"/>
      <c r="P95" s="425"/>
      <c r="Q95" s="451"/>
      <c r="R95" s="425"/>
      <c r="S95" s="425"/>
      <c r="T95" s="450"/>
      <c r="U95" s="425"/>
      <c r="V95" s="986"/>
      <c r="W95" s="425"/>
      <c r="X95" s="425"/>
      <c r="Y95" s="450"/>
      <c r="Z95" s="425"/>
      <c r="AA95" s="451"/>
      <c r="AB95" s="452"/>
      <c r="AC95" s="451"/>
    </row>
    <row r="96" spans="2:29" x14ac:dyDescent="0.3">
      <c r="B96" s="16" t="s">
        <v>173</v>
      </c>
      <c r="C96" s="448">
        <f>242.23*'Arable Inputs'!$D$8</f>
        <v>242.23</v>
      </c>
      <c r="D96" s="449">
        <f>280.99*'Arable Inputs'!$D$8</f>
        <v>280.99</v>
      </c>
      <c r="E96" s="450"/>
      <c r="F96" s="425"/>
      <c r="G96" s="451"/>
      <c r="H96" s="425"/>
      <c r="I96" s="569"/>
      <c r="J96" s="450"/>
      <c r="K96" s="425"/>
      <c r="L96" s="451"/>
      <c r="M96" s="425"/>
      <c r="N96" s="569"/>
      <c r="O96" s="450"/>
      <c r="P96" s="425"/>
      <c r="Q96" s="451"/>
      <c r="R96" s="425"/>
      <c r="S96" s="425"/>
      <c r="T96" s="450">
        <v>1</v>
      </c>
      <c r="U96" s="453">
        <v>1</v>
      </c>
      <c r="V96" s="986">
        <f>IF(U96&gt;=1,CHOOSE(T96,$C96,$D96)*U96)</f>
        <v>242.23</v>
      </c>
      <c r="W96" s="795">
        <v>14</v>
      </c>
      <c r="X96" s="569">
        <f>W96*$C$4</f>
        <v>179.20000000000002</v>
      </c>
      <c r="Y96" s="450"/>
      <c r="Z96" s="425"/>
      <c r="AA96" s="451"/>
      <c r="AB96" s="452"/>
      <c r="AC96" s="451"/>
    </row>
    <row r="97" spans="2:29" x14ac:dyDescent="0.3">
      <c r="B97" s="16" t="s">
        <v>174</v>
      </c>
      <c r="C97" s="448">
        <f>276.75*'Arable Inputs'!$D$8</f>
        <v>276.75</v>
      </c>
      <c r="D97" s="449" t="s">
        <v>118</v>
      </c>
      <c r="E97" s="450"/>
      <c r="F97" s="425"/>
      <c r="G97" s="451"/>
      <c r="H97" s="425"/>
      <c r="I97" s="569"/>
      <c r="J97" s="450"/>
      <c r="K97" s="425"/>
      <c r="L97" s="451"/>
      <c r="M97" s="425"/>
      <c r="N97" s="569"/>
      <c r="O97" s="450"/>
      <c r="P97" s="425"/>
      <c r="Q97" s="451"/>
      <c r="R97" s="425"/>
      <c r="S97" s="425"/>
      <c r="T97" s="450"/>
      <c r="U97" s="425"/>
      <c r="V97" s="986"/>
      <c r="W97" s="425"/>
      <c r="X97" s="569"/>
      <c r="Y97" s="450"/>
      <c r="Z97" s="425"/>
      <c r="AA97" s="451"/>
      <c r="AB97" s="452"/>
      <c r="AC97" s="451"/>
    </row>
    <row r="98" spans="2:29" x14ac:dyDescent="0.3">
      <c r="B98" s="16" t="s">
        <v>63</v>
      </c>
      <c r="C98" s="448">
        <f>64.99*'Arable Inputs'!$D$8</f>
        <v>64.989999999999995</v>
      </c>
      <c r="D98" s="449">
        <f>59.25*'Arable Inputs'!$D$8</f>
        <v>59.25</v>
      </c>
      <c r="E98" s="450"/>
      <c r="F98" s="425"/>
      <c r="G98" s="451"/>
      <c r="H98" s="425"/>
      <c r="I98" s="569"/>
      <c r="J98" s="450"/>
      <c r="K98" s="425"/>
      <c r="L98" s="451"/>
      <c r="M98" s="425"/>
      <c r="N98" s="569"/>
      <c r="O98" s="450"/>
      <c r="P98" s="425"/>
      <c r="Q98" s="451"/>
      <c r="R98" s="425"/>
      <c r="S98" s="425"/>
      <c r="T98" s="450"/>
      <c r="U98" s="425"/>
      <c r="V98" s="986"/>
      <c r="W98" s="425"/>
      <c r="X98" s="569"/>
      <c r="Y98" s="450"/>
      <c r="Z98" s="425"/>
      <c r="AA98" s="451"/>
      <c r="AB98" s="452"/>
      <c r="AC98" s="451"/>
    </row>
    <row r="99" spans="2:29" x14ac:dyDescent="0.3">
      <c r="B99" s="16" t="s">
        <v>148</v>
      </c>
      <c r="C99" s="448">
        <f>58.07*'Arable Inputs'!$D$8</f>
        <v>58.07</v>
      </c>
      <c r="D99" s="449">
        <f>45.57*'Arable Inputs'!$D$8</f>
        <v>45.57</v>
      </c>
      <c r="E99" s="450"/>
      <c r="F99" s="425"/>
      <c r="G99" s="451"/>
      <c r="H99" s="425"/>
      <c r="I99" s="569"/>
      <c r="J99" s="450"/>
      <c r="K99" s="425"/>
      <c r="L99" s="451"/>
      <c r="M99" s="425"/>
      <c r="N99" s="569"/>
      <c r="O99" s="450"/>
      <c r="P99" s="425"/>
      <c r="Q99" s="451"/>
      <c r="R99" s="425"/>
      <c r="S99" s="425"/>
      <c r="T99" s="450"/>
      <c r="U99" s="425"/>
      <c r="V99" s="986"/>
      <c r="W99" s="425"/>
      <c r="X99" s="569"/>
      <c r="Y99" s="450"/>
      <c r="Z99" s="425"/>
      <c r="AA99" s="451"/>
      <c r="AB99" s="452"/>
      <c r="AC99" s="451"/>
    </row>
    <row r="100" spans="2:29" x14ac:dyDescent="0.3">
      <c r="B100" s="16" t="s">
        <v>149</v>
      </c>
      <c r="C100" s="448">
        <f>145.29*'Arable Inputs'!$D$8</f>
        <v>145.29</v>
      </c>
      <c r="D100" s="449" t="s">
        <v>118</v>
      </c>
      <c r="E100" s="450"/>
      <c r="F100" s="425"/>
      <c r="G100" s="451"/>
      <c r="H100" s="425"/>
      <c r="I100" s="569"/>
      <c r="J100" s="450"/>
      <c r="K100" s="425"/>
      <c r="L100" s="451"/>
      <c r="M100" s="425"/>
      <c r="N100" s="569"/>
      <c r="O100" s="450"/>
      <c r="P100" s="425"/>
      <c r="Q100" s="451"/>
      <c r="R100" s="425"/>
      <c r="S100" s="425"/>
      <c r="T100" s="450"/>
      <c r="U100" s="425"/>
      <c r="V100" s="986"/>
      <c r="W100" s="425"/>
      <c r="X100" s="569"/>
      <c r="Y100" s="450"/>
      <c r="Z100" s="425"/>
      <c r="AA100" s="451"/>
      <c r="AB100" s="452"/>
      <c r="AC100" s="451"/>
    </row>
    <row r="101" spans="2:29" x14ac:dyDescent="0.3">
      <c r="B101" s="16" t="s">
        <v>150</v>
      </c>
      <c r="C101" s="448">
        <f>168.03*'Arable Inputs'!$D$8</f>
        <v>168.03</v>
      </c>
      <c r="D101" s="480" t="s">
        <v>118</v>
      </c>
      <c r="E101" s="450"/>
      <c r="F101" s="425"/>
      <c r="G101" s="451"/>
      <c r="H101" s="425"/>
      <c r="I101" s="569"/>
      <c r="J101" s="450"/>
      <c r="K101" s="425"/>
      <c r="L101" s="451"/>
      <c r="M101" s="425"/>
      <c r="N101" s="569"/>
      <c r="O101" s="450"/>
      <c r="P101" s="425"/>
      <c r="Q101" s="451"/>
      <c r="R101" s="425"/>
      <c r="S101" s="425"/>
      <c r="T101" s="450"/>
      <c r="U101" s="425"/>
      <c r="V101" s="986"/>
      <c r="W101" s="425"/>
      <c r="X101" s="569"/>
      <c r="Y101" s="450"/>
      <c r="Z101" s="425"/>
      <c r="AA101" s="451"/>
      <c r="AB101" s="452"/>
      <c r="AC101" s="451"/>
    </row>
    <row r="102" spans="2:29" x14ac:dyDescent="0.3">
      <c r="B102" s="16" t="s">
        <v>184</v>
      </c>
      <c r="C102" s="448">
        <f>168.03*'Arable Inputs'!$D$8</f>
        <v>168.03</v>
      </c>
      <c r="D102" s="480" t="s">
        <v>118</v>
      </c>
      <c r="E102" s="450"/>
      <c r="F102" s="425"/>
      <c r="G102" s="451"/>
      <c r="H102" s="425"/>
      <c r="I102" s="569"/>
      <c r="J102" s="450"/>
      <c r="K102" s="425"/>
      <c r="L102" s="451"/>
      <c r="M102" s="425"/>
      <c r="N102" s="569"/>
      <c r="O102" s="450"/>
      <c r="P102" s="425"/>
      <c r="Q102" s="451"/>
      <c r="R102" s="425"/>
      <c r="S102" s="425"/>
      <c r="T102" s="450"/>
      <c r="U102" s="425"/>
      <c r="V102" s="986"/>
      <c r="W102" s="425"/>
      <c r="X102" s="569"/>
      <c r="Y102" s="450">
        <v>1</v>
      </c>
      <c r="Z102" s="453">
        <v>1</v>
      </c>
      <c r="AA102" s="986">
        <f>IF(Z102&gt;=1,CHOOSE(Y102,$C102,$D102)*Z102)</f>
        <v>168.03</v>
      </c>
      <c r="AB102" s="822">
        <v>1.5</v>
      </c>
      <c r="AC102" s="986">
        <f>AB102*$C$4</f>
        <v>19.200000000000003</v>
      </c>
    </row>
    <row r="103" spans="2:29" x14ac:dyDescent="0.3">
      <c r="B103" s="16" t="s">
        <v>207</v>
      </c>
      <c r="C103" s="492">
        <f>42.05*'Arable Inputs'!$D$8</f>
        <v>42.05</v>
      </c>
      <c r="D103" s="493">
        <f>35.63*'Arable Inputs'!$D$8</f>
        <v>35.630000000000003</v>
      </c>
      <c r="E103" s="450">
        <v>2</v>
      </c>
      <c r="F103" s="453">
        <v>1</v>
      </c>
      <c r="G103" s="986">
        <f>IF(F103&gt;=1,CHOOSE(E103,$C103,$D103)*F103)</f>
        <v>35.630000000000003</v>
      </c>
      <c r="H103" s="795">
        <v>1</v>
      </c>
      <c r="I103" s="569">
        <f>H103*$C$4</f>
        <v>12.8</v>
      </c>
      <c r="J103" s="450">
        <v>2</v>
      </c>
      <c r="K103" s="453">
        <v>1</v>
      </c>
      <c r="L103" s="986">
        <f>IF(K103&gt;=1,CHOOSE(J103,$C103,$D103)*K103)</f>
        <v>35.630000000000003</v>
      </c>
      <c r="M103" s="795">
        <v>1</v>
      </c>
      <c r="N103" s="569">
        <f>M103*$C$4</f>
        <v>12.8</v>
      </c>
      <c r="O103" s="450"/>
      <c r="P103" s="425"/>
      <c r="Q103" s="451"/>
      <c r="R103" s="425"/>
      <c r="S103" s="425"/>
      <c r="T103" s="450">
        <v>2</v>
      </c>
      <c r="U103" s="453">
        <v>1</v>
      </c>
      <c r="V103" s="986">
        <f>IF(U103&gt;=1,CHOOSE(T103,$C103,$D103)*U103)</f>
        <v>35.630000000000003</v>
      </c>
      <c r="W103" s="795">
        <v>3.4</v>
      </c>
      <c r="X103" s="569">
        <f>W103*$C$4</f>
        <v>43.52</v>
      </c>
      <c r="Y103" s="450"/>
      <c r="Z103" s="425"/>
      <c r="AA103" s="986"/>
      <c r="AB103" s="452"/>
      <c r="AC103" s="986"/>
    </row>
    <row r="104" spans="2:29" x14ac:dyDescent="0.3">
      <c r="B104" s="16" t="s">
        <v>98</v>
      </c>
      <c r="C104" s="492">
        <f>42.05*'Arable Inputs'!$D$8</f>
        <v>42.05</v>
      </c>
      <c r="D104" s="493">
        <f>35.63*'Arable Inputs'!$D$8</f>
        <v>35.630000000000003</v>
      </c>
      <c r="E104" s="450">
        <v>2</v>
      </c>
      <c r="F104" s="453">
        <v>3</v>
      </c>
      <c r="G104" s="986">
        <f>IF(F104&gt;=1,CHOOSE(E104,$C104,$D104)*F104)</f>
        <v>106.89000000000001</v>
      </c>
      <c r="H104" s="798">
        <v>0.7</v>
      </c>
      <c r="I104" s="569">
        <f>H104*$C$4</f>
        <v>8.9599999999999991</v>
      </c>
      <c r="J104" s="450">
        <v>2</v>
      </c>
      <c r="K104" s="491">
        <v>3</v>
      </c>
      <c r="L104" s="986">
        <f>IF(K104&gt;=1,CHOOSE(J104,$C104,$D104)*K104)</f>
        <v>106.89000000000001</v>
      </c>
      <c r="M104" s="798">
        <v>0.7</v>
      </c>
      <c r="N104" s="569">
        <f>M104*$C$4</f>
        <v>8.9599999999999991</v>
      </c>
      <c r="O104" s="450">
        <v>2</v>
      </c>
      <c r="P104" s="491">
        <v>1</v>
      </c>
      <c r="Q104" s="986">
        <f>IF(P104&gt;=1,CHOOSE(O104,$C104,$D104)*P104)</f>
        <v>35.630000000000003</v>
      </c>
      <c r="R104" s="798">
        <f>1.6+0.5</f>
        <v>2.1</v>
      </c>
      <c r="S104" s="569">
        <f>R104*$C$4</f>
        <v>26.880000000000003</v>
      </c>
      <c r="T104" s="450"/>
      <c r="U104" s="425"/>
      <c r="V104" s="986"/>
      <c r="W104" s="425"/>
      <c r="X104" s="569"/>
      <c r="Y104" s="450"/>
      <c r="Z104" s="425"/>
      <c r="AA104" s="986"/>
      <c r="AB104" s="452"/>
      <c r="AC104" s="986"/>
    </row>
    <row r="105" spans="2:29" x14ac:dyDescent="0.3">
      <c r="B105" s="422" t="s">
        <v>183</v>
      </c>
      <c r="C105" s="459"/>
      <c r="D105" s="459"/>
      <c r="E105" s="460"/>
      <c r="F105" s="420" t="s">
        <v>12</v>
      </c>
      <c r="G105" s="812">
        <f>SUM(G84:G104)</f>
        <v>232.62</v>
      </c>
      <c r="H105" s="422">
        <f>SUM(H84:H104)</f>
        <v>3.2</v>
      </c>
      <c r="I105" s="825">
        <f>SUM(I84:I104)</f>
        <v>40.96</v>
      </c>
      <c r="J105" s="463"/>
      <c r="K105" s="420"/>
      <c r="L105" s="812">
        <f>SUM(L84:L104)</f>
        <v>232.62</v>
      </c>
      <c r="M105" s="422">
        <f>SUM(M84:M104)</f>
        <v>3.2</v>
      </c>
      <c r="N105" s="825">
        <f>SUM(N84:N104)</f>
        <v>40.96</v>
      </c>
      <c r="O105" s="463"/>
      <c r="P105" s="420"/>
      <c r="Q105" s="812">
        <f>SUM(Q84:Q104)</f>
        <v>125.72999999999999</v>
      </c>
      <c r="R105" s="422">
        <f>SUM(R84:R104)</f>
        <v>4.5</v>
      </c>
      <c r="S105" s="825">
        <f>SUM(S84:S104)</f>
        <v>57.6</v>
      </c>
      <c r="T105" s="463"/>
      <c r="U105" s="420"/>
      <c r="V105" s="812">
        <f>SUM(V84:V104)</f>
        <v>277.86</v>
      </c>
      <c r="W105" s="422">
        <f>SUM(W84:W104)</f>
        <v>17.399999999999999</v>
      </c>
      <c r="X105" s="825">
        <f>SUM(X84:X104)</f>
        <v>222.72000000000003</v>
      </c>
      <c r="Y105" s="463"/>
      <c r="Z105" s="420"/>
      <c r="AA105" s="829">
        <v>175</v>
      </c>
      <c r="AB105" s="422">
        <f>SUM(AB84:AB104)</f>
        <v>1.5</v>
      </c>
      <c r="AC105" s="812">
        <f>SUM(AC84:AC104)</f>
        <v>19.200000000000003</v>
      </c>
    </row>
    <row r="106" spans="2:29" s="39" customFormat="1" x14ac:dyDescent="0.3">
      <c r="B106" s="96"/>
      <c r="C106" s="494"/>
      <c r="D106" s="494"/>
      <c r="E106" s="495"/>
      <c r="F106" s="496"/>
      <c r="G106" s="496"/>
      <c r="H106" s="496"/>
      <c r="I106" s="496"/>
      <c r="J106" s="496"/>
      <c r="K106" s="496"/>
      <c r="L106" s="496"/>
      <c r="M106" s="496"/>
      <c r="N106" s="496"/>
      <c r="O106" s="496"/>
      <c r="P106" s="496"/>
      <c r="Q106" s="496"/>
      <c r="R106" s="496"/>
      <c r="S106" s="496"/>
      <c r="T106" s="496"/>
      <c r="U106" s="496"/>
      <c r="V106" s="496"/>
      <c r="W106" s="496"/>
      <c r="X106" s="496"/>
      <c r="Y106" s="496"/>
      <c r="Z106" s="496"/>
      <c r="AA106" s="496"/>
      <c r="AB106" s="496"/>
      <c r="AC106" s="497"/>
    </row>
    <row r="107" spans="2:29" x14ac:dyDescent="0.3">
      <c r="B107" s="422" t="s">
        <v>185</v>
      </c>
      <c r="C107" s="459"/>
      <c r="D107" s="459"/>
      <c r="E107" s="459"/>
      <c r="F107" s="420"/>
      <c r="G107" s="420"/>
      <c r="H107" s="420"/>
      <c r="I107" s="420"/>
      <c r="J107" s="420"/>
      <c r="K107" s="420"/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61"/>
    </row>
    <row r="108" spans="2:29" x14ac:dyDescent="0.3">
      <c r="B108" s="16" t="s">
        <v>153</v>
      </c>
      <c r="C108" s="448">
        <f>44.88*'Arable Inputs'!$D$8</f>
        <v>44.88</v>
      </c>
      <c r="D108" s="480" t="s">
        <v>118</v>
      </c>
      <c r="E108" s="481"/>
      <c r="F108" s="496"/>
      <c r="G108" s="498"/>
      <c r="H108" s="496"/>
      <c r="I108" s="496"/>
      <c r="J108" s="499"/>
      <c r="K108" s="496"/>
      <c r="L108" s="498"/>
      <c r="M108" s="496"/>
      <c r="N108" s="496"/>
      <c r="O108" s="499"/>
      <c r="P108" s="496"/>
      <c r="Q108" s="498"/>
      <c r="R108" s="496"/>
      <c r="S108" s="496"/>
      <c r="T108" s="499"/>
      <c r="U108" s="496"/>
      <c r="V108" s="498"/>
      <c r="W108" s="496"/>
      <c r="X108" s="496"/>
      <c r="Y108" s="499"/>
      <c r="Z108" s="496"/>
      <c r="AA108" s="498"/>
      <c r="AB108" s="496"/>
      <c r="AC108" s="497"/>
    </row>
    <row r="109" spans="2:29" x14ac:dyDescent="0.3">
      <c r="B109" s="16" t="s">
        <v>66</v>
      </c>
      <c r="C109" s="448">
        <f>32.27*'Arable Inputs'!$D$8</f>
        <v>32.270000000000003</v>
      </c>
      <c r="D109" s="449">
        <f>21.44*'Arable Inputs'!$D$8</f>
        <v>21.44</v>
      </c>
      <c r="E109" s="481"/>
      <c r="F109" s="496"/>
      <c r="G109" s="497"/>
      <c r="H109" s="496"/>
      <c r="I109" s="496"/>
      <c r="J109" s="499"/>
      <c r="K109" s="496"/>
      <c r="L109" s="497"/>
      <c r="M109" s="496"/>
      <c r="N109" s="496"/>
      <c r="O109" s="499"/>
      <c r="P109" s="496"/>
      <c r="Q109" s="497"/>
      <c r="R109" s="496"/>
      <c r="S109" s="496"/>
      <c r="T109" s="499"/>
      <c r="U109" s="496"/>
      <c r="V109" s="497"/>
      <c r="W109" s="496"/>
      <c r="X109" s="496"/>
      <c r="Y109" s="499"/>
      <c r="Z109" s="496"/>
      <c r="AA109" s="497"/>
      <c r="AB109" s="496"/>
      <c r="AC109" s="497"/>
    </row>
    <row r="110" spans="2:29" x14ac:dyDescent="0.3">
      <c r="B110" s="16" t="s">
        <v>67</v>
      </c>
      <c r="C110" s="448">
        <f>29.18*'Arable Inputs'!$D$8</f>
        <v>29.18</v>
      </c>
      <c r="D110" s="449">
        <f>30.24*'Arable Inputs'!$D$8</f>
        <v>30.24</v>
      </c>
      <c r="E110" s="481"/>
      <c r="F110" s="496"/>
      <c r="G110" s="497"/>
      <c r="H110" s="496"/>
      <c r="I110" s="496"/>
      <c r="J110" s="499"/>
      <c r="K110" s="496"/>
      <c r="L110" s="497"/>
      <c r="M110" s="496"/>
      <c r="N110" s="496"/>
      <c r="O110" s="499"/>
      <c r="P110" s="496"/>
      <c r="Q110" s="497"/>
      <c r="R110" s="496"/>
      <c r="S110" s="496"/>
      <c r="T110" s="499"/>
      <c r="U110" s="496"/>
      <c r="V110" s="497"/>
      <c r="W110" s="496"/>
      <c r="X110" s="496"/>
      <c r="Y110" s="499"/>
      <c r="Z110" s="496"/>
      <c r="AA110" s="497"/>
      <c r="AB110" s="496"/>
      <c r="AC110" s="497"/>
    </row>
    <row r="111" spans="2:29" x14ac:dyDescent="0.3">
      <c r="B111" s="16" t="s">
        <v>68</v>
      </c>
      <c r="C111" s="448">
        <f>16.58*'Arable Inputs'!$D$8</f>
        <v>16.579999999999998</v>
      </c>
      <c r="D111" s="449">
        <f>14.51*'Arable Inputs'!$D$8</f>
        <v>14.51</v>
      </c>
      <c r="E111" s="481"/>
      <c r="F111" s="496"/>
      <c r="G111" s="497"/>
      <c r="H111" s="496"/>
      <c r="I111" s="496"/>
      <c r="J111" s="499"/>
      <c r="K111" s="496"/>
      <c r="L111" s="497"/>
      <c r="M111" s="496"/>
      <c r="N111" s="496"/>
      <c r="O111" s="499"/>
      <c r="P111" s="496"/>
      <c r="Q111" s="497"/>
      <c r="R111" s="496"/>
      <c r="S111" s="496"/>
      <c r="T111" s="499"/>
      <c r="U111" s="496"/>
      <c r="V111" s="497"/>
      <c r="W111" s="496"/>
      <c r="X111" s="496"/>
      <c r="Y111" s="499"/>
      <c r="Z111" s="496"/>
      <c r="AA111" s="497"/>
      <c r="AB111" s="496"/>
      <c r="AC111" s="497"/>
    </row>
    <row r="112" spans="2:29" x14ac:dyDescent="0.3">
      <c r="B112" s="16" t="s">
        <v>69</v>
      </c>
      <c r="C112" s="448">
        <f>19.94*'Arable Inputs'!$D$8</f>
        <v>19.940000000000001</v>
      </c>
      <c r="D112" s="449">
        <f>20.13*'Arable Inputs'!$D$8</f>
        <v>20.13</v>
      </c>
      <c r="E112" s="481"/>
      <c r="F112" s="496"/>
      <c r="G112" s="497"/>
      <c r="H112" s="496"/>
      <c r="I112" s="496"/>
      <c r="J112" s="499"/>
      <c r="K112" s="496"/>
      <c r="L112" s="497"/>
      <c r="M112" s="496"/>
      <c r="N112" s="496"/>
      <c r="O112" s="499"/>
      <c r="P112" s="496"/>
      <c r="Q112" s="497"/>
      <c r="R112" s="496"/>
      <c r="S112" s="496"/>
      <c r="T112" s="499"/>
      <c r="U112" s="496"/>
      <c r="V112" s="497"/>
      <c r="W112" s="496"/>
      <c r="X112" s="496"/>
      <c r="Y112" s="499"/>
      <c r="Z112" s="496"/>
      <c r="AA112" s="497"/>
      <c r="AB112" s="496"/>
      <c r="AC112" s="497"/>
    </row>
    <row r="113" spans="2:29" x14ac:dyDescent="0.3">
      <c r="B113" s="16" t="s">
        <v>151</v>
      </c>
      <c r="C113" s="448">
        <f>160.62*'Arable Inputs'!$D$8</f>
        <v>160.62</v>
      </c>
      <c r="D113" s="480" t="s">
        <v>118</v>
      </c>
      <c r="E113" s="481"/>
      <c r="F113" s="425"/>
      <c r="G113" s="451"/>
      <c r="H113" s="425"/>
      <c r="I113" s="425"/>
      <c r="J113" s="450"/>
      <c r="K113" s="425"/>
      <c r="L113" s="451"/>
      <c r="M113" s="425"/>
      <c r="N113" s="425"/>
      <c r="O113" s="450"/>
      <c r="P113" s="425"/>
      <c r="Q113" s="451"/>
      <c r="R113" s="425"/>
      <c r="S113" s="425"/>
      <c r="T113" s="450"/>
      <c r="U113" s="425"/>
      <c r="V113" s="451"/>
      <c r="W113" s="425"/>
      <c r="X113" s="425"/>
      <c r="Y113" s="450"/>
      <c r="Z113" s="425"/>
      <c r="AA113" s="451"/>
      <c r="AB113" s="452"/>
      <c r="AC113" s="451"/>
    </row>
    <row r="114" spans="2:29" x14ac:dyDescent="0.3">
      <c r="B114" s="16" t="s">
        <v>152</v>
      </c>
      <c r="C114" s="479">
        <f>40.5*'Arable Inputs'!$D$8</f>
        <v>40.5</v>
      </c>
      <c r="D114" s="480" t="s">
        <v>118</v>
      </c>
      <c r="E114" s="481"/>
      <c r="F114" s="496"/>
      <c r="G114" s="497"/>
      <c r="H114" s="496"/>
      <c r="I114" s="496"/>
      <c r="J114" s="499"/>
      <c r="K114" s="496"/>
      <c r="L114" s="497"/>
      <c r="M114" s="496"/>
      <c r="N114" s="496"/>
      <c r="O114" s="499"/>
      <c r="P114" s="496"/>
      <c r="Q114" s="497"/>
      <c r="R114" s="496"/>
      <c r="S114" s="496"/>
      <c r="T114" s="499"/>
      <c r="U114" s="496"/>
      <c r="V114" s="497"/>
      <c r="W114" s="496"/>
      <c r="X114" s="496"/>
      <c r="Y114" s="499"/>
      <c r="Z114" s="496"/>
      <c r="AA114" s="497"/>
      <c r="AB114" s="496"/>
      <c r="AC114" s="497"/>
    </row>
    <row r="115" spans="2:29" x14ac:dyDescent="0.3">
      <c r="B115" s="16" t="s">
        <v>154</v>
      </c>
      <c r="C115" s="479">
        <f>110*'Arable Inputs'!$D$8</f>
        <v>110</v>
      </c>
      <c r="D115" s="480" t="s">
        <v>118</v>
      </c>
      <c r="E115" s="481"/>
      <c r="F115" s="496"/>
      <c r="G115" s="500"/>
      <c r="H115" s="496"/>
      <c r="I115" s="496"/>
      <c r="J115" s="499"/>
      <c r="K115" s="496"/>
      <c r="L115" s="500"/>
      <c r="M115" s="496"/>
      <c r="N115" s="496"/>
      <c r="O115" s="499"/>
      <c r="P115" s="496"/>
      <c r="Q115" s="500"/>
      <c r="R115" s="496"/>
      <c r="S115" s="496"/>
      <c r="T115" s="499"/>
      <c r="U115" s="496"/>
      <c r="V115" s="500"/>
      <c r="W115" s="496"/>
      <c r="X115" s="496"/>
      <c r="Y115" s="499"/>
      <c r="Z115" s="496"/>
      <c r="AA115" s="500"/>
      <c r="AB115" s="496"/>
      <c r="AC115" s="497"/>
    </row>
    <row r="116" spans="2:29" x14ac:dyDescent="0.3">
      <c r="B116" s="422" t="s">
        <v>186</v>
      </c>
      <c r="C116" s="472"/>
      <c r="D116" s="472"/>
      <c r="E116" s="476"/>
      <c r="F116" s="420" t="s">
        <v>12</v>
      </c>
      <c r="G116" s="461"/>
      <c r="H116" s="420"/>
      <c r="I116" s="420"/>
      <c r="J116" s="463"/>
      <c r="K116" s="420"/>
      <c r="L116" s="461"/>
      <c r="M116" s="420"/>
      <c r="N116" s="420"/>
      <c r="O116" s="463"/>
      <c r="P116" s="420"/>
      <c r="Q116" s="461"/>
      <c r="R116" s="420"/>
      <c r="S116" s="420"/>
      <c r="T116" s="463"/>
      <c r="U116" s="420"/>
      <c r="V116" s="461"/>
      <c r="W116" s="420"/>
      <c r="X116" s="420"/>
      <c r="Y116" s="463"/>
      <c r="Z116" s="420"/>
      <c r="AA116" s="461"/>
      <c r="AB116" s="420"/>
      <c r="AC116" s="461"/>
    </row>
    <row r="117" spans="2:29" x14ac:dyDescent="0.3">
      <c r="B117" s="422"/>
      <c r="C117" s="459"/>
      <c r="D117" s="459"/>
      <c r="E117" s="459"/>
      <c r="F117" s="420"/>
      <c r="G117" s="420"/>
      <c r="H117" s="420"/>
      <c r="I117" s="420"/>
      <c r="J117" s="420"/>
      <c r="K117" s="420"/>
      <c r="L117" s="420"/>
      <c r="M117" s="420"/>
      <c r="N117" s="420"/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420"/>
      <c r="Z117" s="420"/>
      <c r="AA117" s="420"/>
      <c r="AB117" s="420"/>
      <c r="AC117" s="461"/>
    </row>
    <row r="118" spans="2:29" s="39" customFormat="1" x14ac:dyDescent="0.3">
      <c r="B118" s="422" t="s">
        <v>155</v>
      </c>
      <c r="C118" s="459"/>
      <c r="D118" s="459"/>
      <c r="E118" s="459"/>
      <c r="F118" s="421"/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/>
      <c r="S118" s="421"/>
      <c r="T118" s="421"/>
      <c r="U118" s="421"/>
      <c r="V118" s="421"/>
      <c r="W118" s="421"/>
      <c r="X118" s="421"/>
      <c r="Y118" s="421"/>
      <c r="Z118" s="421"/>
      <c r="AA118" s="421"/>
      <c r="AB118" s="421"/>
      <c r="AC118" s="423"/>
    </row>
    <row r="119" spans="2:29" x14ac:dyDescent="0.3">
      <c r="B119" s="16" t="s">
        <v>156</v>
      </c>
      <c r="C119" s="448">
        <f>0.73*'Arable Inputs'!$D$8</f>
        <v>0.73</v>
      </c>
      <c r="D119" s="449">
        <f>0.29*'Arable Inputs'!$D$8</f>
        <v>0.28999999999999998</v>
      </c>
      <c r="E119" s="450"/>
      <c r="F119" s="425"/>
      <c r="G119" s="451"/>
      <c r="H119" s="425"/>
      <c r="I119" s="425"/>
      <c r="J119" s="450"/>
      <c r="K119" s="425"/>
      <c r="L119" s="451"/>
      <c r="M119" s="425"/>
      <c r="N119" s="425"/>
      <c r="O119" s="450"/>
      <c r="P119" s="425"/>
      <c r="Q119" s="451"/>
      <c r="R119" s="425"/>
      <c r="S119" s="425"/>
      <c r="T119" s="450"/>
      <c r="U119" s="425"/>
      <c r="V119" s="451"/>
      <c r="W119" s="425"/>
      <c r="X119" s="425"/>
      <c r="Y119" s="450"/>
      <c r="Z119" s="425"/>
      <c r="AA119" s="451"/>
      <c r="AB119" s="452"/>
      <c r="AC119" s="451"/>
    </row>
    <row r="120" spans="2:29" x14ac:dyDescent="0.3">
      <c r="B120" s="16" t="s">
        <v>157</v>
      </c>
      <c r="C120" s="448">
        <f>3.97*'Arable Inputs'!$D$8</f>
        <v>3.97</v>
      </c>
      <c r="D120" s="449" t="s">
        <v>118</v>
      </c>
      <c r="E120" s="450"/>
      <c r="F120" s="425"/>
      <c r="G120" s="451"/>
      <c r="H120" s="425"/>
      <c r="I120" s="425"/>
      <c r="J120" s="450"/>
      <c r="K120" s="425"/>
      <c r="L120" s="451"/>
      <c r="M120" s="425"/>
      <c r="N120" s="425"/>
      <c r="O120" s="450"/>
      <c r="P120" s="425"/>
      <c r="Q120" s="451"/>
      <c r="R120" s="425"/>
      <c r="S120" s="425"/>
      <c r="T120" s="450"/>
      <c r="U120" s="425"/>
      <c r="V120" s="451"/>
      <c r="W120" s="425"/>
      <c r="X120" s="425"/>
      <c r="Y120" s="450"/>
      <c r="Z120" s="425"/>
      <c r="AA120" s="451"/>
      <c r="AB120" s="452"/>
      <c r="AC120" s="451"/>
    </row>
    <row r="121" spans="2:29" x14ac:dyDescent="0.3">
      <c r="B121" s="16" t="s">
        <v>158</v>
      </c>
      <c r="C121" s="448">
        <f>4.66*'Arable Inputs'!$D$8</f>
        <v>4.66</v>
      </c>
      <c r="D121" s="449">
        <f>3.53*'Arable Inputs'!$D$8</f>
        <v>3.53</v>
      </c>
      <c r="E121" s="450"/>
      <c r="F121" s="425"/>
      <c r="G121" s="451"/>
      <c r="H121" s="425"/>
      <c r="I121" s="425"/>
      <c r="J121" s="450"/>
      <c r="K121" s="425"/>
      <c r="L121" s="451"/>
      <c r="M121" s="425"/>
      <c r="N121" s="425"/>
      <c r="O121" s="450"/>
      <c r="P121" s="425"/>
      <c r="Q121" s="451"/>
      <c r="R121" s="425"/>
      <c r="S121" s="425"/>
      <c r="T121" s="450"/>
      <c r="U121" s="425"/>
      <c r="V121" s="451"/>
      <c r="W121" s="425"/>
      <c r="X121" s="425"/>
      <c r="Y121" s="450"/>
      <c r="Z121" s="425"/>
      <c r="AA121" s="451"/>
      <c r="AB121" s="452"/>
      <c r="AC121" s="451"/>
    </row>
    <row r="122" spans="2:29" x14ac:dyDescent="0.3">
      <c r="B122" s="16" t="s">
        <v>159</v>
      </c>
      <c r="C122" s="448">
        <f>5.6*'Arable Inputs'!$D$8</f>
        <v>5.6</v>
      </c>
      <c r="D122" s="449" t="s">
        <v>118</v>
      </c>
      <c r="E122" s="450"/>
      <c r="F122" s="425"/>
      <c r="G122" s="451"/>
      <c r="H122" s="425"/>
      <c r="I122" s="425"/>
      <c r="J122" s="450"/>
      <c r="K122" s="425"/>
      <c r="L122" s="451"/>
      <c r="M122" s="425"/>
      <c r="N122" s="425"/>
      <c r="O122" s="450"/>
      <c r="P122" s="425"/>
      <c r="Q122" s="451"/>
      <c r="R122" s="425"/>
      <c r="S122" s="425"/>
      <c r="T122" s="450"/>
      <c r="U122" s="425"/>
      <c r="V122" s="451"/>
      <c r="W122" s="425"/>
      <c r="X122" s="425"/>
      <c r="Y122" s="450"/>
      <c r="Z122" s="425"/>
      <c r="AA122" s="451"/>
      <c r="AB122" s="452"/>
      <c r="AC122" s="451"/>
    </row>
    <row r="123" spans="2:29" x14ac:dyDescent="0.3">
      <c r="B123" s="16" t="s">
        <v>160</v>
      </c>
      <c r="C123" s="448">
        <f>7.25*'Arable Inputs'!$D$8</f>
        <v>7.25</v>
      </c>
      <c r="D123" s="449" t="s">
        <v>118</v>
      </c>
      <c r="E123" s="450"/>
      <c r="F123" s="425"/>
      <c r="G123" s="451"/>
      <c r="H123" s="425"/>
      <c r="I123" s="425"/>
      <c r="J123" s="450"/>
      <c r="K123" s="425"/>
      <c r="L123" s="451"/>
      <c r="M123" s="425"/>
      <c r="N123" s="425"/>
      <c r="O123" s="450"/>
      <c r="P123" s="425"/>
      <c r="Q123" s="451"/>
      <c r="R123" s="425"/>
      <c r="S123" s="425"/>
      <c r="T123" s="450"/>
      <c r="U123" s="425"/>
      <c r="V123" s="451"/>
      <c r="W123" s="425"/>
      <c r="X123" s="425"/>
      <c r="Y123" s="450"/>
      <c r="Z123" s="425"/>
      <c r="AA123" s="451"/>
      <c r="AB123" s="452"/>
      <c r="AC123" s="451"/>
    </row>
    <row r="124" spans="2:29" x14ac:dyDescent="0.3">
      <c r="B124" s="16" t="s">
        <v>161</v>
      </c>
      <c r="C124" s="448">
        <f>2.98*'Arable Inputs'!$D$8</f>
        <v>2.98</v>
      </c>
      <c r="D124" s="449" t="s">
        <v>118</v>
      </c>
      <c r="E124" s="450"/>
      <c r="F124" s="425"/>
      <c r="G124" s="451"/>
      <c r="H124" s="425"/>
      <c r="I124" s="425"/>
      <c r="J124" s="450"/>
      <c r="K124" s="425"/>
      <c r="L124" s="451"/>
      <c r="M124" s="425"/>
      <c r="N124" s="425"/>
      <c r="O124" s="450"/>
      <c r="P124" s="425"/>
      <c r="Q124" s="451"/>
      <c r="R124" s="425"/>
      <c r="S124" s="425"/>
      <c r="T124" s="450"/>
      <c r="U124" s="425"/>
      <c r="V124" s="451"/>
      <c r="W124" s="425"/>
      <c r="X124" s="425"/>
      <c r="Y124" s="450"/>
      <c r="Z124" s="425"/>
      <c r="AA124" s="451"/>
      <c r="AB124" s="452"/>
      <c r="AC124" s="451"/>
    </row>
    <row r="125" spans="2:29" x14ac:dyDescent="0.3">
      <c r="B125" s="16" t="s">
        <v>162</v>
      </c>
      <c r="C125" s="448">
        <f>3.48*'Arable Inputs'!$D$8</f>
        <v>3.48</v>
      </c>
      <c r="D125" s="449">
        <f>2.25*'Arable Inputs'!$D$8</f>
        <v>2.25</v>
      </c>
      <c r="E125" s="450">
        <v>2</v>
      </c>
      <c r="F125" s="455">
        <f>3500/350</f>
        <v>10</v>
      </c>
      <c r="G125" s="986">
        <f>IF(F125&gt;=1,CHOOSE(E125,$C125,$D125)*F125)</f>
        <v>22.5</v>
      </c>
      <c r="H125" s="795">
        <v>1.3</v>
      </c>
      <c r="I125" s="569">
        <f>H125*$C$4</f>
        <v>16.64</v>
      </c>
      <c r="J125" s="450">
        <v>2</v>
      </c>
      <c r="K125" s="455">
        <f>3500/350</f>
        <v>10</v>
      </c>
      <c r="L125" s="986">
        <f>IF(K125&gt;=1,CHOOSE(J125,$C125,$D125)*K125)</f>
        <v>22.5</v>
      </c>
      <c r="M125" s="795">
        <v>1.3</v>
      </c>
      <c r="N125" s="569">
        <f>M125*$C$4</f>
        <v>16.64</v>
      </c>
      <c r="O125" s="450">
        <v>2</v>
      </c>
      <c r="P125" s="455">
        <f>2600/350</f>
        <v>7.4285714285714288</v>
      </c>
      <c r="Q125" s="986">
        <f>IF(P125&gt;=1,CHOOSE(O125,$C125,$D125)*P125)</f>
        <v>16.714285714285715</v>
      </c>
      <c r="R125" s="798">
        <f>1.3</f>
        <v>1.3</v>
      </c>
      <c r="S125" s="569">
        <f>R125*$C$4</f>
        <v>16.64</v>
      </c>
      <c r="T125" s="450"/>
      <c r="U125" s="425"/>
      <c r="V125" s="451"/>
      <c r="W125" s="425"/>
      <c r="X125" s="425"/>
      <c r="Y125" s="450"/>
      <c r="Z125" s="425"/>
      <c r="AA125" s="451"/>
      <c r="AB125" s="425"/>
      <c r="AC125" s="451"/>
    </row>
    <row r="126" spans="2:29" x14ac:dyDescent="0.3">
      <c r="B126" s="16" t="s">
        <v>163</v>
      </c>
      <c r="C126" s="448">
        <f>5.49*'Arable Inputs'!$D$8</f>
        <v>5.49</v>
      </c>
      <c r="D126" s="449" t="s">
        <v>118</v>
      </c>
      <c r="E126" s="450"/>
      <c r="F126" s="425"/>
      <c r="G126" s="986"/>
      <c r="H126" s="425"/>
      <c r="I126" s="569"/>
      <c r="J126" s="450"/>
      <c r="K126" s="425"/>
      <c r="L126" s="986"/>
      <c r="M126" s="425"/>
      <c r="N126" s="569"/>
      <c r="O126" s="450"/>
      <c r="P126" s="425"/>
      <c r="Q126" s="986"/>
      <c r="R126" s="425"/>
      <c r="S126" s="569"/>
      <c r="T126" s="450"/>
      <c r="U126" s="425"/>
      <c r="V126" s="451"/>
      <c r="W126" s="425"/>
      <c r="X126" s="425"/>
      <c r="Y126" s="450"/>
      <c r="Z126" s="425"/>
      <c r="AA126" s="451"/>
      <c r="AB126" s="452"/>
      <c r="AC126" s="451"/>
    </row>
    <row r="127" spans="2:29" x14ac:dyDescent="0.3">
      <c r="B127" s="16" t="s">
        <v>164</v>
      </c>
      <c r="C127" s="448">
        <f>4.89*'Arable Inputs'!$D$8</f>
        <v>4.8899999999999997</v>
      </c>
      <c r="D127" s="449" t="s">
        <v>118</v>
      </c>
      <c r="E127" s="450"/>
      <c r="F127" s="425"/>
      <c r="G127" s="986"/>
      <c r="H127" s="425"/>
      <c r="I127" s="569"/>
      <c r="J127" s="450"/>
      <c r="K127" s="425"/>
      <c r="L127" s="986"/>
      <c r="M127" s="425"/>
      <c r="N127" s="569"/>
      <c r="O127" s="450"/>
      <c r="P127" s="425"/>
      <c r="Q127" s="986"/>
      <c r="R127" s="425"/>
      <c r="S127" s="569"/>
      <c r="T127" s="450"/>
      <c r="U127" s="425"/>
      <c r="V127" s="451"/>
      <c r="W127" s="425"/>
      <c r="X127" s="425"/>
      <c r="Y127" s="450"/>
      <c r="Z127" s="425"/>
      <c r="AA127" s="451"/>
      <c r="AB127" s="452"/>
      <c r="AC127" s="451"/>
    </row>
    <row r="128" spans="2:29" x14ac:dyDescent="0.3">
      <c r="B128" s="16" t="s">
        <v>165</v>
      </c>
      <c r="C128" s="448">
        <f>2.53*'Arable Inputs'!$D$8</f>
        <v>2.5299999999999998</v>
      </c>
      <c r="D128" s="449" t="s">
        <v>118</v>
      </c>
      <c r="E128" s="450"/>
      <c r="F128" s="425"/>
      <c r="G128" s="986"/>
      <c r="H128" s="425"/>
      <c r="I128" s="569"/>
      <c r="J128" s="450"/>
      <c r="K128" s="425"/>
      <c r="L128" s="986"/>
      <c r="M128" s="425"/>
      <c r="N128" s="569"/>
      <c r="O128" s="450"/>
      <c r="P128" s="425"/>
      <c r="Q128" s="986"/>
      <c r="R128" s="425"/>
      <c r="S128" s="569"/>
      <c r="T128" s="450"/>
      <c r="U128" s="425"/>
      <c r="V128" s="451"/>
      <c r="W128" s="425"/>
      <c r="X128" s="425"/>
      <c r="Y128" s="450"/>
      <c r="Z128" s="425"/>
      <c r="AA128" s="451"/>
      <c r="AB128" s="452"/>
      <c r="AC128" s="451"/>
    </row>
    <row r="129" spans="2:29" x14ac:dyDescent="0.3">
      <c r="B129" s="16" t="s">
        <v>166</v>
      </c>
      <c r="C129" s="448">
        <f>7*'Arable Inputs'!$D$8</f>
        <v>7</v>
      </c>
      <c r="D129" s="449" t="s">
        <v>118</v>
      </c>
      <c r="E129" s="450"/>
      <c r="F129" s="425"/>
      <c r="G129" s="986"/>
      <c r="H129" s="425"/>
      <c r="I129" s="569"/>
      <c r="J129" s="450"/>
      <c r="K129" s="425"/>
      <c r="L129" s="986"/>
      <c r="M129" s="425"/>
      <c r="N129" s="569"/>
      <c r="O129" s="450"/>
      <c r="P129" s="425"/>
      <c r="Q129" s="986"/>
      <c r="R129" s="425"/>
      <c r="S129" s="569"/>
      <c r="T129" s="450"/>
      <c r="U129" s="425"/>
      <c r="V129" s="451"/>
      <c r="W129" s="425"/>
      <c r="X129" s="425"/>
      <c r="Y129" s="450"/>
      <c r="Z129" s="425"/>
      <c r="AA129" s="451"/>
      <c r="AB129" s="452"/>
      <c r="AC129" s="451"/>
    </row>
    <row r="130" spans="2:29" x14ac:dyDescent="0.3">
      <c r="B130" s="16" t="s">
        <v>167</v>
      </c>
      <c r="C130" s="448">
        <f>5.66*'Arable Inputs'!$D$8</f>
        <v>5.66</v>
      </c>
      <c r="D130" s="449" t="s">
        <v>118</v>
      </c>
      <c r="E130" s="450"/>
      <c r="F130" s="425"/>
      <c r="G130" s="986"/>
      <c r="H130" s="425"/>
      <c r="I130" s="569"/>
      <c r="J130" s="450"/>
      <c r="K130" s="425"/>
      <c r="L130" s="986"/>
      <c r="M130" s="425"/>
      <c r="N130" s="569"/>
      <c r="O130" s="450"/>
      <c r="P130" s="425"/>
      <c r="Q130" s="986"/>
      <c r="R130" s="425"/>
      <c r="S130" s="569"/>
      <c r="T130" s="450"/>
      <c r="U130" s="425"/>
      <c r="V130" s="451"/>
      <c r="W130" s="425"/>
      <c r="X130" s="425"/>
      <c r="Y130" s="450"/>
      <c r="Z130" s="425"/>
      <c r="AA130" s="451"/>
      <c r="AB130" s="452"/>
      <c r="AC130" s="451"/>
    </row>
    <row r="131" spans="2:29" x14ac:dyDescent="0.3">
      <c r="B131" s="16" t="s">
        <v>168</v>
      </c>
      <c r="C131" s="448">
        <f>2.89*'Arable Inputs'!$D$8</f>
        <v>2.89</v>
      </c>
      <c r="D131" s="449" t="s">
        <v>118</v>
      </c>
      <c r="E131" s="450"/>
      <c r="F131" s="425"/>
      <c r="G131" s="986"/>
      <c r="H131" s="425"/>
      <c r="I131" s="569"/>
      <c r="J131" s="450"/>
      <c r="K131" s="425"/>
      <c r="L131" s="986"/>
      <c r="M131" s="425"/>
      <c r="N131" s="569"/>
      <c r="O131" s="450"/>
      <c r="P131" s="425"/>
      <c r="Q131" s="986"/>
      <c r="R131" s="425"/>
      <c r="S131" s="569"/>
      <c r="T131" s="450"/>
      <c r="U131" s="425"/>
      <c r="V131" s="451"/>
      <c r="W131" s="425"/>
      <c r="X131" s="425"/>
      <c r="Y131" s="450"/>
      <c r="Z131" s="425"/>
      <c r="AA131" s="451"/>
      <c r="AB131" s="452"/>
      <c r="AC131" s="451"/>
    </row>
    <row r="132" spans="2:29" x14ac:dyDescent="0.3">
      <c r="B132" s="16" t="s">
        <v>169</v>
      </c>
      <c r="C132" s="448">
        <f>60*'Arable Inputs'!$D$8</f>
        <v>60</v>
      </c>
      <c r="D132" s="449" t="s">
        <v>118</v>
      </c>
      <c r="E132" s="450"/>
      <c r="F132" s="425"/>
      <c r="G132" s="986"/>
      <c r="H132" s="425"/>
      <c r="I132" s="569"/>
      <c r="J132" s="450"/>
      <c r="K132" s="425"/>
      <c r="L132" s="986"/>
      <c r="M132" s="425"/>
      <c r="N132" s="569"/>
      <c r="O132" s="450"/>
      <c r="P132" s="425"/>
      <c r="Q132" s="986"/>
      <c r="R132" s="425"/>
      <c r="S132" s="569"/>
      <c r="T132" s="450"/>
      <c r="U132" s="425"/>
      <c r="V132" s="451"/>
      <c r="W132" s="425"/>
      <c r="X132" s="425"/>
      <c r="Y132" s="450"/>
      <c r="Z132" s="425"/>
      <c r="AA132" s="451"/>
      <c r="AB132" s="452"/>
      <c r="AC132" s="451"/>
    </row>
    <row r="133" spans="2:29" x14ac:dyDescent="0.3">
      <c r="B133" s="16" t="s">
        <v>207</v>
      </c>
      <c r="C133" s="492">
        <f>42.05*'Arable Inputs'!$D$8</f>
        <v>42.05</v>
      </c>
      <c r="D133" s="493">
        <f>35.63*'Arable Inputs'!$D$8</f>
        <v>35.630000000000003</v>
      </c>
      <c r="E133" s="450">
        <v>2</v>
      </c>
      <c r="F133" s="453">
        <v>1</v>
      </c>
      <c r="G133" s="986">
        <f>IF(F133&gt;=1,CHOOSE(E133,$C133,$D133)*F133)</f>
        <v>35.630000000000003</v>
      </c>
      <c r="H133" s="795">
        <v>3.5</v>
      </c>
      <c r="I133" s="569">
        <f>H133*$C$4</f>
        <v>44.800000000000004</v>
      </c>
      <c r="J133" s="450">
        <v>2</v>
      </c>
      <c r="K133" s="453">
        <v>1</v>
      </c>
      <c r="L133" s="986">
        <f>IF(K133&gt;=1,CHOOSE(J133,$C133,$D133)*K133)</f>
        <v>35.630000000000003</v>
      </c>
      <c r="M133" s="795">
        <v>3.5</v>
      </c>
      <c r="N133" s="569">
        <f>M133*$C$4</f>
        <v>44.800000000000004</v>
      </c>
      <c r="O133" s="450">
        <v>2</v>
      </c>
      <c r="P133" s="453">
        <v>1</v>
      </c>
      <c r="Q133" s="986">
        <f>IF(P133&gt;=1,CHOOSE(O133,$C133,$D133)*P133)</f>
        <v>35.630000000000003</v>
      </c>
      <c r="R133" s="795">
        <v>3.5</v>
      </c>
      <c r="S133" s="569">
        <f>R133*$C$4</f>
        <v>44.800000000000004</v>
      </c>
      <c r="T133" s="450"/>
      <c r="U133" s="425"/>
      <c r="V133" s="451"/>
      <c r="W133" s="425"/>
      <c r="X133" s="425"/>
      <c r="Y133" s="450"/>
      <c r="Z133" s="425"/>
      <c r="AA133" s="451"/>
      <c r="AB133" s="452"/>
      <c r="AC133" s="451"/>
    </row>
    <row r="134" spans="2:29" x14ac:dyDescent="0.3">
      <c r="B134" s="178" t="s">
        <v>170</v>
      </c>
      <c r="C134" s="459"/>
      <c r="D134" s="459"/>
      <c r="E134" s="460"/>
      <c r="F134" s="420" t="s">
        <v>12</v>
      </c>
      <c r="G134" s="812">
        <f>SUM(G119:G133)</f>
        <v>58.13</v>
      </c>
      <c r="H134" s="422">
        <f>SUM(H119:H133)</f>
        <v>4.8</v>
      </c>
      <c r="I134" s="825">
        <f>SUM(I119:I133)</f>
        <v>61.440000000000005</v>
      </c>
      <c r="J134" s="463"/>
      <c r="K134" s="420"/>
      <c r="L134" s="812">
        <f>SUM(L119:L133)</f>
        <v>58.13</v>
      </c>
      <c r="M134" s="422">
        <f>SUM(M119:M133)</f>
        <v>4.8</v>
      </c>
      <c r="N134" s="825">
        <f>SUM(N119:N133)</f>
        <v>61.440000000000005</v>
      </c>
      <c r="O134" s="463"/>
      <c r="P134" s="420"/>
      <c r="Q134" s="812">
        <f>SUM(Q119:Q133)</f>
        <v>52.344285714285718</v>
      </c>
      <c r="R134" s="471">
        <f>SUM(R119:R133)</f>
        <v>4.8</v>
      </c>
      <c r="S134" s="825">
        <f>SUM(S119:S133)</f>
        <v>61.440000000000005</v>
      </c>
      <c r="T134" s="463"/>
      <c r="U134" s="420"/>
      <c r="V134" s="461"/>
      <c r="W134" s="420"/>
      <c r="X134" s="420"/>
      <c r="Y134" s="463"/>
      <c r="Z134" s="420"/>
      <c r="AA134" s="461"/>
      <c r="AB134" s="420"/>
      <c r="AC134" s="461"/>
    </row>
    <row r="135" spans="2:29" s="39" customFormat="1" ht="15" customHeight="1" x14ac:dyDescent="0.3">
      <c r="B135" s="178"/>
      <c r="C135" s="459"/>
      <c r="D135" s="459"/>
      <c r="E135" s="459"/>
      <c r="F135" s="420"/>
      <c r="G135" s="420"/>
      <c r="H135" s="420"/>
      <c r="I135" s="420"/>
      <c r="J135" s="420"/>
      <c r="K135" s="420"/>
      <c r="L135" s="420"/>
      <c r="M135" s="420"/>
      <c r="N135" s="420"/>
      <c r="O135" s="420"/>
      <c r="P135" s="420"/>
      <c r="Q135" s="420"/>
      <c r="R135" s="420"/>
      <c r="S135" s="420"/>
      <c r="T135" s="420"/>
      <c r="U135" s="420"/>
      <c r="V135" s="420"/>
      <c r="W135" s="420"/>
      <c r="X135" s="420"/>
      <c r="Y135" s="420"/>
      <c r="Z135" s="420"/>
      <c r="AA135" s="420"/>
      <c r="AB135" s="420"/>
      <c r="AC135" s="461"/>
    </row>
    <row r="136" spans="2:29" s="39" customFormat="1" x14ac:dyDescent="0.3">
      <c r="B136" s="422" t="s">
        <v>65</v>
      </c>
      <c r="C136" s="459"/>
      <c r="D136" s="459"/>
      <c r="E136" s="459"/>
      <c r="F136" s="421"/>
      <c r="G136" s="421"/>
      <c r="H136" s="421"/>
      <c r="I136" s="421"/>
      <c r="J136" s="421"/>
      <c r="K136" s="421"/>
      <c r="L136" s="421"/>
      <c r="M136" s="421"/>
      <c r="N136" s="421"/>
      <c r="O136" s="421"/>
      <c r="P136" s="421"/>
      <c r="Q136" s="421"/>
      <c r="R136" s="421"/>
      <c r="S136" s="421"/>
      <c r="T136" s="421"/>
      <c r="U136" s="421"/>
      <c r="V136" s="421"/>
      <c r="W136" s="421"/>
      <c r="X136" s="421"/>
      <c r="Y136" s="421"/>
      <c r="Z136" s="421"/>
      <c r="AA136" s="421"/>
      <c r="AB136" s="421"/>
      <c r="AC136" s="423"/>
    </row>
    <row r="137" spans="2:29" x14ac:dyDescent="0.3">
      <c r="B137" s="16" t="s">
        <v>70</v>
      </c>
      <c r="C137" s="448">
        <f>(AVERAGE(1.5,2.5))*'Arable Inputs'!$D$8</f>
        <v>2</v>
      </c>
      <c r="D137" s="449">
        <f>(AVERAGE(10/4,8,10))*'Arable Inputs'!$D$8</f>
        <v>6.833333333333333</v>
      </c>
      <c r="E137" s="474"/>
      <c r="F137" s="425"/>
      <c r="G137" s="451"/>
      <c r="H137" s="425"/>
      <c r="I137" s="425"/>
      <c r="J137" s="450"/>
      <c r="K137" s="425"/>
      <c r="L137" s="451"/>
      <c r="M137" s="425"/>
      <c r="N137" s="425"/>
      <c r="O137" s="450"/>
      <c r="P137" s="425"/>
      <c r="Q137" s="451"/>
      <c r="R137" s="425"/>
      <c r="S137" s="425"/>
      <c r="T137" s="450"/>
      <c r="U137" s="425"/>
      <c r="V137" s="451"/>
      <c r="W137" s="425"/>
      <c r="X137" s="425"/>
      <c r="Y137" s="450"/>
      <c r="Z137" s="425"/>
      <c r="AA137" s="451"/>
      <c r="AB137" s="452"/>
      <c r="AC137" s="451"/>
    </row>
    <row r="138" spans="2:29" x14ac:dyDescent="0.3">
      <c r="B138" s="16" t="s">
        <v>71</v>
      </c>
      <c r="C138" s="448">
        <f>(AVERAGE(2,2.5))*'Arable Inputs'!$D$8</f>
        <v>2.25</v>
      </c>
      <c r="D138" s="449">
        <f>(AVERAGE(2,4))*'Arable Inputs'!$D$8</f>
        <v>3</v>
      </c>
      <c r="E138" s="474"/>
      <c r="F138" s="425"/>
      <c r="G138" s="451"/>
      <c r="H138" s="425"/>
      <c r="I138" s="425"/>
      <c r="J138" s="450"/>
      <c r="K138" s="425"/>
      <c r="L138" s="451"/>
      <c r="M138" s="425"/>
      <c r="N138" s="425"/>
      <c r="O138" s="450"/>
      <c r="P138" s="425"/>
      <c r="Q138" s="451"/>
      <c r="R138" s="425"/>
      <c r="S138" s="425"/>
      <c r="T138" s="450"/>
      <c r="U138" s="425"/>
      <c r="V138" s="451"/>
      <c r="W138" s="425"/>
      <c r="X138" s="425"/>
      <c r="Y138" s="450"/>
      <c r="Z138" s="425"/>
      <c r="AA138" s="451"/>
      <c r="AB138" s="452"/>
      <c r="AC138" s="451"/>
    </row>
    <row r="139" spans="2:29" x14ac:dyDescent="0.3">
      <c r="B139" s="16" t="s">
        <v>72</v>
      </c>
      <c r="C139" s="448">
        <f>(AVERAGE(2,2.5))*'Arable Inputs'!$D$8</f>
        <v>2.25</v>
      </c>
      <c r="D139" s="449">
        <f>(AVERAGE(2,4))*'Arable Inputs'!$D$8</f>
        <v>3</v>
      </c>
      <c r="E139" s="474"/>
      <c r="F139" s="425"/>
      <c r="G139" s="451"/>
      <c r="H139" s="425"/>
      <c r="I139" s="425"/>
      <c r="J139" s="450"/>
      <c r="K139" s="425"/>
      <c r="L139" s="451"/>
      <c r="M139" s="425"/>
      <c r="N139" s="425"/>
      <c r="O139" s="450"/>
      <c r="P139" s="425"/>
      <c r="Q139" s="451"/>
      <c r="R139" s="425"/>
      <c r="S139" s="425"/>
      <c r="T139" s="450"/>
      <c r="U139" s="425"/>
      <c r="V139" s="451"/>
      <c r="W139" s="425"/>
      <c r="X139" s="425"/>
      <c r="Y139" s="450"/>
      <c r="Z139" s="425"/>
      <c r="AA139" s="451"/>
      <c r="AB139" s="452"/>
      <c r="AC139" s="451"/>
    </row>
    <row r="140" spans="2:29" x14ac:dyDescent="0.3">
      <c r="B140" s="16" t="s">
        <v>244</v>
      </c>
      <c r="C140" s="448">
        <f>(AVERAGE(10,15))*'Arable Inputs'!$D$8</f>
        <v>12.5</v>
      </c>
      <c r="D140" s="449">
        <f>(AVERAGE(2,4))*'Arable Inputs'!$D$8</f>
        <v>3</v>
      </c>
      <c r="E140" s="474"/>
      <c r="F140" s="418"/>
      <c r="G140" s="425"/>
      <c r="H140" s="77"/>
      <c r="I140" s="425"/>
      <c r="J140" s="450"/>
      <c r="K140" s="418"/>
      <c r="L140" s="425"/>
      <c r="M140" s="77"/>
      <c r="N140" s="425"/>
      <c r="O140" s="450">
        <v>2</v>
      </c>
      <c r="P140" s="501">
        <f>'Arable Inputs'!F19</f>
        <v>2.6</v>
      </c>
      <c r="Q140" s="986">
        <f>IF(P140&gt;=1,CHOOSE(O140,$C140,$D140)*P140)</f>
        <v>7.8000000000000007</v>
      </c>
      <c r="R140" s="797">
        <v>1.4</v>
      </c>
      <c r="S140" s="569">
        <f>R140*$C$4</f>
        <v>17.919999999999998</v>
      </c>
      <c r="T140" s="450"/>
      <c r="U140" s="418"/>
      <c r="V140" s="425"/>
      <c r="W140" s="77"/>
      <c r="X140" s="425"/>
      <c r="Y140" s="450"/>
      <c r="Z140" s="418"/>
      <c r="AA140" s="425"/>
      <c r="AB140" s="77"/>
      <c r="AC140" s="451"/>
    </row>
    <row r="141" spans="2:29" x14ac:dyDescent="0.3">
      <c r="B141" s="422" t="s">
        <v>205</v>
      </c>
      <c r="C141" s="459"/>
      <c r="D141" s="459"/>
      <c r="E141" s="460"/>
      <c r="F141" s="420" t="s">
        <v>12</v>
      </c>
      <c r="G141" s="461"/>
      <c r="H141" s="420"/>
      <c r="I141" s="420"/>
      <c r="J141" s="463"/>
      <c r="K141" s="420"/>
      <c r="L141" s="461"/>
      <c r="M141" s="420"/>
      <c r="N141" s="420"/>
      <c r="O141" s="463"/>
      <c r="P141" s="420"/>
      <c r="Q141" s="812">
        <f>SUM(Q137:Q140)</f>
        <v>7.8000000000000007</v>
      </c>
      <c r="R141" s="471">
        <f>SUM(R137:R140)</f>
        <v>1.4</v>
      </c>
      <c r="S141" s="825">
        <f>SUM(S137:S140)</f>
        <v>17.919999999999998</v>
      </c>
      <c r="T141" s="463"/>
      <c r="U141" s="420"/>
      <c r="V141" s="461"/>
      <c r="W141" s="420"/>
      <c r="X141" s="420"/>
      <c r="Y141" s="463"/>
      <c r="Z141" s="420"/>
      <c r="AA141" s="461"/>
      <c r="AB141" s="420"/>
      <c r="AC141" s="461"/>
    </row>
    <row r="142" spans="2:29" s="39" customFormat="1" x14ac:dyDescent="0.3">
      <c r="B142" s="178"/>
      <c r="C142" s="459"/>
      <c r="D142" s="459"/>
      <c r="E142" s="459"/>
      <c r="F142" s="420"/>
      <c r="G142" s="420"/>
      <c r="H142" s="420"/>
      <c r="I142" s="420"/>
      <c r="J142" s="420"/>
      <c r="K142" s="420"/>
      <c r="L142" s="420"/>
      <c r="M142" s="420"/>
      <c r="N142" s="420"/>
      <c r="O142" s="420"/>
      <c r="P142" s="420"/>
      <c r="Q142" s="420"/>
      <c r="R142" s="420"/>
      <c r="S142" s="420"/>
      <c r="T142" s="420"/>
      <c r="U142" s="420"/>
      <c r="V142" s="420"/>
      <c r="W142" s="420"/>
      <c r="X142" s="420"/>
      <c r="Y142" s="420"/>
      <c r="Z142" s="420"/>
      <c r="AA142" s="420"/>
      <c r="AB142" s="420"/>
      <c r="AC142" s="461"/>
    </row>
    <row r="143" spans="2:29" x14ac:dyDescent="0.3">
      <c r="B143" s="178"/>
      <c r="C143" s="459"/>
      <c r="D143" s="459"/>
      <c r="E143" s="459"/>
      <c r="F143" s="420"/>
      <c r="G143" s="420"/>
      <c r="H143" s="420"/>
      <c r="I143" s="420"/>
      <c r="J143" s="420"/>
      <c r="K143" s="420"/>
      <c r="L143" s="420"/>
      <c r="M143" s="420"/>
      <c r="N143" s="420"/>
      <c r="O143" s="420"/>
      <c r="P143" s="420"/>
      <c r="Q143" s="420"/>
      <c r="R143" s="420"/>
      <c r="S143" s="420"/>
      <c r="T143" s="420"/>
      <c r="U143" s="420"/>
      <c r="V143" s="420"/>
      <c r="W143" s="420"/>
      <c r="X143" s="420"/>
      <c r="Y143" s="420"/>
      <c r="Z143" s="420"/>
      <c r="AA143" s="420"/>
      <c r="AB143" s="420"/>
      <c r="AC143" s="461"/>
    </row>
    <row r="144" spans="2:29" x14ac:dyDescent="0.3">
      <c r="B144" s="422" t="s">
        <v>188</v>
      </c>
      <c r="C144" s="459"/>
      <c r="D144" s="459"/>
      <c r="E144" s="459"/>
      <c r="F144" s="421"/>
      <c r="G144" s="421"/>
      <c r="H144" s="421"/>
      <c r="I144" s="421"/>
      <c r="J144" s="421"/>
      <c r="K144" s="421"/>
      <c r="L144" s="421"/>
      <c r="M144" s="421"/>
      <c r="N144" s="421"/>
      <c r="O144" s="421"/>
      <c r="P144" s="421"/>
      <c r="Q144" s="421"/>
      <c r="R144" s="421"/>
      <c r="S144" s="421"/>
      <c r="T144" s="421"/>
      <c r="U144" s="421"/>
      <c r="V144" s="421"/>
      <c r="W144" s="421"/>
      <c r="X144" s="421"/>
      <c r="Y144" s="421"/>
      <c r="Z144" s="421"/>
      <c r="AA144" s="421"/>
      <c r="AB144" s="421"/>
      <c r="AC144" s="423"/>
    </row>
    <row r="145" spans="2:29" x14ac:dyDescent="0.3">
      <c r="B145" s="16" t="s">
        <v>190</v>
      </c>
      <c r="C145" s="448">
        <f>39.7*'Arable Inputs'!$D$8</f>
        <v>39.700000000000003</v>
      </c>
      <c r="D145" s="449">
        <f>44.51*'Arable Inputs'!$D$8</f>
        <v>44.51</v>
      </c>
      <c r="E145" s="474"/>
      <c r="F145" s="466"/>
      <c r="G145" s="467"/>
      <c r="H145" s="425"/>
      <c r="I145" s="425"/>
      <c r="J145" s="450"/>
      <c r="K145" s="466"/>
      <c r="L145" s="467"/>
      <c r="M145" s="425"/>
      <c r="N145" s="425"/>
      <c r="O145" s="450"/>
      <c r="P145" s="466"/>
      <c r="Q145" s="467"/>
      <c r="R145" s="425"/>
      <c r="S145" s="425"/>
      <c r="T145" s="450"/>
      <c r="U145" s="466"/>
      <c r="V145" s="467"/>
      <c r="W145" s="425"/>
      <c r="X145" s="425"/>
      <c r="Y145" s="450"/>
      <c r="Z145" s="466"/>
      <c r="AA145" s="467"/>
      <c r="AB145" s="452"/>
      <c r="AC145" s="451"/>
    </row>
    <row r="146" spans="2:29" x14ac:dyDescent="0.3">
      <c r="B146" s="16" t="s">
        <v>191</v>
      </c>
      <c r="C146" s="448">
        <f>49.56*'Arable Inputs'!$D$8</f>
        <v>49.56</v>
      </c>
      <c r="D146" s="449">
        <f>53.59*'Arable Inputs'!$D$8</f>
        <v>53.59</v>
      </c>
      <c r="E146" s="474"/>
      <c r="F146" s="425"/>
      <c r="G146" s="451"/>
      <c r="H146" s="425"/>
      <c r="I146" s="425"/>
      <c r="J146" s="450"/>
      <c r="K146" s="425"/>
      <c r="L146" s="451"/>
      <c r="M146" s="425"/>
      <c r="N146" s="425"/>
      <c r="O146" s="450"/>
      <c r="P146" s="425"/>
      <c r="Q146" s="451"/>
      <c r="R146" s="425"/>
      <c r="S146" s="425"/>
      <c r="T146" s="450"/>
      <c r="U146" s="425"/>
      <c r="V146" s="451"/>
      <c r="W146" s="425"/>
      <c r="X146" s="425"/>
      <c r="Y146" s="450"/>
      <c r="Z146" s="425"/>
      <c r="AA146" s="451"/>
      <c r="AB146" s="452"/>
      <c r="AC146" s="451"/>
    </row>
    <row r="147" spans="2:29" x14ac:dyDescent="0.3">
      <c r="B147" s="16" t="s">
        <v>192</v>
      </c>
      <c r="C147" s="448">
        <f>16.25*'Arable Inputs'!$D$8</f>
        <v>16.25</v>
      </c>
      <c r="D147" s="449" t="s">
        <v>118</v>
      </c>
      <c r="E147" s="474"/>
      <c r="F147" s="425"/>
      <c r="G147" s="451"/>
      <c r="H147" s="425"/>
      <c r="I147" s="425"/>
      <c r="J147" s="450"/>
      <c r="K147" s="425"/>
      <c r="L147" s="451"/>
      <c r="M147" s="425"/>
      <c r="N147" s="425"/>
      <c r="O147" s="450"/>
      <c r="P147" s="425"/>
      <c r="Q147" s="451"/>
      <c r="R147" s="425"/>
      <c r="S147" s="425"/>
      <c r="T147" s="450"/>
      <c r="U147" s="425"/>
      <c r="V147" s="451"/>
      <c r="W147" s="425"/>
      <c r="X147" s="425"/>
      <c r="Y147" s="450"/>
      <c r="Z147" s="425"/>
      <c r="AA147" s="451"/>
      <c r="AB147" s="452"/>
      <c r="AC147" s="451"/>
    </row>
    <row r="148" spans="2:29" x14ac:dyDescent="0.3">
      <c r="B148" s="16" t="s">
        <v>193</v>
      </c>
      <c r="C148" s="448">
        <f>7.18*'Arable Inputs'!$D$8</f>
        <v>7.18</v>
      </c>
      <c r="D148" s="449" t="s">
        <v>118</v>
      </c>
      <c r="E148" s="474"/>
      <c r="F148" s="425"/>
      <c r="G148" s="451"/>
      <c r="H148" s="425"/>
      <c r="I148" s="425"/>
      <c r="J148" s="450"/>
      <c r="K148" s="425"/>
      <c r="L148" s="451"/>
      <c r="M148" s="425"/>
      <c r="N148" s="425"/>
      <c r="O148" s="450"/>
      <c r="P148" s="425"/>
      <c r="Q148" s="451"/>
      <c r="R148" s="425"/>
      <c r="S148" s="425"/>
      <c r="T148" s="450"/>
      <c r="U148" s="425"/>
      <c r="V148" s="451"/>
      <c r="W148" s="425"/>
      <c r="X148" s="425"/>
      <c r="Y148" s="450"/>
      <c r="Z148" s="425"/>
      <c r="AA148" s="451"/>
      <c r="AB148" s="452"/>
      <c r="AC148" s="451"/>
    </row>
    <row r="149" spans="2:29" x14ac:dyDescent="0.3">
      <c r="B149" s="16" t="s">
        <v>194</v>
      </c>
      <c r="C149" s="448">
        <f>8.74*'Arable Inputs'!$D$8</f>
        <v>8.74</v>
      </c>
      <c r="D149" s="449" t="s">
        <v>118</v>
      </c>
      <c r="E149" s="474"/>
      <c r="F149" s="425"/>
      <c r="G149" s="451"/>
      <c r="H149" s="425"/>
      <c r="I149" s="425"/>
      <c r="J149" s="450"/>
      <c r="K149" s="425"/>
      <c r="L149" s="451"/>
      <c r="M149" s="425"/>
      <c r="N149" s="425"/>
      <c r="O149" s="450"/>
      <c r="P149" s="425"/>
      <c r="Q149" s="451"/>
      <c r="R149" s="425"/>
      <c r="S149" s="425"/>
      <c r="T149" s="450"/>
      <c r="U149" s="425"/>
      <c r="V149" s="451"/>
      <c r="W149" s="425"/>
      <c r="X149" s="425"/>
      <c r="Y149" s="450"/>
      <c r="Z149" s="425"/>
      <c r="AA149" s="451"/>
      <c r="AB149" s="452"/>
      <c r="AC149" s="451"/>
    </row>
    <row r="150" spans="2:29" x14ac:dyDescent="0.3">
      <c r="B150" s="16" t="s">
        <v>195</v>
      </c>
      <c r="C150" s="448">
        <f>16.25*'Arable Inputs'!$D$8</f>
        <v>16.25</v>
      </c>
      <c r="D150" s="449" t="s">
        <v>118</v>
      </c>
      <c r="E150" s="474"/>
      <c r="F150" s="425"/>
      <c r="G150" s="451"/>
      <c r="H150" s="425"/>
      <c r="I150" s="425"/>
      <c r="J150" s="450"/>
      <c r="K150" s="425"/>
      <c r="L150" s="451"/>
      <c r="M150" s="425"/>
      <c r="N150" s="425"/>
      <c r="O150" s="450"/>
      <c r="P150" s="425"/>
      <c r="Q150" s="451"/>
      <c r="R150" s="425"/>
      <c r="S150" s="425"/>
      <c r="T150" s="450"/>
      <c r="U150" s="425"/>
      <c r="V150" s="451"/>
      <c r="W150" s="425"/>
      <c r="X150" s="425"/>
      <c r="Y150" s="450"/>
      <c r="Z150" s="425"/>
      <c r="AA150" s="451"/>
      <c r="AB150" s="452"/>
      <c r="AC150" s="451"/>
    </row>
    <row r="151" spans="2:29" x14ac:dyDescent="0.3">
      <c r="B151" s="16" t="s">
        <v>189</v>
      </c>
      <c r="C151" s="448" t="s">
        <v>118</v>
      </c>
      <c r="D151" s="449">
        <f>16.1*'Arable Inputs'!$D$8</f>
        <v>16.100000000000001</v>
      </c>
      <c r="E151" s="474"/>
      <c r="F151" s="425"/>
      <c r="G151" s="451"/>
      <c r="H151" s="425"/>
      <c r="I151" s="425"/>
      <c r="J151" s="450"/>
      <c r="K151" s="425"/>
      <c r="L151" s="451"/>
      <c r="M151" s="425"/>
      <c r="N151" s="425"/>
      <c r="O151" s="450"/>
      <c r="P151" s="425"/>
      <c r="Q151" s="451"/>
      <c r="R151" s="425"/>
      <c r="S151" s="425"/>
      <c r="T151" s="450"/>
      <c r="U151" s="425"/>
      <c r="V151" s="451"/>
      <c r="W151" s="425"/>
      <c r="X151" s="425"/>
      <c r="Y151" s="450"/>
      <c r="Z151" s="425"/>
      <c r="AA151" s="451"/>
      <c r="AB151" s="452"/>
      <c r="AC151" s="451"/>
    </row>
    <row r="152" spans="2:29" x14ac:dyDescent="0.3">
      <c r="B152" s="16" t="s">
        <v>196</v>
      </c>
      <c r="C152" s="448">
        <f>40.25*'Arable Inputs'!$D$8</f>
        <v>40.25</v>
      </c>
      <c r="D152" s="449" t="s">
        <v>118</v>
      </c>
      <c r="E152" s="474"/>
      <c r="F152" s="425"/>
      <c r="G152" s="451"/>
      <c r="H152" s="425"/>
      <c r="I152" s="425"/>
      <c r="J152" s="450"/>
      <c r="K152" s="425"/>
      <c r="L152" s="451"/>
      <c r="M152" s="425"/>
      <c r="N152" s="425"/>
      <c r="O152" s="450"/>
      <c r="P152" s="425"/>
      <c r="Q152" s="451"/>
      <c r="R152" s="425"/>
      <c r="S152" s="425"/>
      <c r="T152" s="450"/>
      <c r="U152" s="425"/>
      <c r="V152" s="451"/>
      <c r="W152" s="425"/>
      <c r="X152" s="425"/>
      <c r="Y152" s="450"/>
      <c r="Z152" s="425"/>
      <c r="AA152" s="451"/>
      <c r="AB152" s="452"/>
      <c r="AC152" s="451"/>
    </row>
    <row r="153" spans="2:29" x14ac:dyDescent="0.3">
      <c r="B153" s="16" t="s">
        <v>197</v>
      </c>
      <c r="C153" s="448">
        <f>36.74*'Arable Inputs'!$D$8</f>
        <v>36.74</v>
      </c>
      <c r="D153" s="449" t="s">
        <v>118</v>
      </c>
      <c r="E153" s="474"/>
      <c r="F153" s="425"/>
      <c r="G153" s="451"/>
      <c r="H153" s="425"/>
      <c r="I153" s="425"/>
      <c r="J153" s="450"/>
      <c r="K153" s="425"/>
      <c r="L153" s="451"/>
      <c r="M153" s="425"/>
      <c r="N153" s="425"/>
      <c r="O153" s="450"/>
      <c r="P153" s="425"/>
      <c r="Q153" s="451"/>
      <c r="R153" s="425"/>
      <c r="S153" s="425"/>
      <c r="T153" s="450"/>
      <c r="U153" s="425"/>
      <c r="V153" s="451"/>
      <c r="W153" s="425"/>
      <c r="X153" s="425"/>
      <c r="Y153" s="450"/>
      <c r="Z153" s="425"/>
      <c r="AA153" s="451"/>
      <c r="AB153" s="452"/>
      <c r="AC153" s="451"/>
    </row>
    <row r="154" spans="2:29" x14ac:dyDescent="0.3">
      <c r="B154" s="16" t="s">
        <v>198</v>
      </c>
      <c r="C154" s="448">
        <f>42.05*'Arable Inputs'!$D$8</f>
        <v>42.05</v>
      </c>
      <c r="D154" s="449">
        <f>35.63*'Arable Inputs'!$D$8</f>
        <v>35.630000000000003</v>
      </c>
      <c r="E154" s="474"/>
      <c r="F154" s="425"/>
      <c r="G154" s="451"/>
      <c r="H154" s="425"/>
      <c r="I154" s="425"/>
      <c r="J154" s="450"/>
      <c r="K154" s="425"/>
      <c r="L154" s="451"/>
      <c r="M154" s="425"/>
      <c r="N154" s="425"/>
      <c r="O154" s="450"/>
      <c r="P154" s="425"/>
      <c r="Q154" s="451"/>
      <c r="R154" s="425"/>
      <c r="S154" s="425"/>
      <c r="T154" s="450"/>
      <c r="U154" s="425"/>
      <c r="V154" s="451"/>
      <c r="W154" s="425"/>
      <c r="X154" s="425"/>
      <c r="Y154" s="450"/>
      <c r="Z154" s="425"/>
      <c r="AA154" s="451"/>
      <c r="AB154" s="452"/>
      <c r="AC154" s="451"/>
    </row>
    <row r="155" spans="2:29" x14ac:dyDescent="0.3">
      <c r="B155" s="16" t="s">
        <v>199</v>
      </c>
      <c r="C155" s="448">
        <f>37.29*'Arable Inputs'!$D$8</f>
        <v>37.29</v>
      </c>
      <c r="D155" s="449" t="s">
        <v>118</v>
      </c>
      <c r="E155" s="474"/>
      <c r="F155" s="425"/>
      <c r="G155" s="451"/>
      <c r="H155" s="425"/>
      <c r="I155" s="425"/>
      <c r="J155" s="450"/>
      <c r="K155" s="425"/>
      <c r="L155" s="451"/>
      <c r="M155" s="425"/>
      <c r="N155" s="425"/>
      <c r="O155" s="450"/>
      <c r="P155" s="425"/>
      <c r="Q155" s="451"/>
      <c r="R155" s="425"/>
      <c r="S155" s="425"/>
      <c r="T155" s="450"/>
      <c r="U155" s="425"/>
      <c r="V155" s="451"/>
      <c r="W155" s="425"/>
      <c r="X155" s="425"/>
      <c r="Y155" s="450"/>
      <c r="Z155" s="425"/>
      <c r="AA155" s="451"/>
      <c r="AB155" s="452"/>
      <c r="AC155" s="451"/>
    </row>
    <row r="156" spans="2:29" x14ac:dyDescent="0.3">
      <c r="B156" s="16" t="s">
        <v>200</v>
      </c>
      <c r="C156" s="448">
        <f>39.1*'Arable Inputs'!$D$8</f>
        <v>39.1</v>
      </c>
      <c r="D156" s="449" t="s">
        <v>118</v>
      </c>
      <c r="E156" s="474"/>
      <c r="F156" s="425"/>
      <c r="G156" s="451"/>
      <c r="H156" s="425"/>
      <c r="I156" s="425"/>
      <c r="J156" s="450"/>
      <c r="K156" s="425"/>
      <c r="L156" s="451"/>
      <c r="M156" s="425"/>
      <c r="N156" s="425"/>
      <c r="O156" s="450"/>
      <c r="P156" s="425"/>
      <c r="Q156" s="451"/>
      <c r="R156" s="425"/>
      <c r="S156" s="425"/>
      <c r="T156" s="450"/>
      <c r="U156" s="425"/>
      <c r="V156" s="451"/>
      <c r="W156" s="425"/>
      <c r="X156" s="425"/>
      <c r="Y156" s="450"/>
      <c r="Z156" s="425"/>
      <c r="AA156" s="451"/>
      <c r="AB156" s="452"/>
      <c r="AC156" s="451"/>
    </row>
    <row r="157" spans="2:29" x14ac:dyDescent="0.3">
      <c r="B157" s="16" t="s">
        <v>201</v>
      </c>
      <c r="C157" s="448">
        <f>44.63*'Arable Inputs'!$D$8</f>
        <v>44.63</v>
      </c>
      <c r="D157" s="449" t="s">
        <v>118</v>
      </c>
      <c r="E157" s="474"/>
      <c r="F157" s="425"/>
      <c r="G157" s="451"/>
      <c r="H157" s="425"/>
      <c r="I157" s="425"/>
      <c r="J157" s="450"/>
      <c r="K157" s="425"/>
      <c r="L157" s="451"/>
      <c r="M157" s="425"/>
      <c r="N157" s="425"/>
      <c r="O157" s="450"/>
      <c r="P157" s="425"/>
      <c r="Q157" s="451"/>
      <c r="R157" s="425"/>
      <c r="S157" s="425"/>
      <c r="T157" s="450"/>
      <c r="U157" s="425"/>
      <c r="V157" s="451"/>
      <c r="W157" s="425"/>
      <c r="X157" s="425"/>
      <c r="Y157" s="450"/>
      <c r="Z157" s="425"/>
      <c r="AA157" s="451"/>
      <c r="AB157" s="452"/>
      <c r="AC157" s="451"/>
    </row>
    <row r="158" spans="2:29" x14ac:dyDescent="0.3">
      <c r="B158" s="16" t="s">
        <v>202</v>
      </c>
      <c r="C158" s="448">
        <f>69*'Arable Inputs'!$D$8</f>
        <v>69</v>
      </c>
      <c r="D158" s="449" t="s">
        <v>118</v>
      </c>
      <c r="E158" s="474"/>
      <c r="F158" s="425"/>
      <c r="G158" s="451"/>
      <c r="H158" s="425"/>
      <c r="I158" s="425"/>
      <c r="J158" s="450"/>
      <c r="K158" s="425"/>
      <c r="L158" s="451"/>
      <c r="M158" s="425"/>
      <c r="N158" s="425"/>
      <c r="O158" s="450"/>
      <c r="P158" s="425"/>
      <c r="Q158" s="451"/>
      <c r="R158" s="425"/>
      <c r="S158" s="425"/>
      <c r="T158" s="450"/>
      <c r="U158" s="425"/>
      <c r="V158" s="451"/>
      <c r="W158" s="425"/>
      <c r="X158" s="425"/>
      <c r="Y158" s="450"/>
      <c r="Z158" s="425"/>
      <c r="AA158" s="451"/>
      <c r="AB158" s="452"/>
      <c r="AC158" s="451"/>
    </row>
    <row r="159" spans="2:29" x14ac:dyDescent="0.3">
      <c r="B159" s="16" t="s">
        <v>203</v>
      </c>
      <c r="C159" s="448">
        <f>38.54*'Arable Inputs'!$D$8</f>
        <v>38.54</v>
      </c>
      <c r="D159" s="449">
        <f>37.13*'Arable Inputs'!$D$8</f>
        <v>37.130000000000003</v>
      </c>
      <c r="E159" s="474"/>
      <c r="F159" s="418"/>
      <c r="G159" s="451"/>
      <c r="H159" s="418"/>
      <c r="I159" s="425"/>
      <c r="J159" s="450"/>
      <c r="K159" s="418"/>
      <c r="L159" s="451"/>
      <c r="M159" s="418"/>
      <c r="N159" s="425"/>
      <c r="O159" s="450"/>
      <c r="P159" s="418"/>
      <c r="Q159" s="451"/>
      <c r="R159" s="418"/>
      <c r="S159" s="425"/>
      <c r="T159" s="450"/>
      <c r="U159" s="418"/>
      <c r="V159" s="451"/>
      <c r="W159" s="418"/>
      <c r="X159" s="425"/>
      <c r="Y159" s="450"/>
      <c r="Z159" s="418"/>
      <c r="AA159" s="451"/>
      <c r="AB159" s="418"/>
      <c r="AC159" s="451"/>
    </row>
    <row r="160" spans="2:29" x14ac:dyDescent="0.3">
      <c r="B160" s="422" t="s">
        <v>204</v>
      </c>
      <c r="C160" s="459"/>
      <c r="D160" s="459"/>
      <c r="E160" s="460"/>
      <c r="F160" s="420" t="s">
        <v>12</v>
      </c>
      <c r="G160" s="461"/>
      <c r="H160" s="420"/>
      <c r="I160" s="420"/>
      <c r="J160" s="463"/>
      <c r="K160" s="420"/>
      <c r="L160" s="461"/>
      <c r="M160" s="420"/>
      <c r="N160" s="420"/>
      <c r="O160" s="463"/>
      <c r="P160" s="420"/>
      <c r="Q160" s="461"/>
      <c r="R160" s="420"/>
      <c r="S160" s="420"/>
      <c r="T160" s="463"/>
      <c r="U160" s="420"/>
      <c r="V160" s="461"/>
      <c r="W160" s="420"/>
      <c r="X160" s="420"/>
      <c r="Y160" s="463"/>
      <c r="Z160" s="420"/>
      <c r="AA160" s="461"/>
      <c r="AB160" s="420"/>
      <c r="AC160" s="461"/>
    </row>
    <row r="161" spans="2:29" x14ac:dyDescent="0.3">
      <c r="B161" s="364"/>
      <c r="C161" s="364"/>
      <c r="D161" s="364"/>
      <c r="E161" s="364"/>
      <c r="F161" s="364"/>
      <c r="G161" s="364"/>
      <c r="H161" s="364"/>
      <c r="I161" s="364"/>
      <c r="J161" s="364"/>
      <c r="K161" s="364"/>
      <c r="L161" s="364"/>
      <c r="M161" s="364"/>
      <c r="N161" s="364"/>
      <c r="O161" s="364"/>
      <c r="P161" s="364"/>
      <c r="Q161" s="364"/>
      <c r="R161" s="364"/>
      <c r="S161" s="364"/>
      <c r="T161" s="364"/>
      <c r="U161" s="364"/>
      <c r="V161" s="364"/>
      <c r="W161" s="364"/>
      <c r="X161" s="364"/>
      <c r="Y161" s="364"/>
      <c r="Z161" s="364"/>
      <c r="AA161" s="364"/>
      <c r="AB161" s="364"/>
      <c r="AC161" s="364"/>
    </row>
    <row r="162" spans="2:29" x14ac:dyDescent="0.3">
      <c r="B162" s="364"/>
      <c r="C162" s="364"/>
      <c r="D162" s="364"/>
      <c r="E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  <c r="U162" s="364"/>
      <c r="V162" s="364"/>
      <c r="W162" s="364"/>
      <c r="X162" s="364"/>
      <c r="Y162" s="364"/>
      <c r="Z162" s="364"/>
      <c r="AA162" s="364"/>
      <c r="AB162" s="364"/>
      <c r="AC162" s="364"/>
    </row>
    <row r="163" spans="2:29" x14ac:dyDescent="0.3">
      <c r="B163" s="364"/>
      <c r="C163" s="364"/>
      <c r="D163" s="364"/>
      <c r="E163" s="364"/>
      <c r="F163" s="364"/>
      <c r="G163" s="364"/>
      <c r="H163" s="364"/>
      <c r="I163" s="484"/>
      <c r="J163" s="484"/>
      <c r="K163" s="364"/>
      <c r="L163" s="364"/>
      <c r="M163" s="364"/>
      <c r="N163" s="364"/>
      <c r="O163" s="364"/>
      <c r="P163" s="364"/>
      <c r="Q163" s="364"/>
      <c r="R163" s="364"/>
      <c r="S163" s="364"/>
      <c r="T163" s="364"/>
      <c r="U163" s="364"/>
      <c r="V163" s="364"/>
      <c r="W163" s="364"/>
      <c r="X163" s="364"/>
      <c r="Y163" s="364"/>
      <c r="Z163" s="364"/>
      <c r="AA163" s="364"/>
      <c r="AB163" s="364"/>
      <c r="AC163" s="364"/>
    </row>
    <row r="164" spans="2:29" x14ac:dyDescent="0.3">
      <c r="B164" s="364"/>
      <c r="C164" s="364"/>
      <c r="D164" s="364"/>
      <c r="E164" s="364"/>
      <c r="F164" s="364"/>
      <c r="G164" s="364"/>
      <c r="H164" s="364"/>
      <c r="I164" s="364"/>
      <c r="J164" s="364"/>
      <c r="K164" s="364"/>
      <c r="L164" s="364"/>
      <c r="M164" s="364"/>
      <c r="N164" s="364"/>
      <c r="O164" s="364"/>
      <c r="P164" s="364"/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  <c r="AA164" s="364"/>
      <c r="AB164" s="364"/>
      <c r="AC164" s="364"/>
    </row>
    <row r="165" spans="2:29" x14ac:dyDescent="0.3">
      <c r="B165" s="364"/>
      <c r="C165" s="364"/>
      <c r="D165" s="364"/>
      <c r="E165" s="364"/>
      <c r="F165" s="364"/>
      <c r="G165" s="364"/>
      <c r="H165" s="364"/>
      <c r="I165" s="364"/>
      <c r="J165" s="364"/>
      <c r="K165" s="364"/>
      <c r="L165" s="364"/>
      <c r="M165" s="364"/>
      <c r="N165" s="364"/>
      <c r="O165" s="364"/>
      <c r="P165" s="364"/>
      <c r="Q165" s="364"/>
      <c r="R165" s="364"/>
      <c r="S165" s="364"/>
      <c r="T165" s="364"/>
      <c r="U165" s="364"/>
      <c r="V165" s="364"/>
      <c r="W165" s="364"/>
      <c r="X165" s="364"/>
      <c r="Y165" s="364"/>
      <c r="Z165" s="364"/>
      <c r="AA165" s="364"/>
      <c r="AB165" s="364"/>
      <c r="AC165" s="364"/>
    </row>
    <row r="166" spans="2:29" x14ac:dyDescent="0.3">
      <c r="B166" s="364"/>
      <c r="C166" s="364"/>
      <c r="D166" s="364"/>
      <c r="E166" s="364"/>
      <c r="F166" s="364"/>
      <c r="G166" s="364"/>
      <c r="H166" s="364"/>
      <c r="I166" s="364"/>
      <c r="J166" s="364"/>
      <c r="K166" s="364"/>
      <c r="L166" s="364"/>
      <c r="M166" s="364"/>
      <c r="N166" s="364"/>
      <c r="O166" s="364"/>
      <c r="P166" s="364"/>
      <c r="Q166" s="364"/>
      <c r="R166" s="364"/>
      <c r="S166" s="364"/>
      <c r="T166" s="364"/>
      <c r="U166" s="364"/>
      <c r="V166" s="364"/>
      <c r="W166" s="364"/>
      <c r="X166" s="364"/>
      <c r="Y166" s="364"/>
      <c r="Z166" s="364"/>
      <c r="AA166" s="364"/>
      <c r="AB166" s="364"/>
      <c r="AC166" s="364"/>
    </row>
    <row r="167" spans="2:29" x14ac:dyDescent="0.3">
      <c r="B167" s="364"/>
      <c r="C167" s="364"/>
      <c r="D167" s="364"/>
      <c r="E167" s="364"/>
      <c r="F167" s="364"/>
      <c r="G167" s="364"/>
      <c r="H167" s="364"/>
      <c r="I167" s="364"/>
      <c r="J167" s="364"/>
      <c r="K167" s="364"/>
      <c r="L167" s="364"/>
      <c r="M167" s="364"/>
      <c r="N167" s="364"/>
      <c r="O167" s="364"/>
      <c r="P167" s="364"/>
      <c r="Q167" s="364"/>
      <c r="R167" s="364"/>
      <c r="S167" s="364"/>
      <c r="T167" s="364"/>
      <c r="U167" s="364"/>
      <c r="V167" s="364"/>
      <c r="W167" s="364"/>
      <c r="X167" s="364"/>
      <c r="Y167" s="364"/>
      <c r="Z167" s="364"/>
      <c r="AA167" s="364"/>
      <c r="AB167" s="364"/>
      <c r="AC167" s="364"/>
    </row>
    <row r="168" spans="2:29" x14ac:dyDescent="0.3">
      <c r="B168" s="502" t="s">
        <v>30</v>
      </c>
      <c r="C168" s="364"/>
      <c r="D168" s="364"/>
      <c r="E168" s="364"/>
      <c r="F168" s="364"/>
      <c r="G168" s="364"/>
      <c r="H168" s="364"/>
      <c r="I168" s="364"/>
      <c r="J168" s="364"/>
      <c r="K168" s="364"/>
      <c r="L168" s="364"/>
      <c r="M168" s="364"/>
      <c r="N168" s="364"/>
      <c r="O168" s="364"/>
      <c r="P168" s="364"/>
      <c r="Q168" s="364"/>
      <c r="R168" s="364"/>
      <c r="S168" s="364"/>
      <c r="T168" s="364"/>
      <c r="U168" s="364"/>
      <c r="V168" s="364"/>
      <c r="W168" s="364"/>
      <c r="X168" s="364"/>
      <c r="Y168" s="364"/>
      <c r="Z168" s="364"/>
      <c r="AA168" s="364"/>
      <c r="AB168" s="364"/>
      <c r="AC168" s="364"/>
    </row>
    <row r="169" spans="2:29" x14ac:dyDescent="0.3">
      <c r="B169" s="74"/>
      <c r="C169" s="19"/>
      <c r="D169" s="20"/>
      <c r="E169" s="20"/>
      <c r="F169" s="503"/>
      <c r="G169" s="503"/>
      <c r="H169" s="503"/>
      <c r="I169" s="503"/>
      <c r="J169" s="503"/>
      <c r="K169" s="503"/>
      <c r="L169" s="364"/>
      <c r="M169" s="364"/>
      <c r="N169" s="364"/>
      <c r="O169" s="364"/>
      <c r="P169" s="364"/>
      <c r="Q169" s="364"/>
      <c r="R169" s="364"/>
      <c r="S169" s="364"/>
      <c r="T169" s="364"/>
      <c r="U169" s="364"/>
      <c r="V169" s="364"/>
      <c r="W169" s="364"/>
      <c r="X169" s="364"/>
      <c r="Y169" s="364"/>
      <c r="Z169" s="364"/>
      <c r="AA169" s="364"/>
      <c r="AB169" s="364"/>
      <c r="AC169" s="364"/>
    </row>
    <row r="170" spans="2:29" x14ac:dyDescent="0.3">
      <c r="B170" s="417"/>
      <c r="C170" s="416"/>
      <c r="D170" s="416"/>
      <c r="E170" s="416"/>
      <c r="F170" s="504" t="s">
        <v>4</v>
      </c>
      <c r="G170" s="504" t="s">
        <v>5</v>
      </c>
      <c r="H170" s="504" t="s">
        <v>6</v>
      </c>
      <c r="I170" s="504" t="s">
        <v>7</v>
      </c>
      <c r="J170" s="505"/>
      <c r="K170" s="505" t="s">
        <v>260</v>
      </c>
      <c r="L170" s="364"/>
      <c r="M170" s="364"/>
      <c r="N170" s="364"/>
      <c r="O170" s="364"/>
      <c r="P170" s="364"/>
      <c r="Q170" s="364"/>
      <c r="R170" s="364"/>
      <c r="S170" s="364"/>
      <c r="T170" s="364"/>
      <c r="U170" s="364"/>
      <c r="V170" s="364"/>
      <c r="W170" s="364"/>
      <c r="X170" s="364"/>
      <c r="Y170" s="364"/>
      <c r="Z170" s="364"/>
      <c r="AA170" s="364"/>
      <c r="AB170" s="364"/>
      <c r="AC170" s="364"/>
    </row>
    <row r="171" spans="2:29" x14ac:dyDescent="0.3">
      <c r="B171" s="76" t="s">
        <v>22</v>
      </c>
      <c r="C171" s="81" t="s">
        <v>32</v>
      </c>
      <c r="D171" s="83" t="s">
        <v>460</v>
      </c>
      <c r="E171" s="79"/>
      <c r="F171" s="792">
        <f>G35</f>
        <v>118.83999999999999</v>
      </c>
      <c r="G171" s="792">
        <f>L35</f>
        <v>118.83999999999999</v>
      </c>
      <c r="H171" s="792">
        <f>Q35</f>
        <v>46.21</v>
      </c>
      <c r="I171" s="792">
        <f>V35</f>
        <v>111.53999999999999</v>
      </c>
      <c r="J171" s="792"/>
      <c r="K171" s="792">
        <f>AA35</f>
        <v>118.83999999999999</v>
      </c>
      <c r="L171" s="364"/>
      <c r="M171" s="364"/>
      <c r="N171" s="364"/>
      <c r="O171" s="364"/>
      <c r="P171" s="364"/>
      <c r="Q171" s="364"/>
      <c r="R171" s="364"/>
      <c r="S171" s="364"/>
      <c r="T171" s="364"/>
      <c r="U171" s="364"/>
      <c r="V171" s="364"/>
      <c r="W171" s="364"/>
      <c r="X171" s="364"/>
      <c r="Y171" s="364"/>
      <c r="Z171" s="364"/>
      <c r="AA171" s="364"/>
      <c r="AB171" s="364"/>
      <c r="AC171" s="364"/>
    </row>
    <row r="172" spans="2:29" x14ac:dyDescent="0.3">
      <c r="B172" s="9"/>
      <c r="C172" s="32" t="s">
        <v>147</v>
      </c>
      <c r="D172" s="79" t="s">
        <v>460</v>
      </c>
      <c r="E172" s="79"/>
      <c r="F172" s="792">
        <f>G48</f>
        <v>64.28</v>
      </c>
      <c r="G172" s="792">
        <f>L48</f>
        <v>32.14</v>
      </c>
      <c r="H172" s="792">
        <f>Q48</f>
        <v>16.07</v>
      </c>
      <c r="I172" s="792">
        <f>V48</f>
        <v>16.07</v>
      </c>
      <c r="J172" s="792"/>
      <c r="K172" s="792">
        <f>AA48</f>
        <v>64.28</v>
      </c>
      <c r="L172" s="364"/>
      <c r="M172" s="364"/>
      <c r="N172" s="364"/>
      <c r="O172" s="364"/>
      <c r="P172" s="364"/>
      <c r="Q172" s="364"/>
      <c r="R172" s="364"/>
      <c r="S172" s="364"/>
      <c r="T172" s="364"/>
      <c r="U172" s="364"/>
      <c r="V172" s="364"/>
      <c r="W172" s="364"/>
      <c r="X172" s="364"/>
      <c r="Y172" s="364"/>
      <c r="Z172" s="364"/>
      <c r="AA172" s="364"/>
      <c r="AB172" s="364"/>
      <c r="AC172" s="364"/>
    </row>
    <row r="173" spans="2:29" x14ac:dyDescent="0.3">
      <c r="B173" s="9"/>
      <c r="C173" s="32" t="s">
        <v>132</v>
      </c>
      <c r="D173" s="79" t="s">
        <v>460</v>
      </c>
      <c r="E173" s="79"/>
      <c r="F173" s="506">
        <f>G53</f>
        <v>0</v>
      </c>
      <c r="G173" s="506">
        <f>L53</f>
        <v>0</v>
      </c>
      <c r="H173" s="506">
        <f>Q53</f>
        <v>0</v>
      </c>
      <c r="I173" s="506">
        <f>V53</f>
        <v>0</v>
      </c>
      <c r="J173" s="506"/>
      <c r="K173" s="506">
        <f>AA53</f>
        <v>0</v>
      </c>
      <c r="L173" s="364"/>
      <c r="M173" s="364"/>
      <c r="N173" s="364"/>
      <c r="O173" s="364"/>
      <c r="P173" s="364"/>
      <c r="Q173" s="364"/>
      <c r="R173" s="364"/>
      <c r="S173" s="364"/>
      <c r="T173" s="364"/>
      <c r="U173" s="364"/>
      <c r="V173" s="364"/>
      <c r="W173" s="364"/>
      <c r="X173" s="364"/>
      <c r="Y173" s="364"/>
      <c r="Z173" s="364"/>
      <c r="AA173" s="364"/>
      <c r="AB173" s="364"/>
      <c r="AC173" s="364"/>
    </row>
    <row r="174" spans="2:29" x14ac:dyDescent="0.3">
      <c r="B174" s="10"/>
      <c r="C174" s="32" t="s">
        <v>34</v>
      </c>
      <c r="D174" s="79" t="s">
        <v>460</v>
      </c>
      <c r="E174" s="79"/>
      <c r="F174" s="792">
        <f>G71</f>
        <v>27.04</v>
      </c>
      <c r="G174" s="792">
        <f>L71</f>
        <v>27.04</v>
      </c>
      <c r="H174" s="792">
        <f>Q71</f>
        <v>57.48</v>
      </c>
      <c r="I174" s="792">
        <f>V71</f>
        <v>57.16</v>
      </c>
      <c r="J174" s="792"/>
      <c r="K174" s="792">
        <f>AA71</f>
        <v>45</v>
      </c>
      <c r="L174" s="364"/>
      <c r="M174" s="364"/>
      <c r="N174" s="364"/>
      <c r="O174" s="364"/>
      <c r="P174" s="364"/>
      <c r="Q174" s="364"/>
      <c r="R174" s="364"/>
      <c r="S174" s="364"/>
      <c r="T174" s="364"/>
      <c r="U174" s="364"/>
      <c r="V174" s="364"/>
      <c r="W174" s="364"/>
      <c r="X174" s="364"/>
      <c r="Y174" s="364"/>
      <c r="Z174" s="364"/>
      <c r="AA174" s="364"/>
      <c r="AB174" s="364"/>
      <c r="AC174" s="364"/>
    </row>
    <row r="175" spans="2:29" x14ac:dyDescent="0.3">
      <c r="B175" s="10"/>
      <c r="C175" s="33" t="s">
        <v>35</v>
      </c>
      <c r="D175" s="79" t="s">
        <v>455</v>
      </c>
      <c r="E175" s="79"/>
      <c r="F175" s="792">
        <f>G81</f>
        <v>60.09</v>
      </c>
      <c r="G175" s="792">
        <f>L81</f>
        <v>39.93</v>
      </c>
      <c r="H175" s="792">
        <f>Q81</f>
        <v>20.16</v>
      </c>
      <c r="I175" s="792">
        <f>V81</f>
        <v>30.240000000000002</v>
      </c>
      <c r="J175" s="792"/>
      <c r="K175" s="792">
        <f>AA81</f>
        <v>30.240000000000002</v>
      </c>
      <c r="L175" s="364"/>
      <c r="M175" s="364"/>
      <c r="N175" s="364"/>
      <c r="O175" s="364"/>
      <c r="P175" s="364"/>
      <c r="Q175" s="364"/>
      <c r="R175" s="364"/>
      <c r="S175" s="364"/>
      <c r="T175" s="364"/>
      <c r="U175" s="364"/>
      <c r="V175" s="364"/>
      <c r="W175" s="364"/>
      <c r="X175" s="364"/>
      <c r="Y175" s="364"/>
      <c r="Z175" s="364"/>
      <c r="AA175" s="364"/>
      <c r="AB175" s="364"/>
      <c r="AC175" s="364"/>
    </row>
    <row r="176" spans="2:29" x14ac:dyDescent="0.3">
      <c r="B176" s="10"/>
      <c r="C176" s="33" t="s">
        <v>182</v>
      </c>
      <c r="D176" s="79" t="s">
        <v>460</v>
      </c>
      <c r="E176" s="79"/>
      <c r="F176" s="792">
        <f>G105</f>
        <v>232.62</v>
      </c>
      <c r="G176" s="792">
        <f>L105</f>
        <v>232.62</v>
      </c>
      <c r="H176" s="792">
        <f>Q105</f>
        <v>125.72999999999999</v>
      </c>
      <c r="I176" s="792">
        <f>V105</f>
        <v>277.86</v>
      </c>
      <c r="J176" s="792"/>
      <c r="K176" s="792">
        <f>AA105</f>
        <v>175</v>
      </c>
      <c r="L176" s="364"/>
      <c r="M176" s="364"/>
      <c r="N176" s="364"/>
      <c r="O176" s="364"/>
      <c r="P176" s="364"/>
      <c r="Q176" s="364"/>
      <c r="R176" s="364"/>
      <c r="S176" s="364"/>
      <c r="T176" s="364"/>
      <c r="U176" s="364"/>
      <c r="V176" s="364"/>
      <c r="W176" s="364"/>
      <c r="X176" s="364"/>
      <c r="Y176" s="364"/>
      <c r="Z176" s="364"/>
      <c r="AA176" s="364"/>
      <c r="AB176" s="364"/>
      <c r="AC176" s="364"/>
    </row>
    <row r="177" spans="2:29" ht="30" x14ac:dyDescent="0.3">
      <c r="B177" s="10"/>
      <c r="C177" s="33" t="s">
        <v>209</v>
      </c>
      <c r="D177" s="79" t="s">
        <v>460</v>
      </c>
      <c r="E177" s="79"/>
      <c r="F177" s="506">
        <f>G116</f>
        <v>0</v>
      </c>
      <c r="G177" s="506">
        <f>L116</f>
        <v>0</v>
      </c>
      <c r="H177" s="506">
        <f>Q116</f>
        <v>0</v>
      </c>
      <c r="I177" s="506">
        <f>V116</f>
        <v>0</v>
      </c>
      <c r="J177" s="506"/>
      <c r="K177" s="506">
        <f>AA116</f>
        <v>0</v>
      </c>
      <c r="L177" s="364"/>
      <c r="M177" s="364"/>
      <c r="N177" s="364"/>
      <c r="O177" s="364"/>
      <c r="P177" s="364"/>
      <c r="Q177" s="364"/>
      <c r="R177" s="364"/>
      <c r="S177" s="364"/>
      <c r="T177" s="364"/>
      <c r="U177" s="364"/>
      <c r="V177" s="364"/>
      <c r="W177" s="364"/>
      <c r="X177" s="364"/>
      <c r="Y177" s="364"/>
      <c r="Z177" s="364"/>
      <c r="AA177" s="364"/>
      <c r="AB177" s="364"/>
      <c r="AC177" s="364"/>
    </row>
    <row r="178" spans="2:29" x14ac:dyDescent="0.3">
      <c r="B178" s="10"/>
      <c r="C178" s="32" t="s">
        <v>155</v>
      </c>
      <c r="D178" s="79" t="s">
        <v>460</v>
      </c>
      <c r="E178" s="79"/>
      <c r="F178" s="792">
        <f>G134</f>
        <v>58.13</v>
      </c>
      <c r="G178" s="792">
        <f>L134</f>
        <v>58.13</v>
      </c>
      <c r="H178" s="792">
        <f>Q134</f>
        <v>52.344285714285718</v>
      </c>
      <c r="I178" s="792">
        <f>V134</f>
        <v>0</v>
      </c>
      <c r="J178" s="792"/>
      <c r="K178" s="792">
        <f>AA134</f>
        <v>0</v>
      </c>
      <c r="L178" s="364"/>
      <c r="M178" s="364"/>
      <c r="N178" s="364"/>
      <c r="O178" s="364"/>
      <c r="P178" s="364"/>
      <c r="Q178" s="364"/>
      <c r="R178" s="364"/>
      <c r="S178" s="364"/>
      <c r="T178" s="364"/>
      <c r="U178" s="364"/>
      <c r="V178" s="364"/>
      <c r="W178" s="364"/>
      <c r="X178" s="364"/>
      <c r="Y178" s="364"/>
      <c r="Z178" s="364"/>
      <c r="AA178" s="364"/>
      <c r="AB178" s="364"/>
      <c r="AC178" s="364"/>
    </row>
    <row r="179" spans="2:29" x14ac:dyDescent="0.3">
      <c r="B179" s="10"/>
      <c r="C179" s="32" t="s">
        <v>99</v>
      </c>
      <c r="D179" s="79" t="s">
        <v>460</v>
      </c>
      <c r="E179" s="79"/>
      <c r="F179" s="506">
        <f>G141</f>
        <v>0</v>
      </c>
      <c r="G179" s="506">
        <f>L141</f>
        <v>0</v>
      </c>
      <c r="H179" s="506">
        <f>Q141</f>
        <v>7.8000000000000007</v>
      </c>
      <c r="I179" s="506">
        <f>V141</f>
        <v>0</v>
      </c>
      <c r="J179" s="506"/>
      <c r="K179" s="506">
        <f>AA141</f>
        <v>0</v>
      </c>
      <c r="L179" s="364"/>
      <c r="M179" s="364"/>
      <c r="N179" s="364"/>
      <c r="O179" s="364"/>
      <c r="P179" s="364"/>
      <c r="Q179" s="364"/>
      <c r="R179" s="364"/>
      <c r="S179" s="364"/>
      <c r="T179" s="364"/>
      <c r="U179" s="364"/>
      <c r="V179" s="364"/>
      <c r="W179" s="364"/>
      <c r="X179" s="364"/>
      <c r="Y179" s="364"/>
      <c r="Z179" s="364"/>
      <c r="AA179" s="364"/>
      <c r="AB179" s="364"/>
      <c r="AC179" s="364"/>
    </row>
    <row r="180" spans="2:29" ht="20" x14ac:dyDescent="0.3">
      <c r="B180" s="22"/>
      <c r="C180" s="82" t="s">
        <v>210</v>
      </c>
      <c r="D180" s="80" t="s">
        <v>460</v>
      </c>
      <c r="E180" s="79"/>
      <c r="F180" s="506">
        <f>G160</f>
        <v>0</v>
      </c>
      <c r="G180" s="506">
        <f>L160</f>
        <v>0</v>
      </c>
      <c r="H180" s="506">
        <f>Q160</f>
        <v>0</v>
      </c>
      <c r="I180" s="506">
        <f>V160</f>
        <v>0</v>
      </c>
      <c r="J180" s="506"/>
      <c r="K180" s="506">
        <f>AA160</f>
        <v>0</v>
      </c>
      <c r="L180" s="364"/>
      <c r="M180" s="364"/>
      <c r="N180" s="364"/>
      <c r="O180" s="364"/>
      <c r="P180" s="364"/>
      <c r="Q180" s="364"/>
      <c r="R180" s="364"/>
      <c r="S180" s="364"/>
      <c r="T180" s="364"/>
      <c r="U180" s="364"/>
      <c r="V180" s="364"/>
      <c r="W180" s="364"/>
      <c r="X180" s="364"/>
      <c r="Y180" s="364"/>
      <c r="Z180" s="364"/>
      <c r="AA180" s="364"/>
      <c r="AB180" s="364"/>
      <c r="AC180" s="364"/>
    </row>
    <row r="181" spans="2:29" s="78" customFormat="1" ht="15.5" x14ac:dyDescent="0.35">
      <c r="B181" s="77" t="s">
        <v>538</v>
      </c>
      <c r="C181" s="87"/>
      <c r="D181" s="89" t="s">
        <v>460</v>
      </c>
      <c r="E181" s="23"/>
      <c r="F181" s="84">
        <f>SUM(F171:F180)</f>
        <v>561</v>
      </c>
      <c r="G181" s="84">
        <f>SUM(G171:G180)</f>
        <v>508.7</v>
      </c>
      <c r="H181" s="84">
        <f>SUM(H171:H180)</f>
        <v>325.79428571428571</v>
      </c>
      <c r="I181" s="84">
        <f>SUM(I171:I180)</f>
        <v>492.87</v>
      </c>
      <c r="J181" s="84"/>
      <c r="K181" s="84">
        <f>SUM(K171:K180)</f>
        <v>433.36</v>
      </c>
      <c r="L181" s="507"/>
      <c r="M181" s="507"/>
      <c r="N181" s="507"/>
      <c r="O181" s="507"/>
      <c r="P181" s="507"/>
      <c r="Q181" s="507"/>
      <c r="R181" s="507"/>
      <c r="S181" s="507"/>
      <c r="T181" s="507"/>
      <c r="U181" s="507"/>
      <c r="V181" s="507"/>
      <c r="W181" s="507"/>
      <c r="X181" s="507"/>
      <c r="Y181" s="507"/>
      <c r="Z181" s="507"/>
      <c r="AA181" s="507"/>
      <c r="AB181" s="507"/>
      <c r="AC181" s="507"/>
    </row>
    <row r="182" spans="2:29" s="78" customFormat="1" ht="15.5" x14ac:dyDescent="0.35">
      <c r="B182" s="507"/>
      <c r="C182" s="507"/>
      <c r="D182" s="507"/>
      <c r="E182" s="507"/>
      <c r="F182" s="507"/>
      <c r="G182" s="507"/>
      <c r="H182" s="507"/>
      <c r="I182" s="507"/>
      <c r="J182" s="507"/>
      <c r="K182" s="507"/>
      <c r="L182" s="507"/>
      <c r="M182" s="507"/>
      <c r="N182" s="507"/>
      <c r="O182" s="507"/>
      <c r="P182" s="507"/>
      <c r="Q182" s="507"/>
      <c r="R182" s="507"/>
      <c r="S182" s="507"/>
      <c r="T182" s="507"/>
      <c r="U182" s="507"/>
      <c r="V182" s="507"/>
      <c r="W182" s="507"/>
      <c r="X182" s="507"/>
      <c r="Y182" s="507"/>
      <c r="Z182" s="507"/>
      <c r="AA182" s="507"/>
      <c r="AB182" s="507"/>
      <c r="AC182" s="507"/>
    </row>
    <row r="183" spans="2:29" x14ac:dyDescent="0.3">
      <c r="B183" s="508" t="s">
        <v>211</v>
      </c>
      <c r="C183" s="509"/>
      <c r="D183" s="83" t="s">
        <v>460</v>
      </c>
      <c r="E183" s="89"/>
      <c r="F183" s="510">
        <f>SUM(F171:F176)</f>
        <v>502.87</v>
      </c>
      <c r="G183" s="510">
        <f>SUM(G171:G176)</f>
        <v>450.57</v>
      </c>
      <c r="H183" s="510">
        <f>SUM(H171:H176)+H179</f>
        <v>273.45</v>
      </c>
      <c r="I183" s="510">
        <f>SUM(I171:I176)</f>
        <v>492.87</v>
      </c>
      <c r="J183" s="511"/>
      <c r="K183" s="511">
        <f>SUM(K171:K176)</f>
        <v>433.36</v>
      </c>
      <c r="L183" s="364"/>
      <c r="M183" s="364"/>
      <c r="N183" s="364"/>
      <c r="O183" s="364"/>
      <c r="P183" s="364"/>
      <c r="Q183" s="364"/>
      <c r="R183" s="364"/>
      <c r="S183" s="364"/>
      <c r="T183" s="364"/>
      <c r="U183" s="364"/>
      <c r="V183" s="364"/>
      <c r="W183" s="364"/>
      <c r="X183" s="364"/>
      <c r="Y183" s="364"/>
      <c r="Z183" s="364"/>
      <c r="AA183" s="364"/>
      <c r="AB183" s="364"/>
      <c r="AC183" s="364"/>
    </row>
    <row r="184" spans="2:29" x14ac:dyDescent="0.3">
      <c r="B184" s="508" t="s">
        <v>212</v>
      </c>
      <c r="C184" s="509"/>
      <c r="D184" s="89" t="s">
        <v>460</v>
      </c>
      <c r="E184" s="89"/>
      <c r="F184" s="510">
        <f>F178</f>
        <v>58.13</v>
      </c>
      <c r="G184" s="510">
        <f>G178</f>
        <v>58.13</v>
      </c>
      <c r="H184" s="510">
        <f>H178</f>
        <v>52.344285714285718</v>
      </c>
      <c r="I184" s="510">
        <f>I178</f>
        <v>0</v>
      </c>
      <c r="J184" s="511"/>
      <c r="K184" s="511">
        <f>K178</f>
        <v>0</v>
      </c>
      <c r="L184" s="364"/>
      <c r="M184" s="364"/>
      <c r="N184" s="364"/>
      <c r="O184" s="364"/>
      <c r="P184" s="364"/>
      <c r="Q184" s="364"/>
      <c r="R184" s="364"/>
      <c r="S184" s="364"/>
      <c r="T184" s="364"/>
      <c r="U184" s="364"/>
      <c r="V184" s="364"/>
      <c r="W184" s="364"/>
      <c r="X184" s="364"/>
      <c r="Y184" s="364"/>
      <c r="Z184" s="364"/>
      <c r="AA184" s="364"/>
      <c r="AB184" s="364"/>
      <c r="AC184" s="364"/>
    </row>
    <row r="185" spans="2:29" x14ac:dyDescent="0.3">
      <c r="B185" s="364"/>
      <c r="C185" s="364"/>
      <c r="D185" s="364"/>
      <c r="E185" s="364"/>
      <c r="F185" s="364"/>
      <c r="G185" s="364"/>
      <c r="H185" s="364"/>
      <c r="I185" s="364"/>
      <c r="J185" s="364"/>
      <c r="K185" s="364"/>
      <c r="L185" s="364"/>
      <c r="M185" s="364"/>
      <c r="N185" s="364"/>
      <c r="O185" s="364"/>
      <c r="P185" s="364"/>
      <c r="Q185" s="364"/>
      <c r="R185" s="364"/>
      <c r="S185" s="364"/>
      <c r="T185" s="364"/>
      <c r="U185" s="364"/>
      <c r="V185" s="364"/>
      <c r="W185" s="364"/>
      <c r="X185" s="364"/>
      <c r="Y185" s="364"/>
      <c r="Z185" s="364"/>
      <c r="AA185" s="364"/>
      <c r="AB185" s="364"/>
      <c r="AC185" s="364"/>
    </row>
    <row r="186" spans="2:29" x14ac:dyDescent="0.3">
      <c r="B186" s="508" t="s">
        <v>215</v>
      </c>
      <c r="C186" s="509"/>
      <c r="D186" s="38" t="s">
        <v>217</v>
      </c>
      <c r="E186" s="38"/>
      <c r="F186" s="793">
        <f>H35+H48+H71+H81+H105+H134</f>
        <v>17.100000000000001</v>
      </c>
      <c r="G186" s="793">
        <f>M35+M48+M71+M81+M105+M134</f>
        <v>15.899999999999999</v>
      </c>
      <c r="H186" s="793">
        <f>R35+R48+R71+R81+R105+R134+R141</f>
        <v>18.3</v>
      </c>
      <c r="I186" s="793">
        <f>W35+W48+W71+W81+W105</f>
        <v>27.199999999999996</v>
      </c>
      <c r="J186" s="793"/>
      <c r="K186" s="793">
        <f>AB35+AB48+AB71+AB105+AB81</f>
        <v>9.3000000000000007</v>
      </c>
      <c r="L186" s="364"/>
      <c r="M186" s="364"/>
      <c r="N186" s="364"/>
      <c r="O186" s="364"/>
      <c r="P186" s="364"/>
      <c r="Q186" s="364"/>
      <c r="R186" s="364"/>
      <c r="S186" s="364"/>
      <c r="T186" s="364"/>
      <c r="U186" s="364"/>
      <c r="V186" s="364"/>
      <c r="W186" s="364"/>
      <c r="X186" s="364"/>
      <c r="Y186" s="364"/>
      <c r="Z186" s="364"/>
      <c r="AA186" s="364"/>
      <c r="AB186" s="364"/>
      <c r="AC186" s="364"/>
    </row>
    <row r="187" spans="2:29" x14ac:dyDescent="0.3">
      <c r="B187" s="508" t="s">
        <v>216</v>
      </c>
      <c r="C187" s="509"/>
      <c r="D187" s="38" t="s">
        <v>217</v>
      </c>
      <c r="E187" s="38"/>
      <c r="F187" s="512">
        <f>H134</f>
        <v>4.8</v>
      </c>
      <c r="G187" s="512">
        <f>M134</f>
        <v>4.8</v>
      </c>
      <c r="H187" s="793">
        <f>R134</f>
        <v>4.8</v>
      </c>
      <c r="I187" s="512">
        <f>W134</f>
        <v>0</v>
      </c>
      <c r="J187" s="512"/>
      <c r="K187" s="512">
        <f>AB134</f>
        <v>0</v>
      </c>
      <c r="L187" s="364"/>
      <c r="M187" s="364"/>
      <c r="N187" s="364"/>
      <c r="O187" s="364"/>
      <c r="P187" s="364"/>
      <c r="Q187" s="364"/>
      <c r="R187" s="364"/>
      <c r="S187" s="364"/>
      <c r="T187" s="364"/>
      <c r="U187" s="364"/>
      <c r="V187" s="364"/>
      <c r="W187" s="364"/>
      <c r="X187" s="364"/>
      <c r="Y187" s="364"/>
      <c r="Z187" s="364"/>
      <c r="AA187" s="364"/>
      <c r="AB187" s="364"/>
      <c r="AC187" s="364"/>
    </row>
    <row r="188" spans="2:29" x14ac:dyDescent="0.3">
      <c r="B188" s="364"/>
      <c r="C188" s="364"/>
      <c r="D188" s="364"/>
      <c r="E188" s="364"/>
      <c r="F188" s="364"/>
      <c r="G188" s="364"/>
      <c r="H188" s="364"/>
      <c r="I188" s="364"/>
      <c r="J188" s="364"/>
      <c r="K188" s="364"/>
      <c r="L188" s="364"/>
      <c r="M188" s="364"/>
      <c r="N188" s="364"/>
      <c r="O188" s="364"/>
      <c r="P188" s="364"/>
      <c r="Q188" s="364"/>
      <c r="R188" s="364"/>
      <c r="S188" s="364"/>
      <c r="T188" s="364"/>
      <c r="U188" s="364"/>
      <c r="V188" s="364"/>
      <c r="W188" s="364"/>
      <c r="X188" s="364"/>
      <c r="Y188" s="364"/>
      <c r="Z188" s="364"/>
      <c r="AA188" s="364"/>
      <c r="AB188" s="364"/>
      <c r="AC188" s="364"/>
    </row>
    <row r="191" spans="2:29" x14ac:dyDescent="0.3">
      <c r="B191" s="85"/>
      <c r="C191" s="26" t="s">
        <v>213</v>
      </c>
    </row>
    <row r="192" spans="2:29" x14ac:dyDescent="0.3">
      <c r="B192" s="68"/>
      <c r="C192" s="102" t="s">
        <v>233</v>
      </c>
    </row>
    <row r="193" spans="2:3" x14ac:dyDescent="0.3">
      <c r="B193" s="513"/>
      <c r="C193" s="24" t="s">
        <v>383</v>
      </c>
    </row>
  </sheetData>
  <sheetProtection selectLockedCells="1" selectUnlockedCells="1"/>
  <mergeCells count="40">
    <mergeCell ref="AB8:AC8"/>
    <mergeCell ref="AB9:AC9"/>
    <mergeCell ref="AB10:AC10"/>
    <mergeCell ref="AB11:AC11"/>
    <mergeCell ref="W8:X8"/>
    <mergeCell ref="W9:X9"/>
    <mergeCell ref="W10:X10"/>
    <mergeCell ref="W11:X11"/>
    <mergeCell ref="Z8:AA8"/>
    <mergeCell ref="Z9:AA9"/>
    <mergeCell ref="Z10:AA10"/>
    <mergeCell ref="Z11:AA11"/>
    <mergeCell ref="R8:S8"/>
    <mergeCell ref="R9:S9"/>
    <mergeCell ref="R10:S10"/>
    <mergeCell ref="R11:S11"/>
    <mergeCell ref="U8:V8"/>
    <mergeCell ref="U9:V9"/>
    <mergeCell ref="U10:V10"/>
    <mergeCell ref="U11:V11"/>
    <mergeCell ref="M8:N8"/>
    <mergeCell ref="M9:N9"/>
    <mergeCell ref="M10:N10"/>
    <mergeCell ref="M11:N11"/>
    <mergeCell ref="P8:Q8"/>
    <mergeCell ref="P9:Q9"/>
    <mergeCell ref="P10:Q10"/>
    <mergeCell ref="P11:Q11"/>
    <mergeCell ref="K11:L11"/>
    <mergeCell ref="H8:I8"/>
    <mergeCell ref="F8:G8"/>
    <mergeCell ref="H9:I9"/>
    <mergeCell ref="F9:G9"/>
    <mergeCell ref="F11:G11"/>
    <mergeCell ref="H11:I11"/>
    <mergeCell ref="H10:I10"/>
    <mergeCell ref="F10:G10"/>
    <mergeCell ref="K8:L8"/>
    <mergeCell ref="K9:L9"/>
    <mergeCell ref="K10:L10"/>
  </mergeCells>
  <pageMargins left="0.7" right="0.7" top="0.75" bottom="0.75" header="0.3" footer="0.3"/>
  <pageSetup paperSize="9" orientation="portrait" r:id="rId1"/>
  <ignoredErrors>
    <ignoredError sqref="G18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BM123"/>
  <sheetViews>
    <sheetView workbookViewId="0"/>
  </sheetViews>
  <sheetFormatPr defaultColWidth="9" defaultRowHeight="14" x14ac:dyDescent="0.3"/>
  <cols>
    <col min="1" max="1" width="10.58203125" bestFit="1" customWidth="1"/>
    <col min="2" max="2" width="38.75" customWidth="1"/>
    <col min="3" max="3" width="17.58203125" bestFit="1" customWidth="1"/>
    <col min="5" max="9" width="10.58203125" customWidth="1"/>
    <col min="12" max="12" width="17.58203125" customWidth="1"/>
  </cols>
  <sheetData>
    <row r="4" spans="1:65" x14ac:dyDescent="0.3">
      <c r="A4" s="1"/>
    </row>
    <row r="5" spans="1:65" x14ac:dyDescent="0.3">
      <c r="B5" s="2"/>
    </row>
    <row r="6" spans="1:65" x14ac:dyDescent="0.3">
      <c r="B6" s="364"/>
      <c r="C6" s="364"/>
      <c r="D6" s="364"/>
      <c r="E6" s="364"/>
      <c r="F6" s="364"/>
      <c r="G6" s="364"/>
      <c r="H6" s="364"/>
      <c r="I6" s="364"/>
    </row>
    <row r="7" spans="1:65" x14ac:dyDescent="0.3">
      <c r="C7" s="364"/>
      <c r="D7" s="364"/>
      <c r="E7" s="364"/>
      <c r="F7" s="364"/>
      <c r="G7" s="364"/>
      <c r="H7" s="364"/>
      <c r="I7" s="364"/>
    </row>
    <row r="8" spans="1:65" ht="14.5" thickBot="1" x14ac:dyDescent="0.35">
      <c r="B8" s="364"/>
      <c r="C8" s="364"/>
      <c r="D8" s="364"/>
      <c r="E8" s="364"/>
      <c r="F8" s="364"/>
      <c r="G8" s="364"/>
      <c r="H8" s="364"/>
      <c r="I8" s="364"/>
    </row>
    <row r="9" spans="1:65" ht="14.5" thickBot="1" x14ac:dyDescent="0.35">
      <c r="A9" s="2"/>
      <c r="B9" s="411" t="s">
        <v>461</v>
      </c>
      <c r="C9" s="364"/>
      <c r="D9" s="364"/>
      <c r="E9" s="514"/>
      <c r="F9" s="514"/>
      <c r="G9" s="514"/>
      <c r="H9" s="514"/>
      <c r="I9" s="514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x14ac:dyDescent="0.3">
      <c r="A10" s="2"/>
      <c r="B10" s="514"/>
      <c r="C10" s="514"/>
      <c r="D10" s="514"/>
      <c r="E10" s="514"/>
      <c r="F10" s="514"/>
      <c r="G10" s="514"/>
      <c r="H10" s="514"/>
      <c r="I10" s="514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2"/>
      <c r="AJ10" s="25"/>
      <c r="AK10" s="25"/>
      <c r="AL10" s="25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x14ac:dyDescent="0.3">
      <c r="A11" s="2"/>
      <c r="B11" s="365"/>
      <c r="C11" s="365"/>
      <c r="D11" s="365"/>
      <c r="E11" s="365"/>
      <c r="F11" s="365"/>
      <c r="G11" s="365"/>
      <c r="H11" s="365"/>
      <c r="I11" s="365"/>
      <c r="K11" s="2"/>
      <c r="AI11" s="2"/>
    </row>
    <row r="12" spans="1:65" x14ac:dyDescent="0.3">
      <c r="A12" s="2"/>
      <c r="B12" s="365"/>
      <c r="C12" s="365"/>
      <c r="D12" s="365"/>
      <c r="E12" s="515" t="s">
        <v>4</v>
      </c>
      <c r="F12" s="516" t="s">
        <v>5</v>
      </c>
      <c r="G12" s="517" t="s">
        <v>6</v>
      </c>
      <c r="H12" s="517" t="s">
        <v>7</v>
      </c>
      <c r="I12" s="516" t="s">
        <v>260</v>
      </c>
      <c r="K12" s="2"/>
      <c r="AI12" s="2"/>
    </row>
    <row r="13" spans="1:65" ht="14.25" customHeight="1" x14ac:dyDescent="0.3">
      <c r="A13" s="2"/>
      <c r="B13" s="6" t="s">
        <v>1</v>
      </c>
      <c r="C13" s="112" t="s">
        <v>2</v>
      </c>
      <c r="D13" s="113" t="s">
        <v>92</v>
      </c>
      <c r="E13" s="518">
        <f>'Arable Inputs'!D$18</f>
        <v>8.25</v>
      </c>
      <c r="F13" s="518">
        <f>'Arable Inputs'!E$18</f>
        <v>6.3</v>
      </c>
      <c r="G13" s="518">
        <f>'Arable Inputs'!F$18</f>
        <v>3.5</v>
      </c>
      <c r="H13" s="518">
        <f>'Arable Inputs'!G$18</f>
        <v>78</v>
      </c>
      <c r="I13" s="519">
        <f>'Arable Inputs'!H$18</f>
        <v>12</v>
      </c>
      <c r="AI13" s="2"/>
    </row>
    <row r="14" spans="1:65" ht="14.25" customHeight="1" x14ac:dyDescent="0.3">
      <c r="A14" s="2"/>
      <c r="B14" s="7"/>
      <c r="C14" s="17" t="s">
        <v>3</v>
      </c>
      <c r="D14" s="114" t="s">
        <v>92</v>
      </c>
      <c r="E14" s="520">
        <f>'Arable Inputs'!D$19</f>
        <v>3.9</v>
      </c>
      <c r="F14" s="520">
        <f>'Arable Inputs'!E$19</f>
        <v>3.5</v>
      </c>
      <c r="G14" s="520">
        <f>'Arable Inputs'!F$19</f>
        <v>2.6</v>
      </c>
      <c r="H14" s="570"/>
      <c r="I14" s="570"/>
      <c r="K14" s="2"/>
      <c r="AI14" s="2"/>
    </row>
    <row r="15" spans="1:65" ht="14.25" customHeight="1" x14ac:dyDescent="0.3">
      <c r="A15" s="564"/>
      <c r="B15" s="565"/>
      <c r="C15" s="566"/>
      <c r="D15" s="566"/>
      <c r="E15" s="567"/>
      <c r="F15" s="567"/>
      <c r="G15" s="567"/>
      <c r="H15" s="568"/>
      <c r="I15" s="568"/>
      <c r="J15" s="63"/>
      <c r="K15" s="2"/>
      <c r="AI15" s="2"/>
    </row>
    <row r="16" spans="1:65" ht="14.25" customHeight="1" x14ac:dyDescent="0.3">
      <c r="A16" s="2"/>
      <c r="B16" s="8" t="s">
        <v>8</v>
      </c>
      <c r="C16" s="32" t="s">
        <v>2</v>
      </c>
      <c r="D16" s="83" t="s">
        <v>462</v>
      </c>
      <c r="E16" s="521">
        <f>'Arable Inputs'!D$25</f>
        <v>162</v>
      </c>
      <c r="F16" s="521">
        <f>'Arable Inputs'!E$25</f>
        <v>140</v>
      </c>
      <c r="G16" s="521">
        <f>'Arable Inputs'!F$25</f>
        <v>335</v>
      </c>
      <c r="H16" s="521">
        <f>'Arable Inputs'!G$25</f>
        <v>27.16</v>
      </c>
      <c r="I16" s="522">
        <f>'Arable Inputs'!H$25</f>
        <v>107.1</v>
      </c>
      <c r="J16" s="24"/>
      <c r="K16" s="2"/>
      <c r="AI16" s="2"/>
    </row>
    <row r="17" spans="1:35" ht="14.25" customHeight="1" x14ac:dyDescent="0.3">
      <c r="A17" s="2"/>
      <c r="B17" s="10"/>
      <c r="C17" s="33" t="s">
        <v>9</v>
      </c>
      <c r="D17" s="79" t="s">
        <v>462</v>
      </c>
      <c r="E17" s="521">
        <f>'Arable Inputs'!D$26</f>
        <v>65</v>
      </c>
      <c r="F17" s="521">
        <f>'Arable Inputs'!E$26</f>
        <v>70</v>
      </c>
      <c r="G17" s="521">
        <f>'Arable Inputs'!F$26</f>
        <v>37.5</v>
      </c>
      <c r="H17" s="534"/>
      <c r="I17" s="534"/>
      <c r="K17" s="2"/>
      <c r="AI17" s="2"/>
    </row>
    <row r="18" spans="1:35" ht="14.25" customHeight="1" x14ac:dyDescent="0.3">
      <c r="A18" s="2"/>
      <c r="B18" s="10"/>
      <c r="C18" s="32" t="s">
        <v>10</v>
      </c>
      <c r="D18" s="79" t="s">
        <v>460</v>
      </c>
      <c r="E18" s="521">
        <f>'Arable Inputs'!$D$10</f>
        <v>220</v>
      </c>
      <c r="F18" s="521">
        <f>'Arable Inputs'!$D$10</f>
        <v>220</v>
      </c>
      <c r="G18" s="521">
        <f>'Arable Inputs'!$D$10</f>
        <v>220</v>
      </c>
      <c r="H18" s="521">
        <f>'Arable Inputs'!$D$10</f>
        <v>220</v>
      </c>
      <c r="I18" s="533">
        <f>'Arable Inputs'!$D$10</f>
        <v>220</v>
      </c>
      <c r="K18" s="90"/>
      <c r="AI18" s="2"/>
    </row>
    <row r="19" spans="1:35" ht="14.25" customHeight="1" x14ac:dyDescent="0.3">
      <c r="A19" s="2"/>
      <c r="B19" s="11" t="s">
        <v>11</v>
      </c>
      <c r="C19" s="304" t="s">
        <v>2</v>
      </c>
      <c r="D19" s="117" t="s">
        <v>462</v>
      </c>
      <c r="E19" s="524">
        <f>(E18+(E16*E13))/E13</f>
        <v>188.66666666666666</v>
      </c>
      <c r="F19" s="524">
        <f>(F18+(F16*F13))/F13</f>
        <v>174.92063492063494</v>
      </c>
      <c r="G19" s="525">
        <f>(G18+(G16*G13))/G13</f>
        <v>397.85714285714283</v>
      </c>
      <c r="H19" s="525">
        <f>(H18+(H16*H13))/H13</f>
        <v>29.980512820512821</v>
      </c>
      <c r="I19" s="525">
        <f>(I18+(I16*I13))/I13</f>
        <v>125.43333333333332</v>
      </c>
      <c r="K19" s="90"/>
      <c r="AI19" s="2"/>
    </row>
    <row r="20" spans="1:35" ht="14.25" customHeight="1" x14ac:dyDescent="0.3">
      <c r="A20" s="2"/>
      <c r="B20" s="12"/>
      <c r="C20" s="123" t="s">
        <v>3</v>
      </c>
      <c r="D20" s="118" t="s">
        <v>462</v>
      </c>
      <c r="E20" s="526">
        <f>IF(E14=0,0,(E17*E14)/E14)</f>
        <v>65</v>
      </c>
      <c r="F20" s="526">
        <f>IF(F14=0,0,(F17*F14)/F14)</f>
        <v>70</v>
      </c>
      <c r="G20" s="527">
        <f>IF(G14=0,0,(G17*G14)/G14)</f>
        <v>37.5</v>
      </c>
      <c r="H20" s="527"/>
      <c r="I20" s="527"/>
      <c r="K20" s="2"/>
      <c r="AI20" s="2"/>
    </row>
    <row r="21" spans="1:35" ht="14.25" customHeight="1" x14ac:dyDescent="0.3">
      <c r="A21" s="2"/>
      <c r="B21" s="13"/>
      <c r="C21" s="304" t="s">
        <v>2</v>
      </c>
      <c r="D21" s="117" t="s">
        <v>460</v>
      </c>
      <c r="E21" s="528">
        <f>(E13*E16)+E18</f>
        <v>1556.5</v>
      </c>
      <c r="F21" s="529">
        <f>(F13*F16)+F18</f>
        <v>1102</v>
      </c>
      <c r="G21" s="529">
        <f>(G13*G16)+G18</f>
        <v>1392.5</v>
      </c>
      <c r="H21" s="529">
        <f>(H13*H16)+H18</f>
        <v>2338.48</v>
      </c>
      <c r="I21" s="529">
        <f>(I13*I16)+I18</f>
        <v>1505.1999999999998</v>
      </c>
      <c r="K21" s="2"/>
      <c r="AI21" s="2"/>
    </row>
    <row r="22" spans="1:35" ht="14.25" customHeight="1" x14ac:dyDescent="0.3">
      <c r="A22" s="2"/>
      <c r="B22" s="13"/>
      <c r="C22" s="123" t="s">
        <v>3</v>
      </c>
      <c r="D22" s="118" t="s">
        <v>460</v>
      </c>
      <c r="E22" s="530">
        <f>E14*E17</f>
        <v>253.5</v>
      </c>
      <c r="F22" s="531">
        <f>F14*F17</f>
        <v>245</v>
      </c>
      <c r="G22" s="531">
        <f>G14*G17</f>
        <v>97.5</v>
      </c>
      <c r="H22" s="531"/>
      <c r="I22" s="531"/>
      <c r="K22" s="90"/>
      <c r="AI22" s="2"/>
    </row>
    <row r="23" spans="1:35" ht="14.25" customHeight="1" x14ac:dyDescent="0.3">
      <c r="A23" s="2"/>
      <c r="B23" s="14"/>
      <c r="C23" s="532" t="s">
        <v>12</v>
      </c>
      <c r="D23" s="118" t="s">
        <v>460</v>
      </c>
      <c r="E23" s="530">
        <f>E21+E22</f>
        <v>1810</v>
      </c>
      <c r="F23" s="531">
        <f>F21+F22</f>
        <v>1347</v>
      </c>
      <c r="G23" s="531">
        <f>G21+G22</f>
        <v>1490</v>
      </c>
      <c r="H23" s="531">
        <f>H21+H22</f>
        <v>2338.48</v>
      </c>
      <c r="I23" s="531">
        <f>I21+I22</f>
        <v>1505.1999999999998</v>
      </c>
      <c r="K23" s="2"/>
      <c r="AI23" s="2"/>
    </row>
    <row r="24" spans="1:35" ht="14.25" customHeight="1" x14ac:dyDescent="0.3">
      <c r="A24" s="2"/>
      <c r="B24" s="365"/>
      <c r="C24" s="365"/>
      <c r="D24" s="365"/>
      <c r="E24" s="365"/>
      <c r="F24" s="365"/>
      <c r="G24" s="365"/>
      <c r="H24" s="365"/>
      <c r="I24" s="365"/>
      <c r="K24" s="2"/>
      <c r="AI24" s="2"/>
    </row>
    <row r="25" spans="1:35" ht="14.25" customHeight="1" x14ac:dyDescent="0.3">
      <c r="A25" s="2"/>
      <c r="B25" s="365"/>
      <c r="C25" s="365"/>
      <c r="D25" s="365"/>
      <c r="E25" s="365"/>
      <c r="F25" s="365"/>
      <c r="G25" s="365"/>
      <c r="H25" s="365"/>
      <c r="I25" s="365"/>
      <c r="K25" s="2"/>
      <c r="AI25" s="2"/>
    </row>
    <row r="26" spans="1:35" ht="14.25" customHeight="1" x14ac:dyDescent="0.3">
      <c r="A26" s="2"/>
      <c r="B26" s="15" t="s">
        <v>13</v>
      </c>
      <c r="C26" s="81" t="s">
        <v>517</v>
      </c>
      <c r="D26" s="89" t="s">
        <v>463</v>
      </c>
      <c r="E26" s="522">
        <f>'Arable Inputs'!D$41</f>
        <v>89.8</v>
      </c>
      <c r="F26" s="522">
        <f>'Arable Inputs'!E$41</f>
        <v>64</v>
      </c>
      <c r="G26" s="522">
        <f>'Arable Inputs'!F$41</f>
        <v>55</v>
      </c>
      <c r="H26" s="522">
        <f>'Arable Inputs'!G$41</f>
        <v>207</v>
      </c>
      <c r="I26" s="522">
        <f>'Arable Inputs'!H$41</f>
        <v>166.25</v>
      </c>
      <c r="K26" s="2"/>
      <c r="AI26" s="2"/>
    </row>
    <row r="27" spans="1:35" ht="14.25" customHeight="1" x14ac:dyDescent="0.3">
      <c r="A27" s="2"/>
      <c r="B27" s="10"/>
      <c r="C27" s="126" t="s">
        <v>14</v>
      </c>
      <c r="D27" s="80" t="s">
        <v>460</v>
      </c>
      <c r="E27" s="84">
        <f>E26</f>
        <v>89.8</v>
      </c>
      <c r="F27" s="84">
        <f>F26</f>
        <v>64</v>
      </c>
      <c r="G27" s="84">
        <f>G26</f>
        <v>55</v>
      </c>
      <c r="H27" s="84">
        <f>H26</f>
        <v>207</v>
      </c>
      <c r="I27" s="84">
        <f>I26</f>
        <v>166.25</v>
      </c>
      <c r="J27" s="3"/>
      <c r="K27" s="2"/>
      <c r="AI27" s="2"/>
    </row>
    <row r="28" spans="1:35" ht="14.25" customHeight="1" x14ac:dyDescent="0.3">
      <c r="A28" s="2"/>
      <c r="B28" s="10"/>
      <c r="C28" s="873" t="s">
        <v>15</v>
      </c>
      <c r="D28" s="79" t="s">
        <v>464</v>
      </c>
      <c r="E28" s="534">
        <f>'Arable Inputs'!$D$34</f>
        <v>0.65200000000000002</v>
      </c>
      <c r="F28" s="534">
        <f>'Arable Inputs'!$D$34</f>
        <v>0.65200000000000002</v>
      </c>
      <c r="G28" s="534">
        <f>'Arable Inputs'!$D$34</f>
        <v>0.65200000000000002</v>
      </c>
      <c r="H28" s="534">
        <f>'Arable Inputs'!$D$34</f>
        <v>0.65200000000000002</v>
      </c>
      <c r="I28" s="534">
        <f>'Arable Inputs'!$D$34</f>
        <v>0.65200000000000002</v>
      </c>
      <c r="J28" s="40"/>
      <c r="K28" s="2"/>
      <c r="AI28" s="2"/>
    </row>
    <row r="29" spans="1:35" ht="14.25" customHeight="1" x14ac:dyDescent="0.3">
      <c r="A29" s="2"/>
      <c r="B29" s="10"/>
      <c r="C29" s="125" t="s">
        <v>16</v>
      </c>
      <c r="D29" s="80" t="s">
        <v>93</v>
      </c>
      <c r="E29" s="533">
        <f>'Arable Inputs'!D$58</f>
        <v>250</v>
      </c>
      <c r="F29" s="533">
        <f>'Arable Inputs'!E$58</f>
        <v>130</v>
      </c>
      <c r="G29" s="533">
        <f>'Arable Inputs'!F$58</f>
        <v>190</v>
      </c>
      <c r="H29" s="533">
        <f>'Arable Inputs'!G$58</f>
        <v>156</v>
      </c>
      <c r="I29" s="533">
        <f>'Arable Inputs'!H$58</f>
        <v>150</v>
      </c>
      <c r="J29" s="872"/>
      <c r="K29" s="2"/>
      <c r="AI29" s="2"/>
    </row>
    <row r="30" spans="1:35" ht="14.25" customHeight="1" x14ac:dyDescent="0.3">
      <c r="A30" s="2"/>
      <c r="B30" s="10"/>
      <c r="C30" s="126" t="s">
        <v>14</v>
      </c>
      <c r="D30" s="80" t="s">
        <v>460</v>
      </c>
      <c r="E30" s="84">
        <f>E28*E29</f>
        <v>163</v>
      </c>
      <c r="F30" s="84">
        <f>F28*F29</f>
        <v>84.76</v>
      </c>
      <c r="G30" s="84">
        <f>G28*G29</f>
        <v>123.88000000000001</v>
      </c>
      <c r="H30" s="84">
        <f>H28*H29</f>
        <v>101.712</v>
      </c>
      <c r="I30" s="839">
        <f>I28*I29</f>
        <v>97.8</v>
      </c>
      <c r="J30" s="872"/>
      <c r="K30" s="2"/>
      <c r="AI30" s="2"/>
    </row>
    <row r="31" spans="1:35" ht="14.25" customHeight="1" x14ac:dyDescent="0.3">
      <c r="A31" s="2"/>
      <c r="B31" s="10"/>
      <c r="C31" s="873" t="s">
        <v>17</v>
      </c>
      <c r="D31" s="79" t="s">
        <v>464</v>
      </c>
      <c r="E31" s="534">
        <f>'Arable Inputs'!$D$35</f>
        <v>0.64100000000000001</v>
      </c>
      <c r="F31" s="534">
        <f>'Arable Inputs'!$D$35</f>
        <v>0.64100000000000001</v>
      </c>
      <c r="G31" s="534">
        <f>'Arable Inputs'!$D$35</f>
        <v>0.64100000000000001</v>
      </c>
      <c r="H31" s="534">
        <f>'Arable Inputs'!$D$35</f>
        <v>0.64100000000000001</v>
      </c>
      <c r="I31" s="534">
        <f>'Arable Inputs'!$D$35</f>
        <v>0.64100000000000001</v>
      </c>
      <c r="J31" s="872"/>
      <c r="K31" s="2"/>
      <c r="AI31" s="2"/>
    </row>
    <row r="32" spans="1:35" ht="14.25" customHeight="1" x14ac:dyDescent="0.3">
      <c r="A32" s="2"/>
      <c r="B32" s="10"/>
      <c r="C32" s="125" t="s">
        <v>18</v>
      </c>
      <c r="D32" s="80" t="s">
        <v>93</v>
      </c>
      <c r="E32" s="533">
        <f>'Arable Inputs'!D$59</f>
        <v>146.45308924485127</v>
      </c>
      <c r="F32" s="533">
        <f>'Arable Inputs'!E$59</f>
        <v>112.12814645308924</v>
      </c>
      <c r="G32" s="533">
        <f>'Arable Inputs'!F$59</f>
        <v>112.12814645308924</v>
      </c>
      <c r="H32" s="533">
        <f>'Arable Inputs'!G$59</f>
        <v>148.74141876430207</v>
      </c>
      <c r="I32" s="533">
        <f>'Arable Inputs'!H$59</f>
        <v>115</v>
      </c>
      <c r="J32" s="872"/>
      <c r="K32" s="2"/>
      <c r="AI32" s="2"/>
    </row>
    <row r="33" spans="1:35" ht="14.25" customHeight="1" x14ac:dyDescent="0.3">
      <c r="A33" s="2"/>
      <c r="B33" s="10"/>
      <c r="C33" s="126" t="s">
        <v>14</v>
      </c>
      <c r="D33" s="80" t="s">
        <v>460</v>
      </c>
      <c r="E33" s="84">
        <f>E31*E32</f>
        <v>93.87643020594966</v>
      </c>
      <c r="F33" s="84">
        <f>F31*F32</f>
        <v>71.874141876430201</v>
      </c>
      <c r="G33" s="84">
        <f>G31*G32</f>
        <v>71.874141876430201</v>
      </c>
      <c r="H33" s="84">
        <f>H31*H32</f>
        <v>95.343249427917627</v>
      </c>
      <c r="I33" s="839">
        <f>I31*I32</f>
        <v>73.715000000000003</v>
      </c>
      <c r="J33" s="872"/>
      <c r="K33" s="2"/>
      <c r="AI33" s="2"/>
    </row>
    <row r="34" spans="1:35" ht="14.25" customHeight="1" x14ac:dyDescent="0.3">
      <c r="A34" s="2"/>
      <c r="B34" s="10"/>
      <c r="C34" s="873" t="s">
        <v>19</v>
      </c>
      <c r="D34" s="79" t="s">
        <v>464</v>
      </c>
      <c r="E34" s="534">
        <f>'Arable Inputs'!$D$36</f>
        <v>0.45</v>
      </c>
      <c r="F34" s="534">
        <f>'Arable Inputs'!$D$36</f>
        <v>0.45</v>
      </c>
      <c r="G34" s="534">
        <f>'Arable Inputs'!$D$36</f>
        <v>0.45</v>
      </c>
      <c r="H34" s="534">
        <f>'Arable Inputs'!$D$36</f>
        <v>0.45</v>
      </c>
      <c r="I34" s="534">
        <f>'Arable Inputs'!$D$36</f>
        <v>0.45</v>
      </c>
      <c r="J34" s="872"/>
      <c r="K34" s="2"/>
      <c r="AI34" s="2"/>
    </row>
    <row r="35" spans="1:35" ht="14.25" customHeight="1" x14ac:dyDescent="0.3">
      <c r="A35" s="2"/>
      <c r="B35" s="10"/>
      <c r="C35" s="125" t="s">
        <v>20</v>
      </c>
      <c r="D35" s="80" t="s">
        <v>93</v>
      </c>
      <c r="E35" s="533">
        <f>'Arable Inputs'!D$60</f>
        <v>112.19512195121952</v>
      </c>
      <c r="F35" s="533">
        <f>'Arable Inputs'!E$60</f>
        <v>85.365853658536594</v>
      </c>
      <c r="G35" s="533">
        <f>'Arable Inputs'!F$60</f>
        <v>95.121951219512198</v>
      </c>
      <c r="H35" s="533">
        <f>'Arable Inputs'!G$60</f>
        <v>319.51219512195127</v>
      </c>
      <c r="I35" s="533">
        <f>'Arable Inputs'!H$60</f>
        <v>235</v>
      </c>
      <c r="J35" s="872"/>
      <c r="K35" s="2"/>
      <c r="AI35" s="2"/>
    </row>
    <row r="36" spans="1:35" ht="14.25" customHeight="1" x14ac:dyDescent="0.3">
      <c r="A36" s="2"/>
      <c r="B36" s="10"/>
      <c r="C36" s="126" t="s">
        <v>14</v>
      </c>
      <c r="D36" s="80" t="s">
        <v>460</v>
      </c>
      <c r="E36" s="84">
        <f>E34*E35</f>
        <v>50.487804878048784</v>
      </c>
      <c r="F36" s="84">
        <f>F34*F35</f>
        <v>38.41463414634147</v>
      </c>
      <c r="G36" s="84">
        <f>G34*G35</f>
        <v>42.804878048780488</v>
      </c>
      <c r="H36" s="84">
        <f>H34*H35</f>
        <v>143.78048780487808</v>
      </c>
      <c r="I36" s="839">
        <f>I34*I35</f>
        <v>105.75</v>
      </c>
      <c r="J36" s="872"/>
      <c r="K36" s="2"/>
      <c r="AI36" s="2"/>
    </row>
    <row r="37" spans="1:35" ht="14.25" customHeight="1" x14ac:dyDescent="0.3">
      <c r="A37" s="2"/>
      <c r="B37" s="10"/>
      <c r="C37" s="126" t="s">
        <v>588</v>
      </c>
      <c r="D37" s="80" t="s">
        <v>460</v>
      </c>
      <c r="E37" s="154">
        <f>E30+E33+E36</f>
        <v>307.36423508399844</v>
      </c>
      <c r="F37" s="154">
        <f>F30+F33+F36</f>
        <v>195.04877602277168</v>
      </c>
      <c r="G37" s="154">
        <f>G30+G33+G36</f>
        <v>238.55901992521069</v>
      </c>
      <c r="H37" s="154">
        <f>H30+H33+H36</f>
        <v>340.83573723279574</v>
      </c>
      <c r="I37" s="154">
        <f>I30+I33+I36</f>
        <v>277.26499999999999</v>
      </c>
      <c r="K37" s="2"/>
      <c r="AI37" s="2"/>
    </row>
    <row r="38" spans="1:35" ht="14.25" customHeight="1" x14ac:dyDescent="0.3">
      <c r="A38" s="2"/>
      <c r="B38" s="10"/>
      <c r="C38" s="32" t="s">
        <v>516</v>
      </c>
      <c r="D38" s="89" t="s">
        <v>465</v>
      </c>
      <c r="E38" s="534">
        <f>'Arable Inputs'!D$47</f>
        <v>260</v>
      </c>
      <c r="F38" s="534">
        <f>'Arable Inputs'!E$47</f>
        <v>135</v>
      </c>
      <c r="G38" s="534">
        <f>'Arable Inputs'!F$47</f>
        <v>230</v>
      </c>
      <c r="H38" s="534">
        <f>'Arable Inputs'!G$47</f>
        <v>246</v>
      </c>
      <c r="I38" s="534">
        <f>'Arable Inputs'!H$47</f>
        <v>85</v>
      </c>
      <c r="K38" s="2"/>
      <c r="AI38" s="2"/>
    </row>
    <row r="39" spans="1:35" ht="14.25" customHeight="1" x14ac:dyDescent="0.3">
      <c r="A39" s="2"/>
      <c r="B39" s="10"/>
      <c r="C39" s="126" t="s">
        <v>14</v>
      </c>
      <c r="D39" s="80" t="s">
        <v>460</v>
      </c>
      <c r="E39" s="84">
        <f>E38</f>
        <v>260</v>
      </c>
      <c r="F39" s="84">
        <f>F38</f>
        <v>135</v>
      </c>
      <c r="G39" s="84">
        <f>G38</f>
        <v>230</v>
      </c>
      <c r="H39" s="84">
        <f>H38</f>
        <v>246</v>
      </c>
      <c r="I39" s="84">
        <f>I38</f>
        <v>85</v>
      </c>
      <c r="K39" s="2"/>
      <c r="AI39" s="2"/>
    </row>
    <row r="40" spans="1:35" ht="14.25" customHeight="1" x14ac:dyDescent="0.3">
      <c r="A40" s="2"/>
      <c r="B40" s="10"/>
      <c r="C40" s="32" t="s">
        <v>0</v>
      </c>
      <c r="D40" s="79" t="s">
        <v>462</v>
      </c>
      <c r="E40" s="534">
        <f>'Arable Inputs'!D$50</f>
        <v>3.5</v>
      </c>
      <c r="F40" s="534">
        <f>'Arable Inputs'!E$50</f>
        <v>3.5</v>
      </c>
      <c r="G40" s="534">
        <f>'Arable Inputs'!F$50</f>
        <v>3.5</v>
      </c>
      <c r="H40" s="523"/>
      <c r="I40" s="454"/>
      <c r="K40" s="2"/>
      <c r="AI40" s="2"/>
    </row>
    <row r="41" spans="1:35" ht="14.25" customHeight="1" x14ac:dyDescent="0.3">
      <c r="A41" s="2"/>
      <c r="B41" s="16"/>
      <c r="C41" s="33" t="s">
        <v>21</v>
      </c>
      <c r="D41" s="127" t="s">
        <v>92</v>
      </c>
      <c r="E41" s="527">
        <f>$E$14</f>
        <v>3.9</v>
      </c>
      <c r="F41" s="527">
        <f>$F$14</f>
        <v>3.5</v>
      </c>
      <c r="G41" s="527">
        <f>$G$14</f>
        <v>2.6</v>
      </c>
      <c r="H41" s="527"/>
      <c r="I41" s="527"/>
      <c r="K41" s="2"/>
      <c r="AI41" s="2"/>
    </row>
    <row r="42" spans="1:35" ht="14.25" customHeight="1" x14ac:dyDescent="0.3">
      <c r="A42" s="2"/>
      <c r="B42" s="16"/>
      <c r="C42" s="28" t="s">
        <v>14</v>
      </c>
      <c r="D42" s="89" t="s">
        <v>460</v>
      </c>
      <c r="E42" s="525">
        <f>E40*E41</f>
        <v>13.65</v>
      </c>
      <c r="F42" s="525">
        <f>F40*F41</f>
        <v>12.25</v>
      </c>
      <c r="G42" s="525">
        <f>G40*G41</f>
        <v>9.1</v>
      </c>
      <c r="H42" s="525"/>
      <c r="I42" s="536"/>
      <c r="K42" s="2"/>
      <c r="AI42" s="2"/>
    </row>
    <row r="43" spans="1:35" ht="14.25" customHeight="1" x14ac:dyDescent="0.3">
      <c r="A43" s="2"/>
      <c r="B43" s="178" t="s">
        <v>238</v>
      </c>
      <c r="C43" s="81" t="s">
        <v>2</v>
      </c>
      <c r="D43" s="83" t="s">
        <v>462</v>
      </c>
      <c r="E43" s="305">
        <f>E45/E13</f>
        <v>81.310816373817985</v>
      </c>
      <c r="F43" s="305">
        <f>F45/F13</f>
        <v>64.491869209963767</v>
      </c>
      <c r="G43" s="305">
        <f>G45/G13</f>
        <v>152.18829140720305</v>
      </c>
      <c r="H43" s="305">
        <f>H45/H13</f>
        <v>10.177381246574305</v>
      </c>
      <c r="I43" s="537">
        <f>I45/I13</f>
        <v>44.042916666666663</v>
      </c>
      <c r="K43" s="2"/>
      <c r="AI43" s="2"/>
    </row>
    <row r="44" spans="1:35" ht="14.25" customHeight="1" x14ac:dyDescent="0.3">
      <c r="A44" s="2"/>
      <c r="B44" s="16"/>
      <c r="C44" s="32" t="s">
        <v>3</v>
      </c>
      <c r="D44" s="80" t="s">
        <v>462</v>
      </c>
      <c r="E44" s="306">
        <f>IF(E14=0,0,E46/E14)</f>
        <v>3.5</v>
      </c>
      <c r="F44" s="306">
        <f>IF(F14=0,0,F46/F14)</f>
        <v>3.5</v>
      </c>
      <c r="G44" s="306">
        <f>IF(G14=0,0,G46/G14)</f>
        <v>3.4999999999999996</v>
      </c>
      <c r="H44" s="306"/>
      <c r="I44" s="538"/>
      <c r="K44" s="2"/>
      <c r="AI44" s="2"/>
    </row>
    <row r="45" spans="1:35" ht="14.25" customHeight="1" x14ac:dyDescent="0.3">
      <c r="A45" s="2"/>
      <c r="B45" s="7"/>
      <c r="C45" s="175" t="s">
        <v>2</v>
      </c>
      <c r="D45" s="18" t="s">
        <v>460</v>
      </c>
      <c r="E45" s="109">
        <f>E27+E37+E39+E42</f>
        <v>670.81423508399837</v>
      </c>
      <c r="F45" s="109">
        <f>F27+F37+F39+F42</f>
        <v>406.29877602277168</v>
      </c>
      <c r="G45" s="109">
        <f>G27+G37+G39+G42</f>
        <v>532.65901992521071</v>
      </c>
      <c r="H45" s="109">
        <f>H27+H37+H39</f>
        <v>793.83573723279574</v>
      </c>
      <c r="I45" s="539">
        <f>I27+I37+I39</f>
        <v>528.51499999999999</v>
      </c>
      <c r="K45" s="2"/>
      <c r="AI45" s="2"/>
    </row>
    <row r="46" spans="1:35" ht="14.25" customHeight="1" x14ac:dyDescent="0.3">
      <c r="A46" s="2"/>
      <c r="B46" s="10"/>
      <c r="C46" s="95" t="s">
        <v>3</v>
      </c>
      <c r="D46" s="80" t="s">
        <v>460</v>
      </c>
      <c r="E46" s="110">
        <f>E42</f>
        <v>13.65</v>
      </c>
      <c r="F46" s="110">
        <f>F42</f>
        <v>12.25</v>
      </c>
      <c r="G46" s="110">
        <f>G42</f>
        <v>9.1</v>
      </c>
      <c r="H46" s="110"/>
      <c r="I46" s="540"/>
      <c r="K46" s="2"/>
      <c r="AI46" s="2"/>
    </row>
    <row r="47" spans="1:35" ht="14.25" customHeight="1" x14ac:dyDescent="0.3">
      <c r="A47" s="2"/>
      <c r="B47" s="77"/>
      <c r="C47" s="303" t="s">
        <v>12</v>
      </c>
      <c r="D47" s="89" t="s">
        <v>460</v>
      </c>
      <c r="E47" s="111">
        <f>E45+E46</f>
        <v>684.46423508399835</v>
      </c>
      <c r="F47" s="111">
        <f>F45+F46</f>
        <v>418.54877602277168</v>
      </c>
      <c r="G47" s="111">
        <f>G45+G46</f>
        <v>541.75901992521074</v>
      </c>
      <c r="H47" s="111">
        <f>H45+H46</f>
        <v>793.83573723279574</v>
      </c>
      <c r="I47" s="541">
        <f>I45+I46</f>
        <v>528.51499999999999</v>
      </c>
      <c r="K47" s="2"/>
      <c r="AI47" s="2"/>
    </row>
    <row r="48" spans="1:35" ht="14.25" customHeight="1" x14ac:dyDescent="0.3">
      <c r="A48" s="2"/>
      <c r="B48" s="365"/>
      <c r="C48" s="365"/>
      <c r="D48" s="365"/>
      <c r="E48" s="365"/>
      <c r="F48" s="365"/>
      <c r="G48" s="365"/>
      <c r="H48" s="365"/>
      <c r="I48" s="365"/>
      <c r="K48" s="2"/>
      <c r="AI48" s="2"/>
    </row>
    <row r="49" spans="1:35" ht="14.25" customHeight="1" x14ac:dyDescent="0.3">
      <c r="A49" s="2"/>
      <c r="B49" s="365"/>
      <c r="C49" s="365"/>
      <c r="D49" s="365"/>
      <c r="E49" s="365"/>
      <c r="F49" s="365"/>
      <c r="G49" s="365"/>
      <c r="H49" s="365"/>
      <c r="I49" s="365"/>
      <c r="K49" s="2"/>
      <c r="AI49" s="2"/>
    </row>
    <row r="50" spans="1:35" ht="14.25" customHeight="1" x14ac:dyDescent="0.3">
      <c r="A50" s="2"/>
      <c r="B50" s="15" t="s">
        <v>234</v>
      </c>
      <c r="C50" s="81" t="s">
        <v>32</v>
      </c>
      <c r="D50" s="83" t="s">
        <v>460</v>
      </c>
      <c r="E50" s="542">
        <f>'Arable fixed costs'!F171</f>
        <v>118.83999999999999</v>
      </c>
      <c r="F50" s="542">
        <f>'Arable fixed costs'!G171</f>
        <v>118.83999999999999</v>
      </c>
      <c r="G50" s="542">
        <f>'Arable fixed costs'!H171</f>
        <v>46.21</v>
      </c>
      <c r="H50" s="542">
        <f>'Arable fixed costs'!I171</f>
        <v>111.53999999999999</v>
      </c>
      <c r="I50" s="542">
        <f>'Arable fixed costs'!K171</f>
        <v>118.83999999999999</v>
      </c>
      <c r="K50" s="2"/>
      <c r="AI50" s="2"/>
    </row>
    <row r="51" spans="1:35" ht="14.25" customHeight="1" x14ac:dyDescent="0.3">
      <c r="A51" s="2"/>
      <c r="B51" s="9"/>
      <c r="C51" s="32" t="s">
        <v>33</v>
      </c>
      <c r="D51" s="79" t="s">
        <v>460</v>
      </c>
      <c r="E51" s="543">
        <f>'Arable fixed costs'!F172</f>
        <v>64.28</v>
      </c>
      <c r="F51" s="543">
        <f>'Arable fixed costs'!G172</f>
        <v>32.14</v>
      </c>
      <c r="G51" s="543">
        <f>'Arable fixed costs'!H172</f>
        <v>16.07</v>
      </c>
      <c r="H51" s="543">
        <f>'Arable fixed costs'!I172</f>
        <v>16.07</v>
      </c>
      <c r="I51" s="543">
        <f>'Arable fixed costs'!K172</f>
        <v>64.28</v>
      </c>
      <c r="K51" s="2"/>
      <c r="AI51" s="2"/>
    </row>
    <row r="52" spans="1:35" ht="14.25" customHeight="1" x14ac:dyDescent="0.3">
      <c r="A52" s="2"/>
      <c r="B52" s="9"/>
      <c r="C52" s="32" t="s">
        <v>132</v>
      </c>
      <c r="D52" s="79" t="s">
        <v>460</v>
      </c>
      <c r="E52" s="543">
        <f>'Arable fixed costs'!F173</f>
        <v>0</v>
      </c>
      <c r="F52" s="543">
        <f>'Arable fixed costs'!G173</f>
        <v>0</v>
      </c>
      <c r="G52" s="543">
        <f>'Arable fixed costs'!H173</f>
        <v>0</v>
      </c>
      <c r="H52" s="543">
        <f>'Arable fixed costs'!I173</f>
        <v>0</v>
      </c>
      <c r="I52" s="543">
        <f>'Arable fixed costs'!K173</f>
        <v>0</v>
      </c>
      <c r="K52" s="2"/>
      <c r="AI52" s="2"/>
    </row>
    <row r="53" spans="1:35" ht="14.25" customHeight="1" x14ac:dyDescent="0.3">
      <c r="A53" s="2"/>
      <c r="B53" s="10"/>
      <c r="C53" s="32" t="s">
        <v>34</v>
      </c>
      <c r="D53" s="79" t="s">
        <v>460</v>
      </c>
      <c r="E53" s="543">
        <f>'Arable fixed costs'!F174</f>
        <v>27.04</v>
      </c>
      <c r="F53" s="543">
        <f>'Arable fixed costs'!G174</f>
        <v>27.04</v>
      </c>
      <c r="G53" s="543">
        <f>'Arable fixed costs'!H174</f>
        <v>57.48</v>
      </c>
      <c r="H53" s="543">
        <f>'Arable fixed costs'!I174</f>
        <v>57.16</v>
      </c>
      <c r="I53" s="543">
        <f>'Arable fixed costs'!K174</f>
        <v>45</v>
      </c>
      <c r="K53" s="2"/>
      <c r="AI53" s="2"/>
    </row>
    <row r="54" spans="1:35" ht="14.25" customHeight="1" x14ac:dyDescent="0.3">
      <c r="A54" s="2"/>
      <c r="B54" s="10"/>
      <c r="C54" s="33" t="s">
        <v>35</v>
      </c>
      <c r="D54" s="79" t="s">
        <v>460</v>
      </c>
      <c r="E54" s="543">
        <f>'Arable fixed costs'!F175</f>
        <v>60.09</v>
      </c>
      <c r="F54" s="543">
        <f>'Arable fixed costs'!G175</f>
        <v>39.93</v>
      </c>
      <c r="G54" s="543">
        <f>'Arable fixed costs'!H175</f>
        <v>20.16</v>
      </c>
      <c r="H54" s="543">
        <f>'Arable fixed costs'!I175</f>
        <v>30.240000000000002</v>
      </c>
      <c r="I54" s="543">
        <f>'Arable fixed costs'!K175</f>
        <v>30.240000000000002</v>
      </c>
      <c r="K54" s="2"/>
      <c r="AI54" s="2"/>
    </row>
    <row r="55" spans="1:35" ht="14.25" customHeight="1" x14ac:dyDescent="0.3">
      <c r="A55" s="2"/>
      <c r="B55" s="10"/>
      <c r="C55" s="33" t="s">
        <v>182</v>
      </c>
      <c r="D55" s="79" t="s">
        <v>460</v>
      </c>
      <c r="E55" s="543">
        <f>'Arable fixed costs'!F176</f>
        <v>232.62</v>
      </c>
      <c r="F55" s="543">
        <f>'Arable fixed costs'!G176</f>
        <v>232.62</v>
      </c>
      <c r="G55" s="543">
        <f>'Arable fixed costs'!H176</f>
        <v>125.72999999999999</v>
      </c>
      <c r="H55" s="543">
        <f>'Arable fixed costs'!I176</f>
        <v>277.86</v>
      </c>
      <c r="I55" s="543">
        <f>'Arable fixed costs'!K176</f>
        <v>175</v>
      </c>
      <c r="K55" s="2"/>
      <c r="AI55" s="2"/>
    </row>
    <row r="56" spans="1:35" ht="14.25" customHeight="1" x14ac:dyDescent="0.3">
      <c r="A56" s="2"/>
      <c r="B56" s="10"/>
      <c r="C56" s="33" t="s">
        <v>209</v>
      </c>
      <c r="D56" s="79" t="s">
        <v>460</v>
      </c>
      <c r="E56" s="543">
        <f>'Arable fixed costs'!F177</f>
        <v>0</v>
      </c>
      <c r="F56" s="543">
        <f>'Arable fixed costs'!G177</f>
        <v>0</v>
      </c>
      <c r="G56" s="543">
        <f>'Arable fixed costs'!H177</f>
        <v>0</v>
      </c>
      <c r="H56" s="543">
        <f>'Arable fixed costs'!I177</f>
        <v>0</v>
      </c>
      <c r="I56" s="543">
        <f>'Arable fixed costs'!K177</f>
        <v>0</v>
      </c>
      <c r="K56" s="2"/>
      <c r="AI56" s="2"/>
    </row>
    <row r="57" spans="1:35" ht="14.25" customHeight="1" x14ac:dyDescent="0.3">
      <c r="A57" s="2"/>
      <c r="B57" s="10"/>
      <c r="C57" s="32" t="s">
        <v>155</v>
      </c>
      <c r="D57" s="79" t="s">
        <v>460</v>
      </c>
      <c r="E57" s="543">
        <f>'Arable fixed costs'!F178</f>
        <v>58.13</v>
      </c>
      <c r="F57" s="543">
        <f>'Arable fixed costs'!G178</f>
        <v>58.13</v>
      </c>
      <c r="G57" s="543">
        <f>'Arable fixed costs'!H178</f>
        <v>52.344285714285718</v>
      </c>
      <c r="H57" s="543">
        <f>'Arable fixed costs'!I178</f>
        <v>0</v>
      </c>
      <c r="I57" s="543">
        <f>'Arable fixed costs'!K178</f>
        <v>0</v>
      </c>
      <c r="K57" s="2"/>
      <c r="AI57" s="2"/>
    </row>
    <row r="58" spans="1:35" ht="14.25" customHeight="1" x14ac:dyDescent="0.3">
      <c r="A58" s="2"/>
      <c r="B58" s="10"/>
      <c r="C58" s="32" t="s">
        <v>99</v>
      </c>
      <c r="D58" s="79" t="s">
        <v>460</v>
      </c>
      <c r="E58" s="543">
        <f>'Arable fixed costs'!F179</f>
        <v>0</v>
      </c>
      <c r="F58" s="543">
        <f>'Arable fixed costs'!G179</f>
        <v>0</v>
      </c>
      <c r="G58" s="543">
        <f>'Arable fixed costs'!H179</f>
        <v>7.8000000000000007</v>
      </c>
      <c r="H58" s="543">
        <f>'Arable fixed costs'!I179</f>
        <v>0</v>
      </c>
      <c r="I58" s="543">
        <f>'Arable fixed costs'!K179</f>
        <v>0</v>
      </c>
      <c r="K58" s="2"/>
      <c r="AI58" s="2"/>
    </row>
    <row r="59" spans="1:35" ht="14.25" customHeight="1" x14ac:dyDescent="0.3">
      <c r="A59" s="2"/>
      <c r="B59" s="10"/>
      <c r="C59" s="82" t="s">
        <v>210</v>
      </c>
      <c r="D59" s="80" t="s">
        <v>460</v>
      </c>
      <c r="E59" s="544">
        <f>'Arable fixed costs'!F180</f>
        <v>0</v>
      </c>
      <c r="F59" s="544">
        <f>'Arable fixed costs'!G180</f>
        <v>0</v>
      </c>
      <c r="G59" s="544">
        <f>'Arable fixed costs'!H180</f>
        <v>0</v>
      </c>
      <c r="H59" s="544">
        <f>'Arable fixed costs'!I180</f>
        <v>0</v>
      </c>
      <c r="I59" s="544">
        <f>'Arable fixed costs'!K180</f>
        <v>0</v>
      </c>
      <c r="K59" s="2"/>
      <c r="AI59" s="2"/>
    </row>
    <row r="60" spans="1:35" ht="14.25" customHeight="1" x14ac:dyDescent="0.3">
      <c r="A60" s="2"/>
      <c r="B60" s="410"/>
      <c r="C60" s="81" t="s">
        <v>23</v>
      </c>
      <c r="D60" s="18" t="s">
        <v>460</v>
      </c>
      <c r="E60" s="542">
        <f>'Arable fixed costs'!F183</f>
        <v>502.87</v>
      </c>
      <c r="F60" s="542">
        <f>'Arable fixed costs'!G183</f>
        <v>450.57</v>
      </c>
      <c r="G60" s="542">
        <f>'Arable fixed costs'!H183</f>
        <v>273.45</v>
      </c>
      <c r="H60" s="542">
        <f>'Arable fixed costs'!I183</f>
        <v>492.87</v>
      </c>
      <c r="I60" s="542">
        <f>'Arable fixed costs'!K183</f>
        <v>433.36</v>
      </c>
      <c r="K60" s="2"/>
      <c r="AI60" s="2"/>
    </row>
    <row r="61" spans="1:35" ht="14.25" customHeight="1" x14ac:dyDescent="0.3">
      <c r="A61" s="2"/>
      <c r="B61" s="366"/>
      <c r="C61" s="82" t="s">
        <v>24</v>
      </c>
      <c r="D61" s="80" t="s">
        <v>460</v>
      </c>
      <c r="E61" s="544">
        <f>'Arable fixed costs'!F184</f>
        <v>58.13</v>
      </c>
      <c r="F61" s="544">
        <f>'Arable fixed costs'!G184</f>
        <v>58.13</v>
      </c>
      <c r="G61" s="544">
        <f>'Arable fixed costs'!H184</f>
        <v>52.344285714285718</v>
      </c>
      <c r="H61" s="545"/>
      <c r="I61" s="545"/>
      <c r="K61" s="2"/>
      <c r="P61" s="21"/>
      <c r="Q61" s="21"/>
      <c r="R61" s="21"/>
      <c r="S61" s="101"/>
      <c r="AI61" s="2"/>
    </row>
    <row r="62" spans="1:35" ht="14.25" customHeight="1" x14ac:dyDescent="0.3">
      <c r="A62" s="2"/>
      <c r="B62" s="546"/>
      <c r="C62" s="120" t="s">
        <v>235</v>
      </c>
      <c r="D62" s="118" t="s">
        <v>460</v>
      </c>
      <c r="E62" s="547">
        <f>SUM(E60:E61)</f>
        <v>561</v>
      </c>
      <c r="F62" s="547">
        <f>SUM(F60:F61)</f>
        <v>508.7</v>
      </c>
      <c r="G62" s="547">
        <f>SUM(G60:G61)</f>
        <v>325.79428571428571</v>
      </c>
      <c r="H62" s="547">
        <f>SUM(H60:H61)</f>
        <v>492.87</v>
      </c>
      <c r="I62" s="547">
        <f>SUM(I60:I61)</f>
        <v>433.36</v>
      </c>
      <c r="K62" s="2"/>
      <c r="AI62" s="2"/>
    </row>
    <row r="63" spans="1:35" ht="14.25" customHeight="1" x14ac:dyDescent="0.3">
      <c r="A63" s="2"/>
      <c r="B63" s="15" t="s">
        <v>236</v>
      </c>
      <c r="C63" s="82" t="s">
        <v>25</v>
      </c>
      <c r="D63" s="23" t="s">
        <v>466</v>
      </c>
      <c r="E63" s="548">
        <f>'Arable Inputs'!$D$31</f>
        <v>12.8</v>
      </c>
      <c r="F63" s="548">
        <f>'Arable Inputs'!$D$31</f>
        <v>12.8</v>
      </c>
      <c r="G63" s="548">
        <f>'Arable Inputs'!$D$31</f>
        <v>12.8</v>
      </c>
      <c r="H63" s="548">
        <f>'Arable Inputs'!$D$31</f>
        <v>12.8</v>
      </c>
      <c r="I63" s="548">
        <f>'Arable Inputs'!$D$31</f>
        <v>12.8</v>
      </c>
      <c r="K63" s="2"/>
      <c r="AI63" s="2"/>
    </row>
    <row r="64" spans="1:35" ht="14.25" customHeight="1" x14ac:dyDescent="0.3">
      <c r="A64" s="2"/>
      <c r="B64" s="410"/>
      <c r="C64" s="33" t="s">
        <v>26</v>
      </c>
      <c r="D64" s="30" t="s">
        <v>27</v>
      </c>
      <c r="E64" s="543">
        <f>'Arable fixed costs'!F186</f>
        <v>17.100000000000001</v>
      </c>
      <c r="F64" s="543">
        <f>'Arable fixed costs'!G186</f>
        <v>15.899999999999999</v>
      </c>
      <c r="G64" s="543">
        <f>'Arable fixed costs'!H186</f>
        <v>18.3</v>
      </c>
      <c r="H64" s="543">
        <f>'Arable fixed costs'!I186</f>
        <v>27.199999999999996</v>
      </c>
      <c r="I64" s="543">
        <f>'Arable fixed costs'!K186</f>
        <v>9.3000000000000007</v>
      </c>
      <c r="K64" s="2"/>
      <c r="AI64" s="2"/>
    </row>
    <row r="65" spans="1:65" ht="14.25" customHeight="1" x14ac:dyDescent="0.3">
      <c r="A65" s="2"/>
      <c r="B65" s="410"/>
      <c r="C65" s="33" t="s">
        <v>28</v>
      </c>
      <c r="D65" s="30" t="s">
        <v>27</v>
      </c>
      <c r="E65" s="543">
        <f>'Arable fixed costs'!F187</f>
        <v>4.8</v>
      </c>
      <c r="F65" s="543">
        <f>'Arable fixed costs'!G187</f>
        <v>4.8</v>
      </c>
      <c r="G65" s="543">
        <f>'Arable fixed costs'!H187</f>
        <v>4.8</v>
      </c>
      <c r="H65" s="506"/>
      <c r="I65" s="506"/>
      <c r="K65" s="2"/>
      <c r="AI65" s="2"/>
    </row>
    <row r="66" spans="1:65" ht="14.25" customHeight="1" x14ac:dyDescent="0.3">
      <c r="A66" s="2"/>
      <c r="B66" s="410"/>
      <c r="C66" s="81" t="s">
        <v>237</v>
      </c>
      <c r="D66" s="18" t="s">
        <v>460</v>
      </c>
      <c r="E66" s="549">
        <f>E64*E63</f>
        <v>218.88000000000002</v>
      </c>
      <c r="F66" s="549">
        <f>F64*F63</f>
        <v>203.51999999999998</v>
      </c>
      <c r="G66" s="549">
        <f>G64*G63</f>
        <v>234.24</v>
      </c>
      <c r="H66" s="549">
        <f>H64*H63</f>
        <v>348.15999999999997</v>
      </c>
      <c r="I66" s="549">
        <f>I64*I63</f>
        <v>119.04000000000002</v>
      </c>
      <c r="K66" s="2"/>
      <c r="AI66" s="2"/>
    </row>
    <row r="67" spans="1:65" ht="14.25" customHeight="1" x14ac:dyDescent="0.3">
      <c r="A67" s="2"/>
      <c r="B67" s="410"/>
      <c r="C67" s="32" t="s">
        <v>239</v>
      </c>
      <c r="D67" s="80" t="s">
        <v>460</v>
      </c>
      <c r="E67" s="550">
        <f>E65*E63</f>
        <v>61.44</v>
      </c>
      <c r="F67" s="550">
        <f>F65*F63</f>
        <v>61.44</v>
      </c>
      <c r="G67" s="550">
        <f>G65*G63</f>
        <v>61.44</v>
      </c>
      <c r="H67" s="550">
        <f>H65*H63</f>
        <v>0</v>
      </c>
      <c r="I67" s="550">
        <f>I65*I63</f>
        <v>0</v>
      </c>
      <c r="K67" s="2"/>
      <c r="AI67" s="2"/>
    </row>
    <row r="68" spans="1:65" x14ac:dyDescent="0.3">
      <c r="A68" s="2"/>
      <c r="B68" s="551"/>
      <c r="C68" s="121" t="s">
        <v>235</v>
      </c>
      <c r="D68" s="118" t="s">
        <v>460</v>
      </c>
      <c r="E68" s="552">
        <f>E66+E67</f>
        <v>280.32000000000005</v>
      </c>
      <c r="F68" s="552">
        <f>F66+F67</f>
        <v>264.95999999999998</v>
      </c>
      <c r="G68" s="552">
        <f>G66+G67</f>
        <v>295.68</v>
      </c>
      <c r="H68" s="552">
        <f>H66+H67</f>
        <v>348.15999999999997</v>
      </c>
      <c r="I68" s="552">
        <f>I66+I67</f>
        <v>119.04000000000002</v>
      </c>
      <c r="K68" s="2"/>
      <c r="AI68" s="2"/>
    </row>
    <row r="69" spans="1:65" x14ac:dyDescent="0.3">
      <c r="A69" s="2"/>
      <c r="B69" s="15" t="s">
        <v>240</v>
      </c>
      <c r="C69" s="33" t="s">
        <v>220</v>
      </c>
      <c r="D69" s="118" t="s">
        <v>460</v>
      </c>
      <c r="E69" s="553">
        <f>'Arable Inputs'!$D$11</f>
        <v>0</v>
      </c>
      <c r="F69" s="553">
        <f>'Arable Inputs'!$D$11</f>
        <v>0</v>
      </c>
      <c r="G69" s="553">
        <f>'Arable Inputs'!$D$11</f>
        <v>0</v>
      </c>
      <c r="H69" s="553">
        <f>'Arable Inputs'!$D$11</f>
        <v>0</v>
      </c>
      <c r="I69" s="553">
        <f>'Arable Inputs'!$D$11</f>
        <v>0</v>
      </c>
      <c r="K69" s="2"/>
      <c r="AI69" s="2"/>
    </row>
    <row r="70" spans="1:65" x14ac:dyDescent="0.3">
      <c r="A70" s="2"/>
      <c r="B70" s="410"/>
      <c r="C70" s="37" t="s">
        <v>221</v>
      </c>
      <c r="D70" s="118" t="s">
        <v>460</v>
      </c>
      <c r="E70" s="553">
        <f>'Arable Inputs'!$D$12</f>
        <v>0</v>
      </c>
      <c r="F70" s="553">
        <f>'Arable Inputs'!$D$12</f>
        <v>0</v>
      </c>
      <c r="G70" s="553">
        <f>'Arable Inputs'!$D$12</f>
        <v>0</v>
      </c>
      <c r="H70" s="553">
        <f>'Arable Inputs'!$D$12</f>
        <v>0</v>
      </c>
      <c r="I70" s="553">
        <f>'Arable Inputs'!$D$12</f>
        <v>0</v>
      </c>
      <c r="K70" s="2"/>
      <c r="AI70" s="2"/>
    </row>
    <row r="71" spans="1:65" x14ac:dyDescent="0.3">
      <c r="A71" s="2"/>
      <c r="B71" s="551"/>
      <c r="C71" s="121" t="s">
        <v>235</v>
      </c>
      <c r="D71" s="118" t="s">
        <v>460</v>
      </c>
      <c r="E71" s="554">
        <f>E69+E70</f>
        <v>0</v>
      </c>
      <c r="F71" s="554">
        <f>F69+F70</f>
        <v>0</v>
      </c>
      <c r="G71" s="554">
        <f>G69+G70</f>
        <v>0</v>
      </c>
      <c r="H71" s="554">
        <f>H69+H70</f>
        <v>0</v>
      </c>
      <c r="I71" s="554">
        <f>I69+I70</f>
        <v>0</v>
      </c>
      <c r="K71" s="2"/>
      <c r="AI71" s="2"/>
      <c r="AJ71" s="25"/>
      <c r="AK71" s="25"/>
      <c r="AL71" s="25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x14ac:dyDescent="0.3">
      <c r="A72" s="2"/>
      <c r="B72" s="15" t="s">
        <v>241</v>
      </c>
      <c r="C72" s="307" t="s">
        <v>2</v>
      </c>
      <c r="D72" s="4" t="s">
        <v>462</v>
      </c>
      <c r="E72" s="166">
        <f>E74/E13</f>
        <v>87.484848484848484</v>
      </c>
      <c r="F72" s="166">
        <f>F74/F13</f>
        <v>103.82380952380952</v>
      </c>
      <c r="G72" s="166">
        <f>G74/G13</f>
        <v>145.05428571428573</v>
      </c>
      <c r="H72" s="166">
        <f>H74/H13</f>
        <v>10.782435897435898</v>
      </c>
      <c r="I72" s="555">
        <f>I74/I13</f>
        <v>46.033333333333339</v>
      </c>
      <c r="K72" s="2"/>
      <c r="AJ72" s="39"/>
      <c r="AK72" s="39"/>
      <c r="AL72" s="39"/>
    </row>
    <row r="73" spans="1:65" x14ac:dyDescent="0.3">
      <c r="A73" s="2"/>
      <c r="B73" s="410"/>
      <c r="C73" s="116" t="s">
        <v>3</v>
      </c>
      <c r="D73" s="5" t="s">
        <v>462</v>
      </c>
      <c r="E73" s="153">
        <f>E75/E14</f>
        <v>30.658974358974358</v>
      </c>
      <c r="F73" s="153">
        <f>F75/F14</f>
        <v>34.162857142857142</v>
      </c>
      <c r="G73" s="153">
        <f>G75/G14</f>
        <v>43.763186813186813</v>
      </c>
      <c r="H73" s="153"/>
      <c r="I73" s="535"/>
      <c r="K73" s="2"/>
      <c r="AJ73" s="39"/>
      <c r="AK73" s="39"/>
      <c r="AL73" s="39"/>
    </row>
    <row r="74" spans="1:65" x14ac:dyDescent="0.3">
      <c r="A74" s="2"/>
      <c r="B74" s="410"/>
      <c r="C74" s="124" t="s">
        <v>2</v>
      </c>
      <c r="D74" s="117" t="s">
        <v>460</v>
      </c>
      <c r="E74" s="99">
        <f>E60+E66+IF(E14&gt;0,E71/2,E71)</f>
        <v>721.75</v>
      </c>
      <c r="F74" s="99">
        <f>F60+F66+IF(F14&gt;0,F71/2,F71)</f>
        <v>654.08999999999992</v>
      </c>
      <c r="G74" s="99">
        <f>G60+G66+IF(G14&gt;0,G71/2,G71)</f>
        <v>507.69</v>
      </c>
      <c r="H74" s="99">
        <f>H60+H66+IF(H14&gt;0,H71/2,H71)</f>
        <v>841.03</v>
      </c>
      <c r="I74" s="99">
        <f>I60+I66+IF(I14&gt;0,I71/2,I71)</f>
        <v>552.40000000000009</v>
      </c>
      <c r="K74" s="2"/>
      <c r="AJ74" s="39"/>
      <c r="AK74" s="39"/>
      <c r="AL74" s="39"/>
    </row>
    <row r="75" spans="1:65" x14ac:dyDescent="0.3">
      <c r="A75" s="2"/>
      <c r="B75" s="410"/>
      <c r="C75" s="123" t="s">
        <v>3</v>
      </c>
      <c r="D75" s="118" t="s">
        <v>460</v>
      </c>
      <c r="E75" s="100">
        <f>E61+E67+IF(E14&gt;0,E71/2,0)</f>
        <v>119.57</v>
      </c>
      <c r="F75" s="100">
        <f>F61+F67+IF(F14&gt;0,F71/2,0)</f>
        <v>119.57</v>
      </c>
      <c r="G75" s="100">
        <f>G61+G67+IF(G14&gt;0,G71/2,0)</f>
        <v>113.78428571428572</v>
      </c>
      <c r="H75" s="100">
        <f>H61+H67+IF(H14&gt;0,H71/2,0)</f>
        <v>0</v>
      </c>
      <c r="I75" s="100">
        <f>I61+I67+IF(I14&gt;0,I71/2,0)</f>
        <v>0</v>
      </c>
      <c r="K75" s="2"/>
      <c r="AJ75" s="39"/>
      <c r="AK75" s="39"/>
      <c r="AL75" s="39"/>
    </row>
    <row r="76" spans="1:65" x14ac:dyDescent="0.3">
      <c r="A76" s="2"/>
      <c r="B76" s="551"/>
      <c r="C76" s="122" t="s">
        <v>12</v>
      </c>
      <c r="D76" s="118" t="s">
        <v>460</v>
      </c>
      <c r="E76" s="100">
        <f>E74+E75</f>
        <v>841.31999999999994</v>
      </c>
      <c r="F76" s="100">
        <f>F74+F75</f>
        <v>773.65999999999985</v>
      </c>
      <c r="G76" s="100">
        <f>G74+G75</f>
        <v>621.47428571428577</v>
      </c>
      <c r="H76" s="100">
        <f>H74+H75</f>
        <v>841.03</v>
      </c>
      <c r="I76" s="100">
        <f>I74+I75</f>
        <v>552.40000000000009</v>
      </c>
      <c r="K76" s="2"/>
      <c r="AJ76" s="39"/>
      <c r="AK76" s="39"/>
      <c r="AL76" s="39"/>
    </row>
    <row r="77" spans="1:65" x14ac:dyDescent="0.3">
      <c r="A77" s="2"/>
      <c r="B77" s="556"/>
      <c r="C77" s="365"/>
      <c r="D77" s="556"/>
      <c r="E77" s="119"/>
      <c r="F77" s="119"/>
      <c r="G77" s="119"/>
      <c r="H77" s="119"/>
      <c r="I77" s="119"/>
      <c r="K77" s="2"/>
      <c r="AJ77" s="39"/>
      <c r="AK77" s="39"/>
      <c r="AL77" s="39"/>
    </row>
    <row r="78" spans="1:65" x14ac:dyDescent="0.3">
      <c r="A78" s="2"/>
      <c r="B78" s="365"/>
      <c r="C78" s="365"/>
      <c r="D78" s="556"/>
      <c r="E78" s="365"/>
      <c r="F78" s="365"/>
      <c r="G78" s="365"/>
      <c r="H78" s="365"/>
      <c r="I78" s="365"/>
      <c r="K78" s="2"/>
    </row>
    <row r="79" spans="1:65" x14ac:dyDescent="0.3">
      <c r="A79" s="2"/>
      <c r="B79" s="15" t="s">
        <v>90</v>
      </c>
      <c r="C79" s="308" t="s">
        <v>2</v>
      </c>
      <c r="D79" s="4" t="s">
        <v>462</v>
      </c>
      <c r="E79" s="549">
        <f t="shared" ref="E79:I80" si="0">E72+E43</f>
        <v>168.79566485866647</v>
      </c>
      <c r="F79" s="549">
        <f t="shared" si="0"/>
        <v>168.31567873377327</v>
      </c>
      <c r="G79" s="549">
        <f t="shared" si="0"/>
        <v>297.24257712148881</v>
      </c>
      <c r="H79" s="549">
        <f t="shared" si="0"/>
        <v>20.959817144010202</v>
      </c>
      <c r="I79" s="549">
        <f t="shared" si="0"/>
        <v>90.076250000000002</v>
      </c>
      <c r="K79" s="2"/>
    </row>
    <row r="80" spans="1:65" x14ac:dyDescent="0.3">
      <c r="A80" s="2"/>
      <c r="B80" s="366"/>
      <c r="C80" s="116" t="s">
        <v>3</v>
      </c>
      <c r="D80" s="5" t="s">
        <v>462</v>
      </c>
      <c r="E80" s="557">
        <f t="shared" si="0"/>
        <v>34.158974358974362</v>
      </c>
      <c r="F80" s="557">
        <f t="shared" si="0"/>
        <v>37.662857142857142</v>
      </c>
      <c r="G80" s="557">
        <f t="shared" si="0"/>
        <v>47.263186813186813</v>
      </c>
      <c r="H80" s="557">
        <f t="shared" si="0"/>
        <v>0</v>
      </c>
      <c r="I80" s="557">
        <f t="shared" si="0"/>
        <v>0</v>
      </c>
      <c r="K80" s="2"/>
    </row>
    <row r="81" spans="1:33" x14ac:dyDescent="0.3">
      <c r="A81" s="2"/>
      <c r="B81" s="366"/>
      <c r="C81" s="124" t="s">
        <v>2</v>
      </c>
      <c r="D81" s="117" t="s">
        <v>460</v>
      </c>
      <c r="E81" s="558">
        <f t="shared" ref="E81:I83" si="1">E74+E45</f>
        <v>1392.5642350839985</v>
      </c>
      <c r="F81" s="558">
        <f t="shared" si="1"/>
        <v>1060.3887760227717</v>
      </c>
      <c r="G81" s="558">
        <f t="shared" si="1"/>
        <v>1040.3490199252108</v>
      </c>
      <c r="H81" s="558">
        <f t="shared" si="1"/>
        <v>1634.8657372327957</v>
      </c>
      <c r="I81" s="558">
        <f t="shared" si="1"/>
        <v>1080.915</v>
      </c>
      <c r="K81" s="90"/>
    </row>
    <row r="82" spans="1:33" x14ac:dyDescent="0.3">
      <c r="B82" s="366"/>
      <c r="C82" s="123" t="s">
        <v>3</v>
      </c>
      <c r="D82" s="118" t="s">
        <v>460</v>
      </c>
      <c r="E82" s="559">
        <f t="shared" si="1"/>
        <v>133.22</v>
      </c>
      <c r="F82" s="559">
        <f t="shared" si="1"/>
        <v>131.82</v>
      </c>
      <c r="G82" s="559">
        <f t="shared" si="1"/>
        <v>122.88428571428571</v>
      </c>
      <c r="H82" s="559">
        <f t="shared" si="1"/>
        <v>0</v>
      </c>
      <c r="I82" s="559">
        <f t="shared" si="1"/>
        <v>0</v>
      </c>
      <c r="K82" s="2"/>
    </row>
    <row r="83" spans="1:33" x14ac:dyDescent="0.3">
      <c r="B83" s="546"/>
      <c r="C83" s="122" t="s">
        <v>12</v>
      </c>
      <c r="D83" s="118" t="s">
        <v>460</v>
      </c>
      <c r="E83" s="559">
        <f t="shared" si="1"/>
        <v>1525.7842350839983</v>
      </c>
      <c r="F83" s="559">
        <f t="shared" si="1"/>
        <v>1192.2087760227714</v>
      </c>
      <c r="G83" s="559">
        <f t="shared" si="1"/>
        <v>1163.2333056394964</v>
      </c>
      <c r="H83" s="559">
        <f t="shared" si="1"/>
        <v>1634.8657372327957</v>
      </c>
      <c r="I83" s="559">
        <f t="shared" si="1"/>
        <v>1080.915</v>
      </c>
      <c r="K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3">
      <c r="B84" s="365"/>
      <c r="C84" s="365"/>
      <c r="D84" s="365"/>
      <c r="E84" s="365"/>
      <c r="F84" s="365"/>
      <c r="G84" s="365"/>
      <c r="H84" s="365"/>
      <c r="I84" s="365"/>
      <c r="K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3">
      <c r="B85" s="365"/>
      <c r="C85" s="365"/>
      <c r="D85" s="365"/>
      <c r="E85" s="365"/>
      <c r="F85" s="365"/>
      <c r="G85" s="365"/>
      <c r="H85" s="365"/>
      <c r="I85" s="365"/>
      <c r="K85" s="104"/>
    </row>
    <row r="86" spans="1:33" x14ac:dyDescent="0.3">
      <c r="B86" s="15" t="s">
        <v>29</v>
      </c>
      <c r="C86" s="308" t="s">
        <v>2</v>
      </c>
      <c r="D86" s="117" t="s">
        <v>462</v>
      </c>
      <c r="E86" s="164">
        <f>E19-(E43+E72)</f>
        <v>19.871001808000187</v>
      </c>
      <c r="F86" s="164">
        <f>F19-(F43+F72)</f>
        <v>6.6049561868616706</v>
      </c>
      <c r="G86" s="164">
        <f>G19-(G43+G72)</f>
        <v>100.61456573565403</v>
      </c>
      <c r="H86" s="164">
        <f>H19-(H43+H72)</f>
        <v>9.0206956765026192</v>
      </c>
      <c r="I86" s="162">
        <f>I19-(I43+I72)</f>
        <v>35.357083333333321</v>
      </c>
    </row>
    <row r="87" spans="1:33" x14ac:dyDescent="0.3">
      <c r="B87" s="410"/>
      <c r="C87" s="116" t="s">
        <v>3</v>
      </c>
      <c r="D87" s="118" t="s">
        <v>462</v>
      </c>
      <c r="E87" s="153">
        <f t="shared" ref="E87:G90" si="2">E20-(E44+E73)</f>
        <v>30.841025641025638</v>
      </c>
      <c r="F87" s="153">
        <f t="shared" si="2"/>
        <v>32.337142857142858</v>
      </c>
      <c r="G87" s="153">
        <f t="shared" si="2"/>
        <v>-9.7631868131868131</v>
      </c>
      <c r="H87" s="153"/>
      <c r="I87" s="535"/>
    </row>
    <row r="88" spans="1:33" x14ac:dyDescent="0.3">
      <c r="B88" s="410"/>
      <c r="C88" s="124" t="s">
        <v>2</v>
      </c>
      <c r="D88" s="117" t="s">
        <v>460</v>
      </c>
      <c r="E88" s="99">
        <f t="shared" si="2"/>
        <v>163.93576491600152</v>
      </c>
      <c r="F88" s="99">
        <f t="shared" si="2"/>
        <v>41.611223977228292</v>
      </c>
      <c r="G88" s="99">
        <f t="shared" si="2"/>
        <v>352.15098007478923</v>
      </c>
      <c r="H88" s="99">
        <f>H21-(H45+H74)</f>
        <v>703.61426276720431</v>
      </c>
      <c r="I88" s="560">
        <f>I21-(I45+I74)</f>
        <v>424.28499999999985</v>
      </c>
    </row>
    <row r="89" spans="1:33" x14ac:dyDescent="0.3">
      <c r="B89" s="410"/>
      <c r="C89" s="123" t="s">
        <v>3</v>
      </c>
      <c r="D89" s="118" t="s">
        <v>460</v>
      </c>
      <c r="E89" s="100">
        <f t="shared" si="2"/>
        <v>120.28</v>
      </c>
      <c r="F89" s="100">
        <f t="shared" si="2"/>
        <v>113.18</v>
      </c>
      <c r="G89" s="100">
        <f t="shared" si="2"/>
        <v>-25.38428571428571</v>
      </c>
      <c r="H89" s="100"/>
      <c r="I89" s="561"/>
    </row>
    <row r="90" spans="1:33" x14ac:dyDescent="0.3">
      <c r="B90" s="551"/>
      <c r="C90" s="122" t="s">
        <v>12</v>
      </c>
      <c r="D90" s="118" t="s">
        <v>460</v>
      </c>
      <c r="E90" s="100">
        <f t="shared" si="2"/>
        <v>284.21576491600172</v>
      </c>
      <c r="F90" s="100">
        <f t="shared" si="2"/>
        <v>154.79122397722858</v>
      </c>
      <c r="G90" s="100">
        <f t="shared" si="2"/>
        <v>326.76669436050361</v>
      </c>
      <c r="H90" s="100">
        <f>H23-(H47+H76)</f>
        <v>703.61426276720431</v>
      </c>
      <c r="I90" s="561">
        <f>I23-(I47+I76)</f>
        <v>424.28499999999985</v>
      </c>
    </row>
    <row r="91" spans="1:33" x14ac:dyDescent="0.3">
      <c r="B91" s="365"/>
      <c r="C91" s="365"/>
      <c r="D91" s="365"/>
      <c r="E91" s="365"/>
      <c r="F91" s="365"/>
      <c r="G91" s="365"/>
      <c r="H91" s="365"/>
      <c r="I91" s="365"/>
    </row>
    <row r="92" spans="1:33" x14ac:dyDescent="0.3">
      <c r="B92" s="365"/>
      <c r="C92" s="365"/>
      <c r="D92" s="365"/>
      <c r="E92" s="365"/>
      <c r="F92" s="365"/>
      <c r="G92" s="365"/>
      <c r="H92" s="365"/>
      <c r="I92" s="365"/>
    </row>
    <row r="93" spans="1:33" x14ac:dyDescent="0.3">
      <c r="B93" s="365"/>
      <c r="C93" s="365"/>
      <c r="D93" s="365"/>
      <c r="E93" s="365"/>
      <c r="F93" s="365"/>
      <c r="G93" s="365"/>
      <c r="H93" s="365"/>
      <c r="I93" s="365"/>
    </row>
    <row r="94" spans="1:33" x14ac:dyDescent="0.3">
      <c r="B94" s="562"/>
      <c r="C94" s="365" t="s">
        <v>383</v>
      </c>
      <c r="D94" s="365"/>
      <c r="E94" s="365"/>
      <c r="F94" s="365"/>
      <c r="G94" s="365"/>
      <c r="H94" s="365"/>
      <c r="I94" s="365"/>
    </row>
    <row r="95" spans="1:33" x14ac:dyDescent="0.3">
      <c r="B95" s="563"/>
      <c r="C95" s="365" t="s">
        <v>232</v>
      </c>
      <c r="D95" s="365"/>
      <c r="E95" s="365"/>
      <c r="F95" s="365"/>
      <c r="G95" s="365"/>
      <c r="H95" s="365"/>
      <c r="I95" s="365"/>
    </row>
    <row r="96" spans="1:33" x14ac:dyDescent="0.3">
      <c r="B96" s="364"/>
      <c r="C96" s="364"/>
      <c r="D96" s="364"/>
      <c r="E96" s="364"/>
      <c r="F96" s="364"/>
      <c r="G96" s="364"/>
      <c r="H96" s="364"/>
      <c r="I96" s="364"/>
    </row>
    <row r="123" s="39" customFormat="1" x14ac:dyDescent="0.3"/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O110"/>
  <sheetViews>
    <sheetView topLeftCell="A50" zoomScale="120" zoomScaleNormal="120" workbookViewId="0">
      <selection activeCell="D98" sqref="D98:G98"/>
    </sheetView>
  </sheetViews>
  <sheetFormatPr defaultColWidth="9" defaultRowHeight="14" x14ac:dyDescent="0.3"/>
  <cols>
    <col min="2" max="2" width="28.5" customWidth="1"/>
    <col min="3" max="3" width="9.83203125" customWidth="1"/>
    <col min="14" max="14" width="12.33203125" customWidth="1"/>
    <col min="15" max="15" width="10.08203125" customWidth="1"/>
  </cols>
  <sheetData>
    <row r="2" spans="2:15" ht="14.5" thickBot="1" x14ac:dyDescent="0.35"/>
    <row r="3" spans="2:15" ht="14.5" thickBot="1" x14ac:dyDescent="0.35">
      <c r="B3" s="302" t="s">
        <v>454</v>
      </c>
    </row>
    <row r="4" spans="2:15" x14ac:dyDescent="0.3">
      <c r="B4" s="63"/>
      <c r="C4" s="63"/>
      <c r="D4" s="63"/>
      <c r="E4" s="63"/>
      <c r="F4" s="63"/>
      <c r="G4" s="63"/>
      <c r="H4" s="63"/>
      <c r="I4" s="63"/>
      <c r="J4" s="63"/>
      <c r="K4" s="63"/>
    </row>
    <row r="5" spans="2:15" x14ac:dyDescent="0.3"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2:15" x14ac:dyDescent="0.3">
      <c r="B6" s="51" t="s">
        <v>218</v>
      </c>
      <c r="C6" s="44"/>
      <c r="D6" s="44"/>
      <c r="E6" s="44"/>
      <c r="F6" s="44"/>
      <c r="G6" s="44"/>
    </row>
    <row r="7" spans="2:15" x14ac:dyDescent="0.3">
      <c r="B7" s="24"/>
      <c r="C7" s="24"/>
      <c r="D7" s="24"/>
      <c r="E7" s="24"/>
      <c r="F7" s="24"/>
      <c r="G7" s="24"/>
    </row>
    <row r="8" spans="2:15" x14ac:dyDescent="0.3">
      <c r="B8" s="383" t="s">
        <v>417</v>
      </c>
      <c r="C8" s="394"/>
      <c r="D8" s="760">
        <f>'Arable Inputs'!D8</f>
        <v>1</v>
      </c>
      <c r="E8" s="24"/>
      <c r="F8" s="24"/>
      <c r="G8" s="24"/>
    </row>
    <row r="9" spans="2:15" x14ac:dyDescent="0.3">
      <c r="B9" s="146" t="s">
        <v>301</v>
      </c>
      <c r="C9" s="147" t="s">
        <v>325</v>
      </c>
      <c r="D9" s="759">
        <f>'Arable Inputs'!D9</f>
        <v>0.04</v>
      </c>
      <c r="E9" s="24"/>
      <c r="F9" s="24"/>
      <c r="G9" s="24"/>
    </row>
    <row r="10" spans="2:15" x14ac:dyDescent="0.3">
      <c r="B10" s="146" t="s">
        <v>10</v>
      </c>
      <c r="C10" s="147" t="s">
        <v>460</v>
      </c>
      <c r="D10" s="571">
        <f>'Arable Inputs'!D10</f>
        <v>220</v>
      </c>
      <c r="E10" s="24"/>
      <c r="F10" s="24"/>
      <c r="G10" s="24"/>
    </row>
    <row r="11" spans="2:15" x14ac:dyDescent="0.3">
      <c r="B11" s="24"/>
      <c r="C11" s="24"/>
      <c r="D11" s="24"/>
      <c r="E11" s="24"/>
      <c r="F11" s="24"/>
      <c r="G11" s="24"/>
    </row>
    <row r="12" spans="2:15" x14ac:dyDescent="0.3">
      <c r="B12" s="24"/>
      <c r="C12" s="24"/>
      <c r="D12" s="24"/>
      <c r="E12" s="24"/>
      <c r="F12" s="24"/>
      <c r="G12" s="24"/>
    </row>
    <row r="13" spans="2:15" x14ac:dyDescent="0.3">
      <c r="B13" s="51" t="s">
        <v>245</v>
      </c>
      <c r="C13" s="44"/>
      <c r="D13" s="44"/>
      <c r="E13" s="44"/>
      <c r="F13" s="44"/>
      <c r="G13" s="44"/>
    </row>
    <row r="14" spans="2:15" x14ac:dyDescent="0.3">
      <c r="B14" s="24"/>
      <c r="C14" s="24"/>
      <c r="D14" s="24"/>
      <c r="E14" s="24"/>
      <c r="F14" s="24"/>
      <c r="G14" s="24"/>
    </row>
    <row r="15" spans="2:15" x14ac:dyDescent="0.3">
      <c r="B15" s="102"/>
      <c r="C15" s="102"/>
      <c r="D15" s="150" t="s">
        <v>94</v>
      </c>
      <c r="E15" s="150" t="s">
        <v>95</v>
      </c>
      <c r="F15" s="151" t="s">
        <v>246</v>
      </c>
      <c r="G15" s="151" t="s">
        <v>498</v>
      </c>
      <c r="O15" s="39"/>
    </row>
    <row r="16" spans="2:15" x14ac:dyDescent="0.3">
      <c r="B16" s="146" t="s">
        <v>303</v>
      </c>
      <c r="C16" s="48" t="s">
        <v>258</v>
      </c>
      <c r="D16" s="576">
        <v>16</v>
      </c>
      <c r="E16" s="576">
        <v>16</v>
      </c>
      <c r="F16" s="576">
        <v>16</v>
      </c>
      <c r="G16" s="576">
        <v>16</v>
      </c>
    </row>
    <row r="17" spans="2:10" x14ac:dyDescent="0.3">
      <c r="B17" s="146" t="s">
        <v>390</v>
      </c>
      <c r="C17" s="48" t="s">
        <v>258</v>
      </c>
      <c r="D17" s="878">
        <v>4</v>
      </c>
      <c r="E17" s="878">
        <v>1</v>
      </c>
      <c r="F17" s="878">
        <v>1</v>
      </c>
      <c r="G17" s="878">
        <v>2</v>
      </c>
    </row>
    <row r="18" spans="2:10" x14ac:dyDescent="0.3">
      <c r="B18" s="46" t="s">
        <v>391</v>
      </c>
      <c r="C18" s="65" t="s">
        <v>258</v>
      </c>
      <c r="D18" s="577">
        <v>3</v>
      </c>
      <c r="E18" s="577">
        <v>1</v>
      </c>
      <c r="F18" s="577">
        <v>1</v>
      </c>
      <c r="G18" s="577">
        <v>1</v>
      </c>
    </row>
    <row r="20" spans="2:10" x14ac:dyDescent="0.3">
      <c r="B20" s="24"/>
      <c r="C20" s="24"/>
      <c r="D20" s="24"/>
      <c r="E20" s="24"/>
      <c r="F20" s="24"/>
      <c r="G20" s="24"/>
    </row>
    <row r="21" spans="2:10" x14ac:dyDescent="0.3">
      <c r="B21" s="51" t="s">
        <v>247</v>
      </c>
      <c r="C21" s="44"/>
      <c r="D21" s="44"/>
      <c r="E21" s="44"/>
      <c r="F21" s="44"/>
      <c r="G21" s="44"/>
      <c r="H21" s="946" t="s">
        <v>634</v>
      </c>
    </row>
    <row r="22" spans="2:10" x14ac:dyDescent="0.3">
      <c r="B22" s="24"/>
      <c r="C22" s="24"/>
      <c r="D22" s="24"/>
      <c r="E22" s="24"/>
      <c r="F22" s="24"/>
      <c r="G22" s="24"/>
      <c r="H22" s="946"/>
    </row>
    <row r="23" spans="2:10" x14ac:dyDescent="0.3">
      <c r="B23" s="24"/>
      <c r="C23" s="24"/>
      <c r="D23" s="150" t="s">
        <v>94</v>
      </c>
      <c r="E23" s="150" t="s">
        <v>95</v>
      </c>
      <c r="F23" s="151" t="s">
        <v>96</v>
      </c>
      <c r="G23" s="151" t="s">
        <v>498</v>
      </c>
      <c r="H23" s="946"/>
    </row>
    <row r="24" spans="2:10" x14ac:dyDescent="0.3">
      <c r="B24" s="947" t="s">
        <v>635</v>
      </c>
      <c r="C24" s="44" t="s">
        <v>92</v>
      </c>
      <c r="D24" s="945">
        <v>30</v>
      </c>
      <c r="E24" s="945">
        <v>12.54</v>
      </c>
      <c r="F24" s="945">
        <v>11.617000000000001</v>
      </c>
      <c r="G24" s="945">
        <v>16.3</v>
      </c>
      <c r="H24" s="946"/>
      <c r="I24" s="857"/>
      <c r="J24" s="857"/>
    </row>
    <row r="25" spans="2:10" ht="14.25" customHeight="1" x14ac:dyDescent="0.3">
      <c r="B25" s="24" t="s">
        <v>259</v>
      </c>
      <c r="C25" s="24"/>
      <c r="D25" s="24"/>
      <c r="E25" s="24"/>
      <c r="F25" s="24"/>
      <c r="G25" s="24"/>
      <c r="H25" s="946"/>
    </row>
    <row r="26" spans="2:10" x14ac:dyDescent="0.3">
      <c r="B26" s="24"/>
      <c r="C26" s="24"/>
      <c r="D26" s="24"/>
      <c r="E26" s="24"/>
      <c r="F26" s="24"/>
      <c r="G26" s="24"/>
      <c r="H26" s="946"/>
    </row>
    <row r="27" spans="2:10" x14ac:dyDescent="0.3">
      <c r="B27" s="51" t="s">
        <v>617</v>
      </c>
      <c r="C27" s="44"/>
      <c r="D27" s="44"/>
      <c r="E27" s="44"/>
      <c r="F27" s="44"/>
      <c r="G27" s="44"/>
      <c r="H27" s="946"/>
    </row>
    <row r="28" spans="2:10" x14ac:dyDescent="0.3">
      <c r="B28" s="24"/>
      <c r="C28" s="24"/>
      <c r="D28" s="24"/>
      <c r="E28" s="24"/>
      <c r="F28" s="24"/>
      <c r="G28" s="24"/>
      <c r="H28" s="946"/>
    </row>
    <row r="29" spans="2:10" x14ac:dyDescent="0.3">
      <c r="B29" s="24"/>
      <c r="C29" s="905" t="s">
        <v>619</v>
      </c>
      <c r="D29" s="150" t="s">
        <v>94</v>
      </c>
      <c r="E29" s="150" t="s">
        <v>95</v>
      </c>
      <c r="F29" s="151" t="s">
        <v>96</v>
      </c>
      <c r="G29" s="151" t="s">
        <v>498</v>
      </c>
      <c r="H29" s="946"/>
    </row>
    <row r="30" spans="2:10" x14ac:dyDescent="0.3">
      <c r="B30" s="146" t="s">
        <v>618</v>
      </c>
      <c r="C30" s="150">
        <v>1</v>
      </c>
      <c r="D30" s="902"/>
      <c r="E30" s="902">
        <v>4.784688995215311E-2</v>
      </c>
      <c r="F30" s="902">
        <v>0.1761785888496743</v>
      </c>
      <c r="G30" s="902">
        <v>0</v>
      </c>
      <c r="H30" s="946"/>
    </row>
    <row r="31" spans="2:10" x14ac:dyDescent="0.3">
      <c r="B31" s="24"/>
      <c r="C31" s="904">
        <v>2</v>
      </c>
      <c r="D31" s="903"/>
      <c r="E31" s="903">
        <v>0.31299840510366833</v>
      </c>
      <c r="F31" s="903">
        <v>0.71188775071016608</v>
      </c>
      <c r="G31" s="903">
        <v>0.60940695296523517</v>
      </c>
      <c r="H31" s="946"/>
    </row>
    <row r="32" spans="2:10" x14ac:dyDescent="0.3">
      <c r="B32" s="24"/>
      <c r="C32" s="150">
        <v>3</v>
      </c>
      <c r="D32" s="903"/>
      <c r="E32" s="903">
        <v>0.88516746411483238</v>
      </c>
      <c r="F32" s="903">
        <v>0.94057559323979223</v>
      </c>
      <c r="G32" s="903">
        <v>0.90184049079754602</v>
      </c>
      <c r="H32" s="946"/>
    </row>
    <row r="33" spans="2:8" x14ac:dyDescent="0.3">
      <c r="B33" s="24"/>
      <c r="C33" s="904">
        <v>4</v>
      </c>
      <c r="D33" s="903">
        <v>1</v>
      </c>
      <c r="E33" s="903">
        <v>1</v>
      </c>
      <c r="F33" s="903">
        <v>1</v>
      </c>
      <c r="G33" s="903">
        <v>0.96523517382413093</v>
      </c>
      <c r="H33" s="946"/>
    </row>
    <row r="34" spans="2:8" x14ac:dyDescent="0.3">
      <c r="B34" s="24"/>
      <c r="C34" s="150">
        <v>5</v>
      </c>
      <c r="D34" s="903"/>
      <c r="E34" s="903">
        <v>1</v>
      </c>
      <c r="F34" s="903">
        <v>1</v>
      </c>
      <c r="G34" s="903">
        <v>1</v>
      </c>
      <c r="H34" s="946"/>
    </row>
    <row r="35" spans="2:8" x14ac:dyDescent="0.3">
      <c r="B35" s="24"/>
      <c r="C35" s="904">
        <v>6</v>
      </c>
      <c r="D35" s="903"/>
      <c r="E35" s="903">
        <v>1</v>
      </c>
      <c r="F35" s="903">
        <v>1</v>
      </c>
      <c r="G35" s="903">
        <v>1</v>
      </c>
      <c r="H35" s="946"/>
    </row>
    <row r="36" spans="2:8" x14ac:dyDescent="0.3">
      <c r="B36" s="24"/>
      <c r="C36" s="150">
        <v>7</v>
      </c>
      <c r="D36" s="903">
        <v>1</v>
      </c>
      <c r="E36" s="903">
        <v>1</v>
      </c>
      <c r="F36" s="903">
        <v>1</v>
      </c>
      <c r="G36" s="903">
        <v>1</v>
      </c>
      <c r="H36" s="946"/>
    </row>
    <row r="37" spans="2:8" x14ac:dyDescent="0.3">
      <c r="B37" s="24"/>
      <c r="C37" s="904">
        <v>8</v>
      </c>
      <c r="D37" s="903"/>
      <c r="E37" s="903">
        <v>1</v>
      </c>
      <c r="F37" s="903">
        <v>1</v>
      </c>
      <c r="G37" s="903">
        <v>1</v>
      </c>
      <c r="H37" s="946"/>
    </row>
    <row r="38" spans="2:8" x14ac:dyDescent="0.3">
      <c r="B38" s="24"/>
      <c r="C38" s="150">
        <v>9</v>
      </c>
      <c r="D38" s="903"/>
      <c r="E38" s="903">
        <v>1</v>
      </c>
      <c r="F38" s="903">
        <v>1</v>
      </c>
      <c r="G38" s="903">
        <v>1</v>
      </c>
      <c r="H38" s="946"/>
    </row>
    <row r="39" spans="2:8" x14ac:dyDescent="0.3">
      <c r="B39" s="24"/>
      <c r="C39" s="904">
        <v>10</v>
      </c>
      <c r="D39" s="903">
        <v>1</v>
      </c>
      <c r="E39" s="903">
        <v>1</v>
      </c>
      <c r="F39" s="903">
        <v>1</v>
      </c>
      <c r="G39" s="903">
        <v>1</v>
      </c>
      <c r="H39" s="946"/>
    </row>
    <row r="40" spans="2:8" x14ac:dyDescent="0.3">
      <c r="B40" s="24"/>
      <c r="C40" s="150">
        <v>11</v>
      </c>
      <c r="D40" s="903"/>
      <c r="E40" s="903">
        <v>1</v>
      </c>
      <c r="F40" s="903">
        <v>1</v>
      </c>
      <c r="G40" s="903">
        <v>1</v>
      </c>
      <c r="H40" s="946"/>
    </row>
    <row r="41" spans="2:8" x14ac:dyDescent="0.3">
      <c r="B41" s="24"/>
      <c r="C41" s="904">
        <v>12</v>
      </c>
      <c r="D41" s="903"/>
      <c r="E41" s="903">
        <v>1</v>
      </c>
      <c r="F41" s="903">
        <v>1</v>
      </c>
      <c r="G41" s="903">
        <v>1</v>
      </c>
      <c r="H41" s="946"/>
    </row>
    <row r="42" spans="2:8" x14ac:dyDescent="0.3">
      <c r="B42" s="24"/>
      <c r="C42" s="150">
        <v>13</v>
      </c>
      <c r="D42" s="903">
        <v>1</v>
      </c>
      <c r="E42" s="903">
        <v>1</v>
      </c>
      <c r="F42" s="903">
        <v>1</v>
      </c>
      <c r="G42" s="903">
        <v>1</v>
      </c>
      <c r="H42" s="946"/>
    </row>
    <row r="43" spans="2:8" x14ac:dyDescent="0.3">
      <c r="B43" s="24"/>
      <c r="C43" s="904">
        <v>14</v>
      </c>
      <c r="D43" s="903"/>
      <c r="E43" s="903">
        <v>1</v>
      </c>
      <c r="F43" s="903">
        <v>1</v>
      </c>
      <c r="G43" s="903">
        <v>1</v>
      </c>
      <c r="H43" s="946"/>
    </row>
    <row r="44" spans="2:8" x14ac:dyDescent="0.3">
      <c r="B44" s="24"/>
      <c r="C44" s="150">
        <v>15</v>
      </c>
      <c r="D44" s="903"/>
      <c r="E44" s="903">
        <v>1</v>
      </c>
      <c r="F44" s="903">
        <v>1</v>
      </c>
      <c r="G44" s="903">
        <v>1</v>
      </c>
      <c r="H44" s="946"/>
    </row>
    <row r="45" spans="2:8" x14ac:dyDescent="0.3">
      <c r="B45" s="24"/>
      <c r="C45" s="904">
        <v>16</v>
      </c>
      <c r="D45" s="903">
        <v>1</v>
      </c>
      <c r="E45" s="903">
        <v>1</v>
      </c>
      <c r="F45" s="903">
        <v>1</v>
      </c>
      <c r="G45" s="903">
        <v>1</v>
      </c>
      <c r="H45" s="946"/>
    </row>
    <row r="46" spans="2:8" x14ac:dyDescent="0.3">
      <c r="B46" s="24" t="s">
        <v>620</v>
      </c>
      <c r="C46" s="24"/>
      <c r="D46" s="24"/>
      <c r="E46" s="24"/>
      <c r="F46" s="24"/>
      <c r="G46" s="24"/>
    </row>
    <row r="47" spans="2:8" x14ac:dyDescent="0.3">
      <c r="B47" s="24"/>
      <c r="C47" s="24"/>
      <c r="D47" s="24"/>
      <c r="E47" s="24"/>
      <c r="F47" s="24"/>
      <c r="G47" s="24"/>
    </row>
    <row r="48" spans="2:8" x14ac:dyDescent="0.3">
      <c r="B48" s="51" t="s">
        <v>248</v>
      </c>
      <c r="C48" s="44"/>
      <c r="D48" s="44"/>
      <c r="E48" s="44"/>
      <c r="F48" s="44"/>
      <c r="G48" s="44"/>
    </row>
    <row r="49" spans="2:12" x14ac:dyDescent="0.3">
      <c r="B49" s="24"/>
      <c r="C49" s="24"/>
      <c r="D49" s="24"/>
      <c r="E49" s="24"/>
      <c r="F49" s="24"/>
      <c r="G49" s="24"/>
    </row>
    <row r="50" spans="2:12" x14ac:dyDescent="0.3">
      <c r="B50" s="24"/>
      <c r="C50" s="24"/>
      <c r="D50" s="150" t="s">
        <v>94</v>
      </c>
      <c r="E50" s="150" t="s">
        <v>95</v>
      </c>
      <c r="F50" s="151" t="s">
        <v>96</v>
      </c>
      <c r="G50" s="151" t="s">
        <v>498</v>
      </c>
      <c r="I50" s="24"/>
      <c r="J50" s="24"/>
      <c r="K50" s="24"/>
      <c r="L50" s="24"/>
    </row>
    <row r="51" spans="2:12" x14ac:dyDescent="0.3">
      <c r="B51" s="146" t="s">
        <v>249</v>
      </c>
      <c r="C51" s="48" t="s">
        <v>467</v>
      </c>
      <c r="D51" s="574"/>
      <c r="E51" s="575"/>
      <c r="F51" s="575">
        <f>350*0.89/1000</f>
        <v>0.3115</v>
      </c>
      <c r="G51" s="576">
        <f>590*0.89</f>
        <v>525.1</v>
      </c>
      <c r="I51" s="24"/>
      <c r="J51" s="24"/>
      <c r="K51" s="24"/>
      <c r="L51" s="24"/>
    </row>
    <row r="52" spans="2:12" ht="14.25" customHeight="1" x14ac:dyDescent="0.3">
      <c r="B52" s="24"/>
      <c r="C52" s="24"/>
      <c r="D52" s="24"/>
      <c r="E52" s="24"/>
      <c r="F52" s="24"/>
      <c r="G52" s="24"/>
    </row>
    <row r="53" spans="2:12" x14ac:dyDescent="0.3">
      <c r="B53" s="24"/>
      <c r="C53" s="24"/>
      <c r="D53" s="24"/>
      <c r="E53" s="24"/>
      <c r="F53" s="24"/>
      <c r="G53" s="24"/>
    </row>
    <row r="54" spans="2:12" x14ac:dyDescent="0.3">
      <c r="B54" s="24"/>
      <c r="C54" s="24"/>
      <c r="D54" s="24"/>
      <c r="E54" s="24"/>
      <c r="F54" s="24"/>
      <c r="G54" s="24"/>
    </row>
    <row r="55" spans="2:12" x14ac:dyDescent="0.3">
      <c r="B55" s="51" t="s">
        <v>250</v>
      </c>
      <c r="C55" s="44"/>
      <c r="D55" s="44"/>
      <c r="E55" s="44"/>
      <c r="F55" s="44"/>
      <c r="G55" s="44"/>
    </row>
    <row r="56" spans="2:12" x14ac:dyDescent="0.3">
      <c r="B56" s="24"/>
      <c r="C56" s="24"/>
      <c r="D56" s="24"/>
      <c r="E56" s="24"/>
      <c r="F56" s="24"/>
      <c r="G56" s="24"/>
    </row>
    <row r="57" spans="2:12" x14ac:dyDescent="0.3">
      <c r="B57" s="102"/>
      <c r="C57" s="102"/>
      <c r="D57" s="150" t="s">
        <v>94</v>
      </c>
      <c r="E57" s="150" t="s">
        <v>95</v>
      </c>
      <c r="F57" s="151" t="s">
        <v>96</v>
      </c>
      <c r="G57" s="151" t="s">
        <v>498</v>
      </c>
    </row>
    <row r="58" spans="2:12" x14ac:dyDescent="0.3">
      <c r="B58" s="146" t="s">
        <v>251</v>
      </c>
      <c r="C58" s="48" t="s">
        <v>468</v>
      </c>
      <c r="D58" s="879">
        <v>55</v>
      </c>
      <c r="E58" s="879">
        <v>55</v>
      </c>
      <c r="F58" s="879">
        <v>55</v>
      </c>
      <c r="G58" s="801">
        <v>55</v>
      </c>
    </row>
    <row r="59" spans="2:12" x14ac:dyDescent="0.3">
      <c r="B59" s="24" t="s">
        <v>261</v>
      </c>
      <c r="C59" s="24"/>
      <c r="D59" s="24"/>
      <c r="E59" s="24"/>
      <c r="F59" s="24"/>
      <c r="G59" s="24"/>
    </row>
    <row r="60" spans="2:12" x14ac:dyDescent="0.3">
      <c r="B60" s="24" t="s">
        <v>262</v>
      </c>
      <c r="C60" s="24"/>
      <c r="D60" s="24"/>
      <c r="E60" s="24"/>
      <c r="F60" s="24"/>
      <c r="G60" s="24"/>
    </row>
    <row r="61" spans="2:12" x14ac:dyDescent="0.3">
      <c r="B61" s="24"/>
      <c r="C61" s="24"/>
      <c r="D61" s="24"/>
      <c r="E61" s="24"/>
      <c r="F61" s="24"/>
      <c r="G61" s="24"/>
    </row>
    <row r="62" spans="2:12" x14ac:dyDescent="0.3">
      <c r="B62" s="51" t="s">
        <v>530</v>
      </c>
      <c r="C62" s="44"/>
      <c r="D62" s="44"/>
      <c r="E62" s="44"/>
      <c r="F62" s="44"/>
      <c r="G62" s="44"/>
    </row>
    <row r="63" spans="2:12" x14ac:dyDescent="0.3">
      <c r="B63" s="24"/>
      <c r="C63" s="24"/>
      <c r="D63" s="24"/>
      <c r="E63" s="24"/>
      <c r="F63" s="24"/>
      <c r="G63" s="24"/>
    </row>
    <row r="64" spans="2:12" x14ac:dyDescent="0.3">
      <c r="B64" s="24"/>
      <c r="C64" s="24"/>
      <c r="D64" s="150" t="s">
        <v>94</v>
      </c>
      <c r="E64" s="150" t="s">
        <v>95</v>
      </c>
      <c r="F64" s="151" t="s">
        <v>96</v>
      </c>
      <c r="G64" s="151" t="s">
        <v>498</v>
      </c>
    </row>
    <row r="65" spans="2:8" x14ac:dyDescent="0.3">
      <c r="B65" s="146" t="s">
        <v>520</v>
      </c>
      <c r="C65" s="48" t="s">
        <v>460</v>
      </c>
      <c r="D65" s="801">
        <v>750</v>
      </c>
      <c r="E65" s="801">
        <v>1190</v>
      </c>
      <c r="F65" s="801">
        <f>F51*14000</f>
        <v>4361</v>
      </c>
      <c r="G65" s="801">
        <f>G51*2.5</f>
        <v>1312.75</v>
      </c>
    </row>
    <row r="66" spans="2:8" x14ac:dyDescent="0.3">
      <c r="B66" s="26"/>
      <c r="C66" s="26"/>
      <c r="D66" s="858"/>
      <c r="E66" s="858"/>
      <c r="F66" s="859"/>
      <c r="G66" s="860"/>
    </row>
    <row r="67" spans="2:8" x14ac:dyDescent="0.3">
      <c r="B67" s="26"/>
      <c r="C67" s="26"/>
      <c r="D67" s="858"/>
      <c r="E67" s="858"/>
      <c r="F67" s="859"/>
      <c r="G67" s="860"/>
    </row>
    <row r="68" spans="2:8" x14ac:dyDescent="0.3">
      <c r="B68" s="375" t="s">
        <v>231</v>
      </c>
      <c r="C68" s="374"/>
      <c r="D68" s="374"/>
      <c r="E68" s="374"/>
      <c r="F68" s="374"/>
      <c r="G68" s="374"/>
      <c r="H68" s="371"/>
    </row>
    <row r="69" spans="2:8" x14ac:dyDescent="0.3">
      <c r="B69" s="26"/>
      <c r="C69" s="26"/>
      <c r="D69" s="858"/>
      <c r="E69" s="858"/>
      <c r="F69" s="859"/>
      <c r="G69" s="860"/>
    </row>
    <row r="70" spans="2:8" x14ac:dyDescent="0.3">
      <c r="B70" s="371"/>
      <c r="C70" s="371"/>
      <c r="D70" s="370" t="s">
        <v>94</v>
      </c>
      <c r="E70" s="370" t="s">
        <v>95</v>
      </c>
      <c r="F70" s="861" t="s">
        <v>96</v>
      </c>
      <c r="G70" s="861" t="s">
        <v>498</v>
      </c>
    </row>
    <row r="71" spans="2:8" x14ac:dyDescent="0.3">
      <c r="B71" s="369" t="s">
        <v>580</v>
      </c>
      <c r="C71" s="392" t="s">
        <v>228</v>
      </c>
      <c r="D71" s="863">
        <v>90</v>
      </c>
      <c r="E71" s="863">
        <v>84</v>
      </c>
      <c r="F71" s="863">
        <v>100</v>
      </c>
      <c r="G71" s="863">
        <v>120</v>
      </c>
    </row>
    <row r="72" spans="2:8" x14ac:dyDescent="0.3">
      <c r="C72" s="389" t="s">
        <v>511</v>
      </c>
      <c r="D72" s="864">
        <v>55</v>
      </c>
      <c r="E72" s="864">
        <v>14</v>
      </c>
      <c r="F72" s="864">
        <v>92</v>
      </c>
      <c r="G72" s="864">
        <v>92</v>
      </c>
    </row>
    <row r="73" spans="2:8" ht="14.5" x14ac:dyDescent="0.35">
      <c r="C73" s="862" t="s">
        <v>512</v>
      </c>
      <c r="D73" s="865">
        <v>72</v>
      </c>
      <c r="E73" s="865">
        <v>120</v>
      </c>
      <c r="F73" s="865">
        <v>84</v>
      </c>
      <c r="G73" s="865">
        <v>90</v>
      </c>
    </row>
    <row r="74" spans="2:8" x14ac:dyDescent="0.3">
      <c r="B74" s="26"/>
      <c r="C74" s="26"/>
      <c r="D74" s="858"/>
      <c r="E74" s="858"/>
      <c r="F74" s="859"/>
      <c r="G74" s="860"/>
    </row>
    <row r="75" spans="2:8" s="39" customFormat="1" x14ac:dyDescent="0.3">
      <c r="B75"/>
      <c r="C75"/>
      <c r="D75"/>
      <c r="E75"/>
      <c r="F75"/>
      <c r="G75"/>
      <c r="H75"/>
    </row>
    <row r="76" spans="2:8" x14ac:dyDescent="0.3">
      <c r="B76" s="51" t="s">
        <v>252</v>
      </c>
      <c r="C76" s="44"/>
      <c r="D76" s="44"/>
      <c r="E76" s="44"/>
      <c r="F76" s="44"/>
      <c r="G76" s="44"/>
    </row>
    <row r="77" spans="2:8" x14ac:dyDescent="0.3">
      <c r="B77" s="24"/>
    </row>
    <row r="78" spans="2:8" x14ac:dyDescent="0.3">
      <c r="B78" s="24"/>
      <c r="C78" s="167"/>
      <c r="D78" s="150" t="s">
        <v>94</v>
      </c>
      <c r="E78" s="150" t="s">
        <v>95</v>
      </c>
      <c r="F78" s="151" t="s">
        <v>96</v>
      </c>
      <c r="G78" s="151" t="s">
        <v>498</v>
      </c>
    </row>
    <row r="79" spans="2:8" x14ac:dyDescent="0.3">
      <c r="B79" s="49" t="s">
        <v>253</v>
      </c>
      <c r="C79" s="148"/>
      <c r="D79" s="152"/>
      <c r="E79" s="152"/>
      <c r="F79" s="152"/>
      <c r="G79" s="174"/>
    </row>
    <row r="80" spans="2:8" x14ac:dyDescent="0.3">
      <c r="B80" s="62" t="s">
        <v>254</v>
      </c>
      <c r="C80" s="170" t="s">
        <v>460</v>
      </c>
      <c r="D80" s="805">
        <v>200</v>
      </c>
      <c r="E80" s="805">
        <v>180</v>
      </c>
      <c r="F80" s="805">
        <v>180</v>
      </c>
      <c r="G80" s="805">
        <v>180</v>
      </c>
    </row>
    <row r="81" spans="2:9" x14ac:dyDescent="0.3">
      <c r="B81" s="41" t="s">
        <v>583</v>
      </c>
      <c r="C81" s="171" t="s">
        <v>460</v>
      </c>
      <c r="D81" s="572">
        <f>'Energy margins'!J40</f>
        <v>126.33500000000001</v>
      </c>
      <c r="E81" s="572">
        <f>'Energy margins'!Q40</f>
        <v>117.742</v>
      </c>
      <c r="F81" s="572">
        <f>'Energy margins'!X40</f>
        <v>161.97200000000001</v>
      </c>
      <c r="G81" s="572">
        <f>'Energy margins'!AE40</f>
        <v>177.71200000000002</v>
      </c>
    </row>
    <row r="82" spans="2:9" x14ac:dyDescent="0.3">
      <c r="B82" s="41" t="s">
        <v>526</v>
      </c>
      <c r="C82" s="171" t="s">
        <v>460</v>
      </c>
      <c r="D82" s="572">
        <f>'Energy fixed costs'!G85</f>
        <v>16.07</v>
      </c>
      <c r="E82" s="572">
        <f>'Energy fixed costs'!L85</f>
        <v>16.07</v>
      </c>
      <c r="F82" s="572">
        <f>'Energy fixed costs'!Q85</f>
        <v>16.07</v>
      </c>
      <c r="G82" s="572">
        <f>'Energy fixed costs'!V85</f>
        <v>16.07</v>
      </c>
    </row>
    <row r="83" spans="2:9" x14ac:dyDescent="0.3">
      <c r="B83" s="41" t="s">
        <v>584</v>
      </c>
      <c r="C83" s="171" t="s">
        <v>460</v>
      </c>
      <c r="D83" s="572">
        <v>200</v>
      </c>
      <c r="E83" s="572">
        <v>120</v>
      </c>
      <c r="F83" s="572">
        <v>120</v>
      </c>
      <c r="G83" s="572">
        <v>120</v>
      </c>
    </row>
    <row r="84" spans="2:9" x14ac:dyDescent="0.3">
      <c r="B84" s="41" t="s">
        <v>597</v>
      </c>
      <c r="C84" s="171" t="s">
        <v>460</v>
      </c>
      <c r="D84" s="572">
        <v>40.299999999999997</v>
      </c>
      <c r="E84" s="572">
        <v>40.299999999999997</v>
      </c>
      <c r="F84" s="572">
        <f>'Energy fixed costs'!Q72</f>
        <v>20.16</v>
      </c>
      <c r="G84" s="572">
        <f>'Energy fixed costs'!V72</f>
        <v>20.16</v>
      </c>
    </row>
    <row r="85" spans="2:9" x14ac:dyDescent="0.3">
      <c r="B85" s="41" t="s">
        <v>85</v>
      </c>
      <c r="C85" s="171" t="s">
        <v>460</v>
      </c>
      <c r="D85" s="572">
        <v>300</v>
      </c>
      <c r="E85" s="572">
        <v>350</v>
      </c>
      <c r="F85" s="806">
        <v>126.3</v>
      </c>
      <c r="G85" s="572">
        <f>'Energy fixed costs'!V54</f>
        <v>45</v>
      </c>
    </row>
    <row r="86" spans="2:9" x14ac:dyDescent="0.3">
      <c r="B86" s="41" t="s">
        <v>255</v>
      </c>
      <c r="C86" s="171" t="s">
        <v>460</v>
      </c>
      <c r="D86" s="819" t="s">
        <v>118</v>
      </c>
      <c r="E86" s="819" t="s">
        <v>118</v>
      </c>
      <c r="F86" s="572">
        <f>'Energy fixed costs'!Q62</f>
        <v>120.75</v>
      </c>
      <c r="G86" s="572">
        <f>'Energy fixed costs'!V62</f>
        <v>120.75</v>
      </c>
    </row>
    <row r="87" spans="2:9" x14ac:dyDescent="0.3">
      <c r="B87" s="46" t="s">
        <v>523</v>
      </c>
      <c r="C87" s="172" t="s">
        <v>460</v>
      </c>
      <c r="D87" s="807">
        <v>50</v>
      </c>
      <c r="E87" s="807">
        <v>20</v>
      </c>
      <c r="F87" s="807">
        <v>20</v>
      </c>
      <c r="G87" s="807">
        <v>20</v>
      </c>
      <c r="I87" s="960"/>
    </row>
    <row r="88" spans="2:9" x14ac:dyDescent="0.3">
      <c r="B88" s="52" t="s">
        <v>256</v>
      </c>
      <c r="C88" s="172"/>
      <c r="D88" s="168"/>
      <c r="E88" s="168"/>
      <c r="F88" s="168"/>
      <c r="G88" s="169"/>
    </row>
    <row r="89" spans="2:9" x14ac:dyDescent="0.3">
      <c r="B89" s="62" t="s">
        <v>254</v>
      </c>
      <c r="C89" s="804" t="s">
        <v>460</v>
      </c>
      <c r="D89" s="815" t="s">
        <v>118</v>
      </c>
      <c r="E89" s="815" t="s">
        <v>118</v>
      </c>
      <c r="F89" s="815" t="s">
        <v>118</v>
      </c>
      <c r="G89" s="815" t="s">
        <v>118</v>
      </c>
    </row>
    <row r="90" spans="2:9" x14ac:dyDescent="0.3">
      <c r="B90" s="41" t="s">
        <v>33</v>
      </c>
      <c r="C90" s="171" t="s">
        <v>460</v>
      </c>
      <c r="D90" s="806">
        <f>'Energy margins'!J58/5</f>
        <v>126.33499999999999</v>
      </c>
      <c r="E90" s="806">
        <f>'Energy margins'!Q58/15</f>
        <v>117.742</v>
      </c>
      <c r="F90" s="806">
        <f>'Energy margins'!X58/15</f>
        <v>161.97200000000001</v>
      </c>
      <c r="G90" s="806">
        <f>'Energy margins'!AE58/15</f>
        <v>177.71200000000002</v>
      </c>
    </row>
    <row r="91" spans="2:9" x14ac:dyDescent="0.3">
      <c r="B91" s="41" t="s">
        <v>526</v>
      </c>
      <c r="C91" s="171" t="s">
        <v>460</v>
      </c>
      <c r="D91" s="572">
        <f>'Energy fixed costs'!G101</f>
        <v>16.07</v>
      </c>
      <c r="E91" s="572">
        <f>'Energy fixed costs'!L101</f>
        <v>16.07</v>
      </c>
      <c r="F91" s="572">
        <f>'Energy fixed costs'!Q101</f>
        <v>16.07</v>
      </c>
      <c r="G91" s="572">
        <f>'Energy fixed costs'!V101</f>
        <v>16.07</v>
      </c>
    </row>
    <row r="92" spans="2:9" x14ac:dyDescent="0.3">
      <c r="B92" s="41" t="s">
        <v>255</v>
      </c>
      <c r="C92" s="171" t="s">
        <v>460</v>
      </c>
      <c r="D92" s="816" t="s">
        <v>118</v>
      </c>
      <c r="E92" s="816" t="s">
        <v>118</v>
      </c>
      <c r="F92" s="572">
        <f>'Energy fixed costs'!Q105</f>
        <v>161</v>
      </c>
      <c r="G92" s="572">
        <f>'Energy fixed costs'!V105</f>
        <v>161</v>
      </c>
    </row>
    <row r="93" spans="2:9" x14ac:dyDescent="0.3">
      <c r="B93" s="41" t="s">
        <v>596</v>
      </c>
      <c r="C93" s="171" t="s">
        <v>460</v>
      </c>
      <c r="D93" s="816">
        <v>100</v>
      </c>
      <c r="E93" s="816">
        <v>60</v>
      </c>
      <c r="F93" s="819" t="s">
        <v>118</v>
      </c>
      <c r="G93" s="819" t="s">
        <v>118</v>
      </c>
    </row>
    <row r="94" spans="2:9" x14ac:dyDescent="0.3">
      <c r="B94" s="41" t="s">
        <v>598</v>
      </c>
      <c r="C94" s="171" t="s">
        <v>460</v>
      </c>
      <c r="D94" s="572">
        <v>40.299999999999997</v>
      </c>
      <c r="E94" s="572">
        <v>40.299999999999997</v>
      </c>
      <c r="F94" s="573" t="s">
        <v>118</v>
      </c>
      <c r="G94" s="573" t="s">
        <v>118</v>
      </c>
    </row>
    <row r="95" spans="2:9" x14ac:dyDescent="0.3">
      <c r="B95" s="41" t="s">
        <v>182</v>
      </c>
      <c r="C95" s="171" t="s">
        <v>460</v>
      </c>
      <c r="D95" s="572">
        <v>450</v>
      </c>
      <c r="E95" s="573" t="s">
        <v>118</v>
      </c>
      <c r="F95" s="808">
        <v>100</v>
      </c>
      <c r="G95" s="806" t="s">
        <v>118</v>
      </c>
    </row>
    <row r="96" spans="2:9" x14ac:dyDescent="0.3">
      <c r="B96" s="41" t="s">
        <v>524</v>
      </c>
      <c r="C96" s="171" t="s">
        <v>460</v>
      </c>
      <c r="D96" s="573" t="s">
        <v>118</v>
      </c>
      <c r="E96" s="572">
        <f>'Energy fixed costs'!L122</f>
        <v>100</v>
      </c>
      <c r="F96" s="573" t="s">
        <v>118</v>
      </c>
      <c r="G96" s="573" t="s">
        <v>118</v>
      </c>
    </row>
    <row r="97" spans="2:7" x14ac:dyDescent="0.3">
      <c r="B97" s="41" t="s">
        <v>525</v>
      </c>
      <c r="C97" s="171" t="s">
        <v>460</v>
      </c>
      <c r="D97" s="573" t="s">
        <v>118</v>
      </c>
      <c r="E97" s="573" t="s">
        <v>118</v>
      </c>
      <c r="F97" s="573" t="s">
        <v>118</v>
      </c>
      <c r="G97" s="572">
        <v>175</v>
      </c>
    </row>
    <row r="98" spans="2:7" x14ac:dyDescent="0.3">
      <c r="B98" s="46" t="s">
        <v>257</v>
      </c>
      <c r="C98" s="172" t="s">
        <v>460</v>
      </c>
      <c r="D98" s="807">
        <v>170</v>
      </c>
      <c r="E98" s="807">
        <v>170</v>
      </c>
      <c r="F98" s="807">
        <v>170</v>
      </c>
      <c r="G98" s="807">
        <v>170</v>
      </c>
    </row>
    <row r="101" spans="2:7" x14ac:dyDescent="0.3">
      <c r="C101" s="24"/>
    </row>
    <row r="102" spans="2:7" x14ac:dyDescent="0.3">
      <c r="C102" s="24"/>
    </row>
    <row r="103" spans="2:7" x14ac:dyDescent="0.3">
      <c r="C103" s="24"/>
    </row>
    <row r="104" spans="2:7" x14ac:dyDescent="0.3">
      <c r="C104" s="24"/>
    </row>
    <row r="105" spans="2:7" x14ac:dyDescent="0.3">
      <c r="C105" s="24"/>
    </row>
    <row r="106" spans="2:7" x14ac:dyDescent="0.3">
      <c r="C106" s="24"/>
    </row>
    <row r="110" spans="2:7" x14ac:dyDescent="0.3">
      <c r="G110" s="10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X146"/>
  <sheetViews>
    <sheetView topLeftCell="H111" zoomScale="115" zoomScaleNormal="115" workbookViewId="0">
      <selection activeCell="K126" sqref="K126"/>
    </sheetView>
  </sheetViews>
  <sheetFormatPr defaultColWidth="9" defaultRowHeight="14" x14ac:dyDescent="0.3"/>
  <cols>
    <col min="2" max="2" width="45" customWidth="1"/>
    <col min="5" max="5" width="4.08203125" customWidth="1"/>
    <col min="10" max="10" width="4.08203125" customWidth="1"/>
    <col min="15" max="15" width="4.08203125" customWidth="1"/>
    <col min="20" max="20" width="4.08203125" customWidth="1"/>
  </cols>
  <sheetData>
    <row r="1" spans="2:24" ht="14.5" thickBot="1" x14ac:dyDescent="0.35"/>
    <row r="2" spans="2:24" ht="14.5" thickBot="1" x14ac:dyDescent="0.35">
      <c r="B2" s="302" t="s">
        <v>469</v>
      </c>
    </row>
    <row r="3" spans="2:24" x14ac:dyDescent="0.3">
      <c r="B3" s="128"/>
      <c r="F3" s="70"/>
      <c r="M3" s="70"/>
      <c r="N3" s="69"/>
    </row>
    <row r="4" spans="2:24" x14ac:dyDescent="0.3">
      <c r="B4" s="129" t="s">
        <v>40</v>
      </c>
      <c r="C4" s="130">
        <f>'Arable Inputs'!D31</f>
        <v>12.8</v>
      </c>
      <c r="F4" s="70"/>
      <c r="G4" s="69"/>
      <c r="I4" s="70"/>
      <c r="J4" s="70"/>
      <c r="K4" s="69"/>
      <c r="M4" s="70"/>
      <c r="N4" s="69"/>
    </row>
    <row r="6" spans="2:24" x14ac:dyDescent="0.3">
      <c r="B6" s="21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</row>
    <row r="7" spans="2:24" x14ac:dyDescent="0.3">
      <c r="B7" s="47"/>
      <c r="C7" s="47"/>
      <c r="D7" s="47"/>
      <c r="E7" s="139"/>
      <c r="F7" s="51" t="s">
        <v>94</v>
      </c>
      <c r="G7" s="44"/>
      <c r="H7" s="44"/>
      <c r="I7" s="44"/>
      <c r="J7" s="139"/>
      <c r="K7" s="42" t="s">
        <v>95</v>
      </c>
      <c r="L7" s="44"/>
      <c r="M7" s="44"/>
      <c r="N7" s="48"/>
      <c r="O7" s="44"/>
      <c r="P7" s="183" t="s">
        <v>96</v>
      </c>
      <c r="Q7" s="44"/>
      <c r="R7" s="44"/>
      <c r="S7" s="48"/>
      <c r="T7" s="44"/>
      <c r="U7" s="183" t="s">
        <v>498</v>
      </c>
      <c r="V7" s="44"/>
      <c r="W7" s="44"/>
      <c r="X7" s="48"/>
    </row>
    <row r="8" spans="2:24" ht="22.5" customHeight="1" x14ac:dyDescent="0.3">
      <c r="B8" s="103"/>
      <c r="C8" s="26"/>
      <c r="D8" s="26"/>
      <c r="E8" s="135"/>
      <c r="F8" s="1094" t="s">
        <v>38</v>
      </c>
      <c r="G8" s="1097"/>
      <c r="H8" s="1095">
        <f>H36</f>
        <v>4.9499999999999993</v>
      </c>
      <c r="I8" s="1098"/>
      <c r="J8" s="140"/>
      <c r="K8" s="1093" t="s">
        <v>38</v>
      </c>
      <c r="L8" s="1099"/>
      <c r="M8" s="1095">
        <f>M36</f>
        <v>4.9499999999999993</v>
      </c>
      <c r="N8" s="1096"/>
      <c r="O8" s="132"/>
      <c r="P8" s="1093" t="s">
        <v>38</v>
      </c>
      <c r="Q8" s="1094"/>
      <c r="R8" s="1095">
        <f>R36</f>
        <v>6</v>
      </c>
      <c r="S8" s="1096"/>
      <c r="T8" s="132"/>
      <c r="U8" s="1093" t="s">
        <v>38</v>
      </c>
      <c r="V8" s="1094"/>
      <c r="W8" s="1095">
        <f>W36</f>
        <v>6</v>
      </c>
      <c r="X8" s="1095"/>
    </row>
    <row r="9" spans="2:24" ht="22.5" customHeight="1" x14ac:dyDescent="0.3">
      <c r="B9" s="45"/>
      <c r="C9" s="26"/>
      <c r="D9" s="26"/>
      <c r="E9" s="135"/>
      <c r="F9" s="1088" t="s">
        <v>37</v>
      </c>
      <c r="G9" s="1091"/>
      <c r="H9" s="1089">
        <f>I36</f>
        <v>63.36</v>
      </c>
      <c r="I9" s="1092"/>
      <c r="J9" s="141"/>
      <c r="K9" s="1087" t="s">
        <v>37</v>
      </c>
      <c r="L9" s="1088"/>
      <c r="M9" s="1089">
        <f>N36</f>
        <v>63.36</v>
      </c>
      <c r="N9" s="1090"/>
      <c r="O9" s="133"/>
      <c r="P9" s="1087" t="s">
        <v>37</v>
      </c>
      <c r="Q9" s="1088"/>
      <c r="R9" s="1089">
        <f>S36</f>
        <v>76.8</v>
      </c>
      <c r="S9" s="1090"/>
      <c r="T9" s="133"/>
      <c r="U9" s="1087" t="s">
        <v>37</v>
      </c>
      <c r="V9" s="1088"/>
      <c r="W9" s="1089">
        <f>X36</f>
        <v>76.8</v>
      </c>
      <c r="X9" s="1089"/>
    </row>
    <row r="10" spans="2:24" ht="22.5" customHeight="1" x14ac:dyDescent="0.3">
      <c r="B10" s="45" t="s">
        <v>242</v>
      </c>
      <c r="C10" s="25"/>
      <c r="D10" s="26"/>
      <c r="E10" s="135"/>
      <c r="F10" s="1088" t="s">
        <v>36</v>
      </c>
      <c r="G10" s="1091"/>
      <c r="H10" s="1089">
        <f>G36</f>
        <v>200</v>
      </c>
      <c r="I10" s="1092"/>
      <c r="J10" s="141"/>
      <c r="K10" s="1087" t="s">
        <v>36</v>
      </c>
      <c r="L10" s="1088"/>
      <c r="M10" s="1089">
        <f>L36</f>
        <v>180</v>
      </c>
      <c r="N10" s="1090"/>
      <c r="O10" s="133"/>
      <c r="P10" s="1087" t="s">
        <v>36</v>
      </c>
      <c r="Q10" s="1088"/>
      <c r="R10" s="1089">
        <f>Q36</f>
        <v>180</v>
      </c>
      <c r="S10" s="1090"/>
      <c r="T10" s="133"/>
      <c r="U10" s="1087" t="s">
        <v>36</v>
      </c>
      <c r="V10" s="1088"/>
      <c r="W10" s="1089">
        <f>V36</f>
        <v>180</v>
      </c>
      <c r="X10" s="1089"/>
    </row>
    <row r="11" spans="2:24" ht="22.5" customHeight="1" x14ac:dyDescent="0.3">
      <c r="B11" s="41"/>
      <c r="C11" s="47"/>
      <c r="D11" s="47"/>
      <c r="E11" s="137"/>
      <c r="F11" s="1080" t="s">
        <v>39</v>
      </c>
      <c r="G11" s="1081"/>
      <c r="H11" s="1082">
        <f>H10-H9</f>
        <v>136.63999999999999</v>
      </c>
      <c r="I11" s="1083"/>
      <c r="J11" s="142"/>
      <c r="K11" s="1084" t="s">
        <v>39</v>
      </c>
      <c r="L11" s="1080"/>
      <c r="M11" s="1082">
        <f>M10-M9</f>
        <v>116.64</v>
      </c>
      <c r="N11" s="1085"/>
      <c r="O11" s="362"/>
      <c r="P11" s="1084" t="s">
        <v>39</v>
      </c>
      <c r="Q11" s="1080"/>
      <c r="R11" s="1082">
        <f>R10-R9</f>
        <v>103.2</v>
      </c>
      <c r="S11" s="1085"/>
      <c r="T11" s="362"/>
      <c r="U11" s="1084" t="s">
        <v>39</v>
      </c>
      <c r="V11" s="1086"/>
      <c r="W11" s="1082">
        <f>W10-W9</f>
        <v>103.2</v>
      </c>
      <c r="X11" s="1082"/>
    </row>
    <row r="12" spans="2:24" x14ac:dyDescent="0.3">
      <c r="B12" s="55"/>
      <c r="C12" s="58" t="s">
        <v>100</v>
      </c>
      <c r="D12" s="134" t="s">
        <v>101</v>
      </c>
      <c r="E12" s="144" t="s">
        <v>243</v>
      </c>
      <c r="F12" s="71" t="s">
        <v>42</v>
      </c>
      <c r="G12" s="72" t="s">
        <v>43</v>
      </c>
      <c r="H12" s="71" t="s">
        <v>44</v>
      </c>
      <c r="I12" s="71" t="s">
        <v>45</v>
      </c>
      <c r="J12" s="143" t="s">
        <v>243</v>
      </c>
      <c r="K12" s="73" t="s">
        <v>42</v>
      </c>
      <c r="L12" s="72" t="s">
        <v>45</v>
      </c>
      <c r="M12" s="71" t="s">
        <v>44</v>
      </c>
      <c r="N12" s="72" t="s">
        <v>45</v>
      </c>
      <c r="O12" s="143" t="s">
        <v>243</v>
      </c>
      <c r="P12" s="73" t="s">
        <v>42</v>
      </c>
      <c r="Q12" s="72" t="s">
        <v>45</v>
      </c>
      <c r="R12" s="71" t="s">
        <v>44</v>
      </c>
      <c r="S12" s="72" t="s">
        <v>45</v>
      </c>
      <c r="T12" s="143" t="s">
        <v>243</v>
      </c>
      <c r="U12" s="73" t="s">
        <v>42</v>
      </c>
      <c r="V12" s="72" t="s">
        <v>45</v>
      </c>
      <c r="W12" s="71" t="s">
        <v>44</v>
      </c>
      <c r="X12" s="72" t="s">
        <v>45</v>
      </c>
    </row>
    <row r="13" spans="2:24" x14ac:dyDescent="0.3">
      <c r="B13" s="836" t="s">
        <v>541</v>
      </c>
      <c r="C13" s="50"/>
      <c r="D13" s="56"/>
      <c r="E13" s="835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2"/>
    </row>
    <row r="14" spans="2:24" x14ac:dyDescent="0.3">
      <c r="B14" s="42" t="s">
        <v>41</v>
      </c>
      <c r="C14" s="50"/>
      <c r="D14" s="56"/>
      <c r="E14" s="56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57"/>
    </row>
    <row r="15" spans="2:24" x14ac:dyDescent="0.3">
      <c r="B15" s="41" t="s">
        <v>121</v>
      </c>
      <c r="C15" s="59">
        <f>61.38*'Energy Inputs'!D8</f>
        <v>61.38</v>
      </c>
      <c r="D15" s="61">
        <f>52.06*'Energy Inputs'!D8</f>
        <v>52.06</v>
      </c>
      <c r="E15" s="138"/>
      <c r="F15" s="26"/>
      <c r="G15" s="54"/>
      <c r="H15" s="26"/>
      <c r="I15" s="26"/>
      <c r="J15" s="138"/>
      <c r="K15" s="26"/>
      <c r="L15" s="54"/>
      <c r="M15" s="26"/>
      <c r="N15" s="26"/>
      <c r="O15" s="138"/>
      <c r="P15" s="26"/>
      <c r="Q15" s="54"/>
      <c r="R15" s="26"/>
      <c r="S15" s="26"/>
      <c r="T15" s="138"/>
      <c r="U15" s="26"/>
      <c r="V15" s="54"/>
      <c r="W15" s="53"/>
      <c r="X15" s="54"/>
    </row>
    <row r="16" spans="2:24" x14ac:dyDescent="0.3">
      <c r="B16" s="41" t="s">
        <v>122</v>
      </c>
      <c r="C16" s="59">
        <f>63.88*'Energy Inputs'!D8</f>
        <v>63.88</v>
      </c>
      <c r="D16" s="61">
        <f>57.54*'Energy Inputs'!D8</f>
        <v>57.54</v>
      </c>
      <c r="E16" s="138">
        <v>2</v>
      </c>
      <c r="F16" s="26">
        <v>1</v>
      </c>
      <c r="G16" s="993">
        <f>IF(F16&gt;=1,CHOOSE(E16,$C16,$D16)*F16)</f>
        <v>57.54</v>
      </c>
      <c r="H16" s="851">
        <v>1.4</v>
      </c>
      <c r="I16" s="994">
        <f>H16*$C$4</f>
        <v>17.919999999999998</v>
      </c>
      <c r="J16" s="138">
        <v>2</v>
      </c>
      <c r="K16" s="26">
        <v>1</v>
      </c>
      <c r="L16" s="993">
        <f>IF(K16&gt;=1,CHOOSE(J16,$C16,$D16)*K16)</f>
        <v>57.54</v>
      </c>
      <c r="M16" s="851">
        <v>1.4</v>
      </c>
      <c r="N16" s="994">
        <f>M16*$C$4</f>
        <v>17.919999999999998</v>
      </c>
      <c r="O16" s="138">
        <v>2</v>
      </c>
      <c r="P16" s="26">
        <v>1</v>
      </c>
      <c r="Q16" s="993">
        <f>IF(P16&gt;=1,CHOOSE(O16,$C16,$D16)*P16)</f>
        <v>57.54</v>
      </c>
      <c r="R16" s="851">
        <v>1.4</v>
      </c>
      <c r="S16" s="994">
        <f>R16*$C$4</f>
        <v>17.919999999999998</v>
      </c>
      <c r="T16" s="138">
        <v>2</v>
      </c>
      <c r="U16" s="26">
        <v>1</v>
      </c>
      <c r="V16" s="993">
        <f>IF(U16&gt;=1,CHOOSE(T16,$C16,$D16)*U16)</f>
        <v>57.54</v>
      </c>
      <c r="W16" s="851">
        <v>1.4</v>
      </c>
      <c r="X16" s="993">
        <f>W16*$C$4</f>
        <v>17.919999999999998</v>
      </c>
    </row>
    <row r="17" spans="2:24" x14ac:dyDescent="0.3">
      <c r="B17" s="41" t="s">
        <v>123</v>
      </c>
      <c r="C17" s="59">
        <f>(C15+6.92)*'Energy Inputs'!D8</f>
        <v>68.3</v>
      </c>
      <c r="D17" s="61">
        <f>(D15+10.44)*'Energy Inputs'!D8</f>
        <v>62.5</v>
      </c>
      <c r="E17" s="138"/>
      <c r="F17" s="26"/>
      <c r="G17" s="993"/>
      <c r="H17" s="26"/>
      <c r="I17" s="994"/>
      <c r="J17" s="138"/>
      <c r="K17" s="26"/>
      <c r="L17" s="993"/>
      <c r="M17" s="26"/>
      <c r="N17" s="994"/>
      <c r="O17" s="138"/>
      <c r="P17" s="26"/>
      <c r="Q17" s="993"/>
      <c r="R17" s="26"/>
      <c r="S17" s="994"/>
      <c r="T17" s="138"/>
      <c r="U17" s="26"/>
      <c r="V17" s="993"/>
      <c r="W17" s="852"/>
      <c r="X17" s="993"/>
    </row>
    <row r="18" spans="2:24" x14ac:dyDescent="0.3">
      <c r="B18" s="41" t="s">
        <v>102</v>
      </c>
      <c r="C18" s="59">
        <f>76.5*'Energy Inputs'!D8</f>
        <v>76.5</v>
      </c>
      <c r="D18" s="61">
        <f>68.49*'Energy Inputs'!D8</f>
        <v>68.489999999999995</v>
      </c>
      <c r="E18" s="138"/>
      <c r="F18" s="26"/>
      <c r="G18" s="993"/>
      <c r="H18" s="26"/>
      <c r="I18" s="994"/>
      <c r="J18" s="138"/>
      <c r="K18" s="26"/>
      <c r="L18" s="993"/>
      <c r="M18" s="26"/>
      <c r="N18" s="994"/>
      <c r="O18" s="138"/>
      <c r="P18" s="26"/>
      <c r="Q18" s="993"/>
      <c r="R18" s="26"/>
      <c r="S18" s="994"/>
      <c r="T18" s="138"/>
      <c r="U18" s="26"/>
      <c r="V18" s="993"/>
      <c r="W18" s="852"/>
      <c r="X18" s="993"/>
    </row>
    <row r="19" spans="2:24" x14ac:dyDescent="0.3">
      <c r="B19" s="41" t="s">
        <v>125</v>
      </c>
      <c r="C19" s="59">
        <f>75.12*'Energy Inputs'!D8</f>
        <v>75.12</v>
      </c>
      <c r="D19" s="61">
        <f>62.16*'Energy Inputs'!D8</f>
        <v>62.16</v>
      </c>
      <c r="E19" s="138"/>
      <c r="F19" s="26"/>
      <c r="G19" s="993"/>
      <c r="H19" s="26"/>
      <c r="I19" s="994"/>
      <c r="J19" s="138"/>
      <c r="K19" s="26"/>
      <c r="L19" s="993"/>
      <c r="M19" s="26"/>
      <c r="N19" s="994"/>
      <c r="O19" s="138"/>
      <c r="P19" s="26"/>
      <c r="Q19" s="993"/>
      <c r="R19" s="26"/>
      <c r="S19" s="994"/>
      <c r="T19" s="138"/>
      <c r="U19" s="26"/>
      <c r="V19" s="993"/>
      <c r="W19" s="852"/>
      <c r="X19" s="993"/>
    </row>
    <row r="20" spans="2:24" x14ac:dyDescent="0.3">
      <c r="B20" s="41" t="s">
        <v>124</v>
      </c>
      <c r="C20" s="59" t="s">
        <v>118</v>
      </c>
      <c r="D20" s="61">
        <f>88.06*'Energy Inputs'!D8</f>
        <v>88.06</v>
      </c>
      <c r="E20" s="138"/>
      <c r="F20" s="26"/>
      <c r="G20" s="993"/>
      <c r="H20" s="26"/>
      <c r="I20" s="994"/>
      <c r="J20" s="138"/>
      <c r="K20" s="26"/>
      <c r="L20" s="993"/>
      <c r="M20" s="26"/>
      <c r="N20" s="994"/>
      <c r="O20" s="138"/>
      <c r="P20" s="26"/>
      <c r="Q20" s="993"/>
      <c r="R20" s="26"/>
      <c r="S20" s="994"/>
      <c r="T20" s="138"/>
      <c r="U20" s="26"/>
      <c r="V20" s="993"/>
      <c r="W20" s="852"/>
      <c r="X20" s="993"/>
    </row>
    <row r="21" spans="2:24" x14ac:dyDescent="0.3">
      <c r="B21" s="41" t="s">
        <v>103</v>
      </c>
      <c r="C21" s="59">
        <f>59.3*'Energy Inputs'!D8</f>
        <v>59.3</v>
      </c>
      <c r="D21" s="61">
        <f>52.25*'Energy Inputs'!D8</f>
        <v>52.25</v>
      </c>
      <c r="E21" s="138">
        <v>2</v>
      </c>
      <c r="F21" s="26">
        <v>1</v>
      </c>
      <c r="G21" s="993">
        <f>IF(F21&gt;=1,CHOOSE(E21,$C21,$D21)*F21)</f>
        <v>52.25</v>
      </c>
      <c r="H21" s="851">
        <v>1.4</v>
      </c>
      <c r="I21" s="994">
        <f>H21*$C$4</f>
        <v>17.919999999999998</v>
      </c>
      <c r="J21" s="138">
        <v>2</v>
      </c>
      <c r="K21" s="26">
        <v>1</v>
      </c>
      <c r="L21" s="993">
        <f>IF(K21&gt;=1,CHOOSE(J21,$C21,$D21)*K21)</f>
        <v>52.25</v>
      </c>
      <c r="M21" s="851">
        <v>1.4</v>
      </c>
      <c r="N21" s="994">
        <f>M21*$C$4</f>
        <v>17.919999999999998</v>
      </c>
      <c r="O21" s="138">
        <v>2</v>
      </c>
      <c r="P21" s="26">
        <v>1</v>
      </c>
      <c r="Q21" s="993">
        <f>IF(P21&gt;=1,CHOOSE(O21,$C21,$D21)*P21)</f>
        <v>52.25</v>
      </c>
      <c r="R21" s="851">
        <v>1.4</v>
      </c>
      <c r="S21" s="994">
        <f>R21*$C$4</f>
        <v>17.919999999999998</v>
      </c>
      <c r="T21" s="138">
        <v>2</v>
      </c>
      <c r="U21" s="26">
        <v>1</v>
      </c>
      <c r="V21" s="993">
        <f>IF(U21&gt;=1,CHOOSE(T21,$C21,$D21)*U21)</f>
        <v>52.25</v>
      </c>
      <c r="W21" s="851">
        <v>1.4</v>
      </c>
      <c r="X21" s="993">
        <f>W21*$C$4</f>
        <v>17.919999999999998</v>
      </c>
    </row>
    <row r="22" spans="2:24" x14ac:dyDescent="0.3">
      <c r="B22" s="41" t="s">
        <v>104</v>
      </c>
      <c r="C22" s="59">
        <f>70.77*'Energy Inputs'!D8</f>
        <v>70.77</v>
      </c>
      <c r="D22" s="61">
        <f>59.72*'Energy Inputs'!D8</f>
        <v>59.72</v>
      </c>
      <c r="E22" s="138"/>
      <c r="F22" s="26"/>
      <c r="G22" s="993"/>
      <c r="H22" s="26"/>
      <c r="I22" s="994"/>
      <c r="J22" s="138"/>
      <c r="K22" s="26"/>
      <c r="L22" s="993"/>
      <c r="M22" s="26"/>
      <c r="N22" s="994"/>
      <c r="O22" s="138"/>
      <c r="P22" s="26"/>
      <c r="Q22" s="993"/>
      <c r="R22" s="26"/>
      <c r="S22" s="994"/>
      <c r="T22" s="138"/>
      <c r="U22" s="26"/>
      <c r="V22" s="993"/>
      <c r="W22" s="852"/>
      <c r="X22" s="993"/>
    </row>
    <row r="23" spans="2:24" x14ac:dyDescent="0.3">
      <c r="B23" s="41" t="s">
        <v>46</v>
      </c>
      <c r="C23" s="59">
        <f>18.93*'Energy Inputs'!D8</f>
        <v>18.93</v>
      </c>
      <c r="D23" s="61">
        <f>15.22*'Energy Inputs'!D8</f>
        <v>15.22</v>
      </c>
      <c r="E23" s="138"/>
      <c r="F23" s="26"/>
      <c r="G23" s="993"/>
      <c r="H23" s="26"/>
      <c r="I23" s="994"/>
      <c r="J23" s="138"/>
      <c r="K23" s="26"/>
      <c r="L23" s="993"/>
      <c r="M23" s="26"/>
      <c r="N23" s="994"/>
      <c r="O23" s="138"/>
      <c r="P23" s="26"/>
      <c r="Q23" s="993"/>
      <c r="R23" s="26"/>
      <c r="S23" s="994"/>
      <c r="T23" s="138"/>
      <c r="U23" s="26"/>
      <c r="V23" s="993"/>
      <c r="W23" s="852"/>
      <c r="X23" s="993"/>
    </row>
    <row r="24" spans="2:24" x14ac:dyDescent="0.3">
      <c r="B24" s="41" t="s">
        <v>127</v>
      </c>
      <c r="C24" s="59">
        <f>51.89*'Energy Inputs'!D8</f>
        <v>51.89</v>
      </c>
      <c r="D24" s="61">
        <f>33.4*'Energy Inputs'!D8</f>
        <v>33.4</v>
      </c>
      <c r="E24" s="138"/>
      <c r="F24" s="26"/>
      <c r="G24" s="993"/>
      <c r="H24" s="26"/>
      <c r="I24" s="994"/>
      <c r="J24" s="138"/>
      <c r="K24" s="26"/>
      <c r="L24" s="993"/>
      <c r="M24" s="26"/>
      <c r="N24" s="994"/>
      <c r="O24" s="138"/>
      <c r="P24" s="26"/>
      <c r="Q24" s="993"/>
      <c r="R24" s="26"/>
      <c r="S24" s="994"/>
      <c r="T24" s="138"/>
      <c r="U24" s="26"/>
      <c r="V24" s="993"/>
      <c r="W24" s="852"/>
      <c r="X24" s="993"/>
    </row>
    <row r="25" spans="2:24" x14ac:dyDescent="0.3">
      <c r="B25" s="41" t="s">
        <v>126</v>
      </c>
      <c r="C25" s="59">
        <f>59.3*'Energy Inputs'!D8</f>
        <v>59.3</v>
      </c>
      <c r="D25" s="61">
        <f>41.49*'Energy Inputs'!D8</f>
        <v>41.49</v>
      </c>
      <c r="E25" s="138"/>
      <c r="F25" s="26"/>
      <c r="G25" s="993"/>
      <c r="H25" s="26"/>
      <c r="I25" s="994"/>
      <c r="J25" s="138"/>
      <c r="K25" s="26"/>
      <c r="L25" s="993"/>
      <c r="M25" s="26"/>
      <c r="N25" s="994"/>
      <c r="O25" s="138"/>
      <c r="P25" s="26"/>
      <c r="Q25" s="993"/>
      <c r="R25" s="26"/>
      <c r="S25" s="994"/>
      <c r="T25" s="138"/>
      <c r="U25" s="26"/>
      <c r="V25" s="993"/>
      <c r="W25" s="852"/>
      <c r="X25" s="993"/>
    </row>
    <row r="26" spans="2:24" x14ac:dyDescent="0.3">
      <c r="B26" s="41" t="s">
        <v>128</v>
      </c>
      <c r="C26" s="59">
        <f>59.3*'Energy Inputs'!D8</f>
        <v>59.3</v>
      </c>
      <c r="D26" s="61">
        <f>52.41*'Energy Inputs'!D8</f>
        <v>52.41</v>
      </c>
      <c r="E26" s="138">
        <v>2</v>
      </c>
      <c r="F26" s="26">
        <v>1</v>
      </c>
      <c r="G26" s="993">
        <f>IF(F26&gt;=1,CHOOSE(E26,$C26,$D26)*F26)</f>
        <v>52.41</v>
      </c>
      <c r="H26" s="850">
        <v>1</v>
      </c>
      <c r="I26" s="994">
        <f>H26*$C$4</f>
        <v>12.8</v>
      </c>
      <c r="J26" s="138">
        <v>2</v>
      </c>
      <c r="K26" s="26">
        <v>1</v>
      </c>
      <c r="L26" s="993">
        <f>IF(K26&gt;=1,CHOOSE(J26,$C26,$D26)*K26)</f>
        <v>52.41</v>
      </c>
      <c r="M26" s="851">
        <v>1</v>
      </c>
      <c r="N26" s="994">
        <f>M26*$C$4</f>
        <v>12.8</v>
      </c>
      <c r="O26" s="138">
        <v>2</v>
      </c>
      <c r="P26" s="26">
        <v>1</v>
      </c>
      <c r="Q26" s="993">
        <f>IF(P26&gt;=1,CHOOSE(O26,$C26,$D26)*P26)</f>
        <v>52.41</v>
      </c>
      <c r="R26" s="851">
        <v>2.1</v>
      </c>
      <c r="S26" s="994">
        <f>R26*$C$4</f>
        <v>26.880000000000003</v>
      </c>
      <c r="T26" s="138"/>
      <c r="U26" s="26"/>
      <c r="V26" s="993"/>
      <c r="W26" s="852"/>
      <c r="X26" s="993"/>
    </row>
    <row r="27" spans="2:24" x14ac:dyDescent="0.3">
      <c r="B27" s="41" t="s">
        <v>129</v>
      </c>
      <c r="C27" s="59">
        <f>51.89*'Energy Inputs'!D8</f>
        <v>51.89</v>
      </c>
      <c r="D27" s="61">
        <f>39.31*'Energy Inputs'!D8</f>
        <v>39.31</v>
      </c>
      <c r="E27" s="138"/>
      <c r="F27" s="26"/>
      <c r="G27" s="993"/>
      <c r="H27" s="26"/>
      <c r="I27" s="994"/>
      <c r="J27" s="138"/>
      <c r="K27" s="26"/>
      <c r="L27" s="993"/>
      <c r="M27" s="26"/>
      <c r="N27" s="994"/>
      <c r="O27" s="138"/>
      <c r="P27" s="26"/>
      <c r="Q27" s="993"/>
      <c r="R27" s="851"/>
      <c r="S27" s="994"/>
      <c r="T27" s="138">
        <v>2</v>
      </c>
      <c r="U27" s="26">
        <v>1</v>
      </c>
      <c r="V27" s="993">
        <f>IF(U27&gt;=1,CHOOSE(T27,$C27,$D27)*U27)</f>
        <v>39.31</v>
      </c>
      <c r="W27" s="852">
        <v>2.1</v>
      </c>
      <c r="X27" s="993">
        <f>W27*$C$4</f>
        <v>26.880000000000003</v>
      </c>
    </row>
    <row r="28" spans="2:24" x14ac:dyDescent="0.3">
      <c r="B28" s="41" t="s">
        <v>105</v>
      </c>
      <c r="C28" s="59">
        <f>34.59*'Energy Inputs'!D8</f>
        <v>34.590000000000003</v>
      </c>
      <c r="D28" s="61">
        <f>21.76*'Energy Inputs'!D8</f>
        <v>21.76</v>
      </c>
      <c r="E28" s="138"/>
      <c r="F28" s="26"/>
      <c r="G28" s="993"/>
      <c r="H28" s="26"/>
      <c r="I28" s="994"/>
      <c r="J28" s="138"/>
      <c r="K28" s="26"/>
      <c r="L28" s="993"/>
      <c r="M28" s="26"/>
      <c r="N28" s="994"/>
      <c r="O28" s="138"/>
      <c r="P28" s="26"/>
      <c r="Q28" s="993"/>
      <c r="R28" s="851"/>
      <c r="S28" s="994"/>
      <c r="T28" s="138"/>
      <c r="U28" s="26"/>
      <c r="V28" s="993"/>
      <c r="W28" s="852"/>
      <c r="X28" s="993"/>
    </row>
    <row r="29" spans="2:24" x14ac:dyDescent="0.3">
      <c r="B29" s="41" t="s">
        <v>106</v>
      </c>
      <c r="C29" s="59">
        <f>37.07*'Energy Inputs'!D8</f>
        <v>37.07</v>
      </c>
      <c r="D29" s="61">
        <f>25.65*'Energy Inputs'!D8</f>
        <v>25.65</v>
      </c>
      <c r="E29" s="138"/>
      <c r="F29" s="26"/>
      <c r="G29" s="993"/>
      <c r="H29" s="26"/>
      <c r="I29" s="994"/>
      <c r="J29" s="138"/>
      <c r="K29" s="26"/>
      <c r="L29" s="993"/>
      <c r="M29" s="26"/>
      <c r="N29" s="994"/>
      <c r="O29" s="138"/>
      <c r="P29" s="26"/>
      <c r="Q29" s="993"/>
      <c r="R29" s="851"/>
      <c r="S29" s="994"/>
      <c r="T29" s="138"/>
      <c r="U29" s="26"/>
      <c r="V29" s="993"/>
      <c r="W29" s="852"/>
      <c r="X29" s="993"/>
    </row>
    <row r="30" spans="2:24" x14ac:dyDescent="0.3">
      <c r="B30" s="41" t="s">
        <v>109</v>
      </c>
      <c r="C30" s="59">
        <f>67.26*'Energy Inputs'!D8</f>
        <v>67.260000000000005</v>
      </c>
      <c r="D30" s="61">
        <f>52.91*'Energy Inputs'!D8</f>
        <v>52.91</v>
      </c>
      <c r="E30" s="138"/>
      <c r="F30" s="26"/>
      <c r="G30" s="993"/>
      <c r="H30" s="26"/>
      <c r="I30" s="994"/>
      <c r="J30" s="138"/>
      <c r="K30" s="26"/>
      <c r="L30" s="993"/>
      <c r="M30" s="26"/>
      <c r="N30" s="994"/>
      <c r="O30" s="138"/>
      <c r="P30" s="26"/>
      <c r="Q30" s="993"/>
      <c r="R30" s="851"/>
      <c r="S30" s="994"/>
      <c r="T30" s="138"/>
      <c r="U30" s="26"/>
      <c r="V30" s="993"/>
      <c r="W30" s="852"/>
      <c r="X30" s="993"/>
    </row>
    <row r="31" spans="2:24" x14ac:dyDescent="0.3">
      <c r="B31" s="41" t="s">
        <v>108</v>
      </c>
      <c r="C31" s="59">
        <f>37.07*'Energy Inputs'!D8</f>
        <v>37.07</v>
      </c>
      <c r="D31" s="61">
        <f>37.32*'Energy Inputs'!D8</f>
        <v>37.32</v>
      </c>
      <c r="E31" s="138"/>
      <c r="F31" s="26"/>
      <c r="G31" s="993"/>
      <c r="H31" s="850"/>
      <c r="I31" s="994"/>
      <c r="J31" s="138"/>
      <c r="K31" s="26"/>
      <c r="L31" s="993"/>
      <c r="M31" s="850"/>
      <c r="N31" s="994"/>
      <c r="O31" s="138"/>
      <c r="P31" s="26"/>
      <c r="Q31" s="993"/>
      <c r="R31" s="850"/>
      <c r="S31" s="994"/>
      <c r="T31" s="138"/>
      <c r="U31" s="26"/>
      <c r="V31" s="993"/>
      <c r="W31" s="852"/>
      <c r="X31" s="993"/>
    </row>
    <row r="32" spans="2:24" x14ac:dyDescent="0.3">
      <c r="B32" s="41" t="s">
        <v>107</v>
      </c>
      <c r="C32" s="59">
        <f>29.9*'Energy Inputs'!D8</f>
        <v>29.9</v>
      </c>
      <c r="D32" s="61">
        <f>16.68*'Energy Inputs'!D8</f>
        <v>16.68</v>
      </c>
      <c r="E32" s="138"/>
      <c r="F32" s="39"/>
      <c r="G32" s="993"/>
      <c r="H32" s="39"/>
      <c r="I32" s="994"/>
      <c r="J32" s="138"/>
      <c r="K32" s="98"/>
      <c r="L32" s="993"/>
      <c r="M32" s="26"/>
      <c r="N32" s="994"/>
      <c r="O32" s="138"/>
      <c r="P32" s="26"/>
      <c r="Q32" s="993"/>
      <c r="R32" s="851"/>
      <c r="S32" s="994"/>
      <c r="T32" s="138"/>
      <c r="U32" s="26"/>
      <c r="V32" s="993"/>
      <c r="W32" s="852"/>
      <c r="X32" s="993"/>
    </row>
    <row r="33" spans="2:24" x14ac:dyDescent="0.3">
      <c r="B33" s="41" t="s">
        <v>130</v>
      </c>
      <c r="C33" s="59">
        <f>21.42*'Energy Inputs'!D8</f>
        <v>21.42</v>
      </c>
      <c r="D33" s="61">
        <f>8.89*'Energy Inputs'!D8</f>
        <v>8.89</v>
      </c>
      <c r="E33" s="138">
        <v>2</v>
      </c>
      <c r="F33" s="26">
        <v>1</v>
      </c>
      <c r="G33" s="993">
        <f>IF(F33&gt;=1,CHOOSE(E33,$C33,$D33)*F33)</f>
        <v>8.89</v>
      </c>
      <c r="H33" s="995">
        <f>AVERAGE(1.1,1.2)</f>
        <v>1.1499999999999999</v>
      </c>
      <c r="I33" s="994">
        <f>H33*$C$4</f>
        <v>14.719999999999999</v>
      </c>
      <c r="J33" s="138">
        <v>2</v>
      </c>
      <c r="K33" s="26">
        <v>1</v>
      </c>
      <c r="L33" s="993">
        <f>IF(K33&gt;=1,CHOOSE(J33,$C33,$D33)*K33)</f>
        <v>8.89</v>
      </c>
      <c r="M33" s="995">
        <f>AVERAGE(1.1,1.2)</f>
        <v>1.1499999999999999</v>
      </c>
      <c r="N33" s="994">
        <f>M33*$C$4</f>
        <v>14.719999999999999</v>
      </c>
      <c r="O33" s="138">
        <v>2</v>
      </c>
      <c r="P33" s="26">
        <v>1</v>
      </c>
      <c r="Q33" s="993">
        <f>IF(P33&gt;=1,CHOOSE(O33,$C33,$D33)*P33)</f>
        <v>8.89</v>
      </c>
      <c r="R33" s="851">
        <v>1.1000000000000001</v>
      </c>
      <c r="S33" s="994">
        <f>R33*$C$4</f>
        <v>14.080000000000002</v>
      </c>
      <c r="T33" s="138">
        <v>2</v>
      </c>
      <c r="U33" s="26">
        <v>1</v>
      </c>
      <c r="V33" s="993">
        <f>IF(U33&gt;=1,CHOOSE(T33,$C33,$D33)*U33)</f>
        <v>8.89</v>
      </c>
      <c r="W33" s="852">
        <v>1.1000000000000001</v>
      </c>
      <c r="X33" s="993">
        <f>W33*$C$4</f>
        <v>14.080000000000002</v>
      </c>
    </row>
    <row r="34" spans="2:24" x14ac:dyDescent="0.3">
      <c r="B34" s="41" t="s">
        <v>54</v>
      </c>
      <c r="C34" s="59">
        <f>276.75*'Energy Inputs'!D8</f>
        <v>276.75</v>
      </c>
      <c r="D34" s="131">
        <f>217.01*'Energy Inputs'!D8</f>
        <v>217.01</v>
      </c>
      <c r="E34" s="138"/>
      <c r="F34" s="26"/>
      <c r="G34" s="54"/>
      <c r="H34" s="26"/>
      <c r="I34" s="994"/>
      <c r="J34" s="138"/>
      <c r="K34" s="26"/>
      <c r="L34" s="54"/>
      <c r="M34" s="26"/>
      <c r="N34" s="994"/>
      <c r="O34" s="138"/>
      <c r="P34" s="26"/>
      <c r="Q34" s="54"/>
      <c r="R34" s="26"/>
      <c r="S34" s="994"/>
      <c r="T34" s="138"/>
      <c r="U34" s="26"/>
      <c r="V34" s="54"/>
      <c r="W34" s="53"/>
      <c r="X34" s="993"/>
    </row>
    <row r="35" spans="2:24" x14ac:dyDescent="0.3">
      <c r="B35" s="41" t="s">
        <v>55</v>
      </c>
      <c r="C35" s="60">
        <f>85.25*'Energy Inputs'!D8</f>
        <v>85.25</v>
      </c>
      <c r="D35" s="131">
        <f>56.5*'Energy Inputs'!D8</f>
        <v>56.5</v>
      </c>
      <c r="E35" s="138"/>
      <c r="F35" s="26"/>
      <c r="G35" s="54"/>
      <c r="H35" s="26"/>
      <c r="I35" s="994"/>
      <c r="J35" s="138"/>
      <c r="K35" s="26"/>
      <c r="L35" s="54"/>
      <c r="M35" s="26"/>
      <c r="N35" s="994"/>
      <c r="O35" s="138"/>
      <c r="P35" s="26"/>
      <c r="Q35" s="54"/>
      <c r="R35" s="26"/>
      <c r="S35" s="994"/>
      <c r="T35" s="138"/>
      <c r="U35" s="26"/>
      <c r="V35" s="54"/>
      <c r="W35" s="53"/>
      <c r="X35" s="993"/>
    </row>
    <row r="36" spans="2:24" x14ac:dyDescent="0.3">
      <c r="B36" s="42" t="s">
        <v>47</v>
      </c>
      <c r="C36" s="363"/>
      <c r="D36" s="363"/>
      <c r="E36" s="136"/>
      <c r="F36" s="51" t="s">
        <v>12</v>
      </c>
      <c r="G36" s="830">
        <v>200</v>
      </c>
      <c r="H36" s="992">
        <f>SUM(H15:H35)</f>
        <v>4.9499999999999993</v>
      </c>
      <c r="I36" s="809">
        <f>SUM(I15:I35)</f>
        <v>63.36</v>
      </c>
      <c r="J36" s="145"/>
      <c r="K36" s="51"/>
      <c r="L36" s="830">
        <v>180</v>
      </c>
      <c r="M36" s="992">
        <f>SUM(M15:M35)</f>
        <v>4.9499999999999993</v>
      </c>
      <c r="N36" s="809">
        <f>SUM(N15:N35)</f>
        <v>63.36</v>
      </c>
      <c r="O36" s="145"/>
      <c r="P36" s="51"/>
      <c r="Q36" s="845">
        <f>L36</f>
        <v>180</v>
      </c>
      <c r="R36" s="992">
        <f>SUM(R15:R35)</f>
        <v>6</v>
      </c>
      <c r="S36" s="809">
        <f>SUM(S15:S35)</f>
        <v>76.8</v>
      </c>
      <c r="T36" s="145"/>
      <c r="U36" s="51"/>
      <c r="V36" s="845">
        <v>180</v>
      </c>
      <c r="W36" s="992">
        <f>SUM(W15:W35)</f>
        <v>6</v>
      </c>
      <c r="X36" s="996">
        <f>SUM(X15:X35)</f>
        <v>76.8</v>
      </c>
    </row>
    <row r="37" spans="2:24" x14ac:dyDescent="0.3">
      <c r="B37" s="42"/>
      <c r="C37" s="363"/>
      <c r="D37" s="363"/>
      <c r="E37" s="363"/>
      <c r="F37" s="51"/>
      <c r="G37" s="809"/>
      <c r="H37" s="51"/>
      <c r="I37" s="67"/>
      <c r="J37" s="810"/>
      <c r="K37" s="51"/>
      <c r="L37" s="809"/>
      <c r="M37" s="51"/>
      <c r="N37" s="67"/>
      <c r="O37" s="810"/>
      <c r="P37" s="51"/>
      <c r="Q37" s="809"/>
      <c r="R37" s="51"/>
      <c r="S37" s="67"/>
      <c r="T37" s="810"/>
      <c r="U37" s="51"/>
      <c r="V37" s="809"/>
      <c r="W37" s="51"/>
      <c r="X37" s="66"/>
    </row>
    <row r="38" spans="2:24" s="39" customFormat="1" x14ac:dyDescent="0.3">
      <c r="B38" s="422" t="s">
        <v>187</v>
      </c>
      <c r="C38" s="791"/>
      <c r="D38" s="791"/>
      <c r="E38" s="791"/>
      <c r="F38" s="421"/>
      <c r="G38" s="421"/>
      <c r="H38" s="421"/>
      <c r="I38" s="421"/>
      <c r="J38" s="421"/>
      <c r="K38" s="421"/>
      <c r="L38" s="421"/>
      <c r="M38" s="421"/>
      <c r="N38" s="421"/>
      <c r="O38" s="421"/>
      <c r="P38" s="421"/>
      <c r="Q38" s="421"/>
      <c r="R38" s="421"/>
      <c r="S38" s="421"/>
      <c r="T38" s="421"/>
      <c r="U38" s="421"/>
      <c r="V38" s="421"/>
      <c r="W38" s="421"/>
      <c r="X38" s="423"/>
    </row>
    <row r="39" spans="2:24" x14ac:dyDescent="0.3">
      <c r="B39" s="16" t="s">
        <v>110</v>
      </c>
      <c r="C39" s="448">
        <f>67.78*'Arable Inputs'!$D$8</f>
        <v>67.78</v>
      </c>
      <c r="D39" s="449">
        <f>57.48*'Arable Inputs'!$D$8</f>
        <v>57.48</v>
      </c>
      <c r="E39" s="481"/>
      <c r="F39" s="425"/>
      <c r="G39" s="451"/>
      <c r="H39" s="425"/>
      <c r="I39" s="425"/>
      <c r="J39" s="450"/>
      <c r="K39" s="425"/>
      <c r="L39" s="451"/>
      <c r="M39" s="425"/>
      <c r="N39" s="425"/>
      <c r="O39" s="450"/>
      <c r="P39" s="425"/>
      <c r="Q39" s="451"/>
      <c r="R39" s="425"/>
      <c r="S39" s="425"/>
      <c r="T39" s="450"/>
      <c r="U39" s="425"/>
      <c r="V39" s="451"/>
      <c r="W39" s="425"/>
      <c r="X39" s="451"/>
    </row>
    <row r="40" spans="2:24" x14ac:dyDescent="0.3">
      <c r="B40" s="16" t="s">
        <v>111</v>
      </c>
      <c r="C40" s="448">
        <f>50.14*'Arable Inputs'!$D$8</f>
        <v>50.14</v>
      </c>
      <c r="D40" s="449">
        <f>27.04*'Arable Inputs'!$D$8</f>
        <v>27.04</v>
      </c>
      <c r="E40" s="450"/>
      <c r="F40" s="425"/>
      <c r="G40" s="54"/>
      <c r="H40" s="799"/>
      <c r="I40" s="414"/>
      <c r="J40" s="450"/>
      <c r="K40" s="425"/>
      <c r="L40" s="54"/>
      <c r="M40" s="799"/>
      <c r="N40" s="414"/>
      <c r="O40" s="450"/>
      <c r="P40" s="425"/>
      <c r="Q40" s="451"/>
      <c r="R40" s="425"/>
      <c r="S40" s="425"/>
      <c r="T40" s="450"/>
      <c r="U40" s="425"/>
      <c r="V40" s="451"/>
      <c r="W40" s="452"/>
      <c r="X40" s="451"/>
    </row>
    <row r="41" spans="2:24" x14ac:dyDescent="0.3">
      <c r="B41" s="16" t="s">
        <v>112</v>
      </c>
      <c r="C41" s="448">
        <f>61.78*'Arable Inputs'!$D$8</f>
        <v>61.78</v>
      </c>
      <c r="D41" s="449">
        <f>58.52*'Arable Inputs'!$D$8</f>
        <v>58.52</v>
      </c>
      <c r="E41" s="474"/>
      <c r="F41" s="425"/>
      <c r="G41" s="451"/>
      <c r="H41" s="425"/>
      <c r="I41" s="425"/>
      <c r="J41" s="450"/>
      <c r="K41" s="425"/>
      <c r="L41" s="451"/>
      <c r="M41" s="425"/>
      <c r="N41" s="425"/>
      <c r="O41" s="450"/>
      <c r="P41" s="425"/>
      <c r="Q41" s="451"/>
      <c r="R41" s="425"/>
      <c r="S41" s="425"/>
      <c r="T41" s="450"/>
      <c r="U41" s="425"/>
      <c r="V41" s="451"/>
      <c r="W41" s="452"/>
      <c r="X41" s="451"/>
    </row>
    <row r="42" spans="2:24" x14ac:dyDescent="0.3">
      <c r="B42" s="16" t="s">
        <v>113</v>
      </c>
      <c r="C42" s="448">
        <f>51.89*'Arable Inputs'!$D$8</f>
        <v>51.89</v>
      </c>
      <c r="D42" s="449">
        <f>50.58*'Arable Inputs'!$D$8</f>
        <v>50.58</v>
      </c>
      <c r="E42" s="474"/>
      <c r="F42" s="425"/>
      <c r="G42" s="451"/>
      <c r="H42" s="425"/>
      <c r="I42" s="425"/>
      <c r="J42" s="450"/>
      <c r="K42" s="425"/>
      <c r="L42" s="451"/>
      <c r="M42" s="425"/>
      <c r="N42" s="425"/>
      <c r="O42" s="450"/>
      <c r="P42" s="425"/>
      <c r="Q42" s="451"/>
      <c r="R42" s="425"/>
      <c r="S42" s="425"/>
      <c r="T42" s="450"/>
      <c r="U42" s="425"/>
      <c r="V42" s="451"/>
      <c r="W42" s="452"/>
      <c r="X42" s="451"/>
    </row>
    <row r="43" spans="2:24" x14ac:dyDescent="0.3">
      <c r="B43" s="16" t="s">
        <v>114</v>
      </c>
      <c r="C43" s="448">
        <f>58.71*'Arable Inputs'!$D$8</f>
        <v>58.71</v>
      </c>
      <c r="D43" s="449">
        <f>61.14*'Arable Inputs'!$D$8</f>
        <v>61.14</v>
      </c>
      <c r="E43" s="474"/>
      <c r="F43" s="425"/>
      <c r="G43" s="451"/>
      <c r="H43" s="425"/>
      <c r="I43" s="425"/>
      <c r="J43" s="450"/>
      <c r="K43" s="425"/>
      <c r="L43" s="451"/>
      <c r="M43" s="425"/>
      <c r="N43" s="425"/>
      <c r="O43" s="450"/>
      <c r="P43" s="425"/>
      <c r="Q43" s="451"/>
      <c r="R43" s="425"/>
      <c r="S43" s="425"/>
      <c r="T43" s="450"/>
      <c r="U43" s="425"/>
      <c r="V43" s="451"/>
      <c r="W43" s="452"/>
      <c r="X43" s="451"/>
    </row>
    <row r="44" spans="2:24" x14ac:dyDescent="0.3">
      <c r="B44" s="16" t="s">
        <v>53</v>
      </c>
      <c r="C44" s="448">
        <f>51.97*'Arable Inputs'!$D$8</f>
        <v>51.97</v>
      </c>
      <c r="D44" s="449">
        <f>57.16*'Arable Inputs'!$D$8</f>
        <v>57.16</v>
      </c>
      <c r="E44" s="474"/>
      <c r="F44" s="425"/>
      <c r="G44" s="451"/>
      <c r="H44" s="425"/>
      <c r="I44" s="425"/>
      <c r="J44" s="450"/>
      <c r="K44" s="425"/>
      <c r="L44" s="451"/>
      <c r="M44" s="425"/>
      <c r="N44" s="425"/>
      <c r="O44" s="450"/>
      <c r="P44" s="425"/>
      <c r="Q44" s="54"/>
      <c r="R44" s="799"/>
      <c r="S44" s="414"/>
      <c r="T44" s="450"/>
      <c r="U44" s="425"/>
      <c r="V44" s="451"/>
      <c r="W44" s="452"/>
      <c r="X44" s="451"/>
    </row>
    <row r="45" spans="2:24" x14ac:dyDescent="0.3">
      <c r="B45" s="16" t="s">
        <v>115</v>
      </c>
      <c r="C45" s="448">
        <f>78.26*'Arable Inputs'!$D$8</f>
        <v>78.260000000000005</v>
      </c>
      <c r="D45" s="449" t="s">
        <v>118</v>
      </c>
      <c r="E45" s="474"/>
      <c r="F45" s="425"/>
      <c r="G45" s="451"/>
      <c r="H45" s="425"/>
      <c r="I45" s="425"/>
      <c r="J45" s="450"/>
      <c r="K45" s="425"/>
      <c r="L45" s="451"/>
      <c r="M45" s="425"/>
      <c r="N45" s="425"/>
      <c r="O45" s="450"/>
      <c r="P45" s="425"/>
      <c r="Q45" s="451"/>
      <c r="R45" s="425"/>
      <c r="S45" s="425"/>
      <c r="T45" s="450"/>
      <c r="U45" s="425"/>
      <c r="V45" s="451"/>
      <c r="W45" s="452"/>
      <c r="X45" s="451"/>
    </row>
    <row r="46" spans="2:24" x14ac:dyDescent="0.3">
      <c r="B46" s="16" t="s">
        <v>51</v>
      </c>
      <c r="C46" s="448">
        <f>29.31*'Arable Inputs'!$D$8</f>
        <v>29.31</v>
      </c>
      <c r="D46" s="449">
        <f>20*'Arable Inputs'!$D$8</f>
        <v>20</v>
      </c>
      <c r="E46" s="474"/>
      <c r="F46" s="425"/>
      <c r="G46" s="451"/>
      <c r="H46" s="425"/>
      <c r="I46" s="425"/>
      <c r="J46" s="450"/>
      <c r="K46" s="425"/>
      <c r="L46" s="451"/>
      <c r="M46" s="425"/>
      <c r="N46" s="425"/>
      <c r="O46" s="450"/>
      <c r="P46" s="425"/>
      <c r="Q46" s="451"/>
      <c r="R46" s="425"/>
      <c r="S46" s="425"/>
      <c r="T46" s="450"/>
      <c r="U46" s="425"/>
      <c r="V46" s="451"/>
      <c r="W46" s="452"/>
      <c r="X46" s="451"/>
    </row>
    <row r="47" spans="2:24" x14ac:dyDescent="0.3">
      <c r="B47" s="16" t="s">
        <v>116</v>
      </c>
      <c r="C47" s="448">
        <f>31.16*'Arable Inputs'!$D$8</f>
        <v>31.16</v>
      </c>
      <c r="D47" s="449">
        <f>20.54*'Arable Inputs'!$D$8</f>
        <v>20.54</v>
      </c>
      <c r="E47" s="474"/>
      <c r="F47" s="425"/>
      <c r="G47" s="451"/>
      <c r="H47" s="425"/>
      <c r="I47" s="425"/>
      <c r="J47" s="450"/>
      <c r="K47" s="425"/>
      <c r="L47" s="451"/>
      <c r="M47" s="425"/>
      <c r="N47" s="425"/>
      <c r="O47" s="450"/>
      <c r="P47" s="425"/>
      <c r="Q47" s="451"/>
      <c r="R47" s="425"/>
      <c r="S47" s="425"/>
      <c r="T47" s="450"/>
      <c r="U47" s="425"/>
      <c r="V47" s="451"/>
      <c r="W47" s="452"/>
      <c r="X47" s="451"/>
    </row>
    <row r="48" spans="2:24" x14ac:dyDescent="0.3">
      <c r="B48" s="16" t="s">
        <v>117</v>
      </c>
      <c r="C48" s="448">
        <f>74.13*'Arable Inputs'!$D$8</f>
        <v>74.13</v>
      </c>
      <c r="D48" s="449" t="s">
        <v>118</v>
      </c>
      <c r="E48" s="474"/>
      <c r="F48" s="425"/>
      <c r="G48" s="451"/>
      <c r="H48" s="425"/>
      <c r="I48" s="425"/>
      <c r="J48" s="450"/>
      <c r="K48" s="425"/>
      <c r="L48" s="451"/>
      <c r="M48" s="425"/>
      <c r="N48" s="425"/>
      <c r="O48" s="450"/>
      <c r="P48" s="425"/>
      <c r="Q48" s="451"/>
      <c r="R48" s="425"/>
      <c r="S48" s="425"/>
      <c r="T48" s="450"/>
      <c r="U48" s="425"/>
      <c r="V48" s="451"/>
      <c r="W48" s="452"/>
      <c r="X48" s="451"/>
    </row>
    <row r="49" spans="2:24" x14ac:dyDescent="0.3">
      <c r="B49" s="16" t="s">
        <v>119</v>
      </c>
      <c r="C49" s="448">
        <f>23.3*'Arable Inputs'!$D$8</f>
        <v>23.3</v>
      </c>
      <c r="D49" s="449">
        <f>14.67*'Arable Inputs'!$D$8</f>
        <v>14.67</v>
      </c>
      <c r="E49" s="474"/>
      <c r="F49" s="425"/>
      <c r="G49" s="451"/>
      <c r="H49" s="425"/>
      <c r="I49" s="425"/>
      <c r="J49" s="450"/>
      <c r="K49" s="425"/>
      <c r="L49" s="451"/>
      <c r="M49" s="425"/>
      <c r="N49" s="425"/>
      <c r="O49" s="450"/>
      <c r="P49" s="425"/>
      <c r="Q49" s="451"/>
      <c r="R49" s="425"/>
      <c r="S49" s="425"/>
      <c r="T49" s="450"/>
      <c r="U49" s="425"/>
      <c r="V49" s="451"/>
      <c r="W49" s="452"/>
      <c r="X49" s="451"/>
    </row>
    <row r="50" spans="2:24" x14ac:dyDescent="0.3">
      <c r="B50" s="16" t="s">
        <v>52</v>
      </c>
      <c r="C50" s="448">
        <f>46.55*'Arable Inputs'!$D$8</f>
        <v>46.55</v>
      </c>
      <c r="D50" s="449" t="s">
        <v>118</v>
      </c>
      <c r="E50" s="474"/>
      <c r="F50" s="425"/>
      <c r="G50" s="451"/>
      <c r="H50" s="425"/>
      <c r="I50" s="425"/>
      <c r="J50" s="450"/>
      <c r="K50" s="425"/>
      <c r="L50" s="451"/>
      <c r="M50" s="425"/>
      <c r="N50" s="425"/>
      <c r="O50" s="450"/>
      <c r="P50" s="425"/>
      <c r="Q50" s="451"/>
      <c r="R50" s="425"/>
      <c r="S50" s="425"/>
      <c r="T50" s="450"/>
      <c r="U50" s="425"/>
      <c r="V50" s="54"/>
      <c r="W50" s="853">
        <v>1.1000000000000001</v>
      </c>
      <c r="X50" s="986">
        <f>W50*$C$4</f>
        <v>14.080000000000002</v>
      </c>
    </row>
    <row r="51" spans="2:24" x14ac:dyDescent="0.3">
      <c r="B51" s="16" t="s">
        <v>120</v>
      </c>
      <c r="C51" s="448">
        <f>123.87*'Arable Inputs'!$D$8</f>
        <v>123.87</v>
      </c>
      <c r="D51" s="449" t="s">
        <v>118</v>
      </c>
      <c r="E51" s="474"/>
      <c r="F51" s="482"/>
      <c r="G51" s="483"/>
      <c r="H51" s="484"/>
      <c r="I51" s="484"/>
      <c r="J51" s="485"/>
      <c r="K51" s="482"/>
      <c r="L51" s="483"/>
      <c r="M51" s="484"/>
      <c r="N51" s="484"/>
      <c r="O51" s="485"/>
      <c r="P51" s="482"/>
      <c r="Q51" s="483"/>
      <c r="R51" s="486"/>
      <c r="S51" s="482"/>
      <c r="T51" s="450"/>
      <c r="U51" s="425"/>
      <c r="V51" s="54"/>
      <c r="W51" s="800"/>
      <c r="X51" s="454"/>
    </row>
    <row r="52" spans="2:24" x14ac:dyDescent="0.3">
      <c r="B52" s="16" t="s">
        <v>56</v>
      </c>
      <c r="C52" s="448">
        <f>187.8*'Arable Inputs'!$D$8</f>
        <v>187.8</v>
      </c>
      <c r="D52" s="449">
        <f>126.29*'Arable Inputs'!$D$8</f>
        <v>126.29</v>
      </c>
      <c r="E52" s="474"/>
      <c r="F52" s="425"/>
      <c r="G52" s="451"/>
      <c r="H52" s="846">
        <v>1</v>
      </c>
      <c r="I52" s="569">
        <f>H52*$C$4</f>
        <v>12.8</v>
      </c>
      <c r="J52" s="450"/>
      <c r="K52" s="425"/>
      <c r="L52" s="451"/>
      <c r="M52" s="846">
        <v>1</v>
      </c>
      <c r="N52" s="569">
        <f>M52*$C$4</f>
        <v>12.8</v>
      </c>
      <c r="O52" s="450">
        <v>2</v>
      </c>
      <c r="P52" s="425">
        <v>1</v>
      </c>
      <c r="Q52" s="993">
        <f>IF(P52&gt;=1,CHOOSE(O52,$C52,$D52)*P52)</f>
        <v>126.29</v>
      </c>
      <c r="R52" s="846">
        <v>1.1000000000000001</v>
      </c>
      <c r="S52" s="569">
        <f>R52*$C$4</f>
        <v>14.080000000000002</v>
      </c>
      <c r="T52" s="450"/>
      <c r="U52" s="425"/>
      <c r="V52" s="54"/>
      <c r="W52" s="799"/>
      <c r="X52" s="454"/>
    </row>
    <row r="53" spans="2:24" x14ac:dyDescent="0.3">
      <c r="B53" s="16" t="s">
        <v>208</v>
      </c>
      <c r="C53" s="448">
        <f>42*'Arable Inputs'!$D$8</f>
        <v>42</v>
      </c>
      <c r="D53" s="449">
        <f>35.63*'Arable Inputs'!$D$8</f>
        <v>35.630000000000003</v>
      </c>
      <c r="E53" s="474"/>
      <c r="F53" s="425"/>
      <c r="G53" s="451"/>
      <c r="H53" s="425"/>
      <c r="I53" s="425"/>
      <c r="J53" s="450"/>
      <c r="K53" s="425"/>
      <c r="L53" s="451"/>
      <c r="M53" s="425"/>
      <c r="N53" s="425"/>
      <c r="O53" s="450"/>
      <c r="P53" s="425"/>
      <c r="Q53" s="451"/>
      <c r="R53" s="425"/>
      <c r="S53" s="425"/>
      <c r="T53" s="450"/>
      <c r="U53" s="418"/>
      <c r="V53" s="451"/>
      <c r="W53" s="452"/>
      <c r="X53" s="451"/>
    </row>
    <row r="54" spans="2:24" x14ac:dyDescent="0.3">
      <c r="B54" s="422" t="s">
        <v>57</v>
      </c>
      <c r="C54" s="791"/>
      <c r="D54" s="791"/>
      <c r="E54" s="460"/>
      <c r="F54" s="420"/>
      <c r="G54" s="831">
        <v>300</v>
      </c>
      <c r="H54" s="422">
        <f>SUM(H39:H53)</f>
        <v>1</v>
      </c>
      <c r="I54" s="420">
        <f>SUM(I39:I53)</f>
        <v>12.8</v>
      </c>
      <c r="J54" s="463"/>
      <c r="K54" s="420"/>
      <c r="L54" s="831">
        <v>350</v>
      </c>
      <c r="M54" s="422">
        <f>SUM(M39:M53)</f>
        <v>1</v>
      </c>
      <c r="N54" s="420">
        <f>SUM(N39:N53)</f>
        <v>12.8</v>
      </c>
      <c r="O54" s="463"/>
      <c r="P54" s="420"/>
      <c r="Q54" s="812">
        <f>SUM(Q39:Q53)</f>
        <v>126.29</v>
      </c>
      <c r="R54" s="422">
        <f>SUM(R39:R53)</f>
        <v>1.1000000000000001</v>
      </c>
      <c r="S54" s="825">
        <f>SUM(S39:S53)</f>
        <v>14.080000000000002</v>
      </c>
      <c r="T54" s="463"/>
      <c r="U54" s="420"/>
      <c r="V54" s="829">
        <v>45</v>
      </c>
      <c r="W54" s="422">
        <f>SUM(W39:W53)</f>
        <v>1.1000000000000001</v>
      </c>
      <c r="X54" s="812">
        <f>SUM(X39:X53)</f>
        <v>14.080000000000002</v>
      </c>
    </row>
    <row r="56" spans="2:24" x14ac:dyDescent="0.3">
      <c r="B56" s="422" t="s">
        <v>535</v>
      </c>
      <c r="C56" s="818"/>
      <c r="D56" s="818"/>
      <c r="E56" s="818"/>
      <c r="F56" s="421"/>
      <c r="G56" s="421"/>
      <c r="H56" s="421"/>
      <c r="I56" s="421"/>
      <c r="J56" s="421"/>
      <c r="K56" s="421"/>
      <c r="L56" s="421"/>
      <c r="M56" s="421"/>
      <c r="N56" s="421"/>
      <c r="O56" s="421"/>
      <c r="P56" s="421"/>
      <c r="Q56" s="421"/>
      <c r="R56" s="421"/>
      <c r="S56" s="421"/>
      <c r="T56" s="421"/>
      <c r="U56" s="421"/>
      <c r="V56" s="421"/>
      <c r="W56" s="421"/>
      <c r="X56" s="423"/>
    </row>
    <row r="57" spans="2:24" x14ac:dyDescent="0.3">
      <c r="B57" s="16" t="s">
        <v>536</v>
      </c>
      <c r="C57" s="841"/>
      <c r="D57" s="843"/>
      <c r="E57" s="474"/>
      <c r="F57" s="466"/>
      <c r="G57" s="467"/>
      <c r="H57" s="846">
        <v>0.5</v>
      </c>
      <c r="I57" s="569">
        <f>H57*$C$4</f>
        <v>6.4</v>
      </c>
      <c r="J57" s="450"/>
      <c r="K57" s="466"/>
      <c r="L57" s="467"/>
      <c r="M57" s="846">
        <v>0.5</v>
      </c>
      <c r="N57" s="569">
        <f>M57*$C$4</f>
        <v>6.4</v>
      </c>
      <c r="O57" s="450"/>
      <c r="P57" s="466"/>
      <c r="Q57" s="467"/>
      <c r="R57" s="846">
        <v>0.5</v>
      </c>
      <c r="S57" s="569">
        <f>R57*$C$4</f>
        <v>6.4</v>
      </c>
      <c r="T57" s="450"/>
      <c r="U57" s="466"/>
      <c r="V57" s="467"/>
      <c r="W57" s="846">
        <v>0.5</v>
      </c>
      <c r="X57" s="997">
        <f>W57*$C$4</f>
        <v>6.4</v>
      </c>
    </row>
    <row r="58" spans="2:24" x14ac:dyDescent="0.3">
      <c r="B58" s="422" t="s">
        <v>204</v>
      </c>
      <c r="C58" s="818"/>
      <c r="D58" s="818"/>
      <c r="E58" s="460"/>
      <c r="F58" s="420" t="s">
        <v>12</v>
      </c>
      <c r="G58" s="831">
        <v>50</v>
      </c>
      <c r="H58" s="422">
        <f>SUM(H57:H57)</f>
        <v>0.5</v>
      </c>
      <c r="I58" s="825">
        <f>SUM(I57:I57)</f>
        <v>6.4</v>
      </c>
      <c r="J58" s="463"/>
      <c r="K58" s="420"/>
      <c r="L58" s="828">
        <v>20</v>
      </c>
      <c r="M58" s="422">
        <f>SUM(M57:M57)</f>
        <v>0.5</v>
      </c>
      <c r="N58" s="825">
        <f>SUM(N57:N57)</f>
        <v>6.4</v>
      </c>
      <c r="O58" s="463"/>
      <c r="P58" s="420"/>
      <c r="Q58" s="838">
        <f>L58</f>
        <v>20</v>
      </c>
      <c r="R58" s="422">
        <f>SUM(R57:R57)</f>
        <v>0.5</v>
      </c>
      <c r="S58" s="825">
        <f>SUM(S43:S57)</f>
        <v>34.56</v>
      </c>
      <c r="T58" s="463"/>
      <c r="U58" s="420"/>
      <c r="V58" s="838">
        <f>L58</f>
        <v>20</v>
      </c>
      <c r="W58" s="422">
        <f>SUM(W57:W57)</f>
        <v>0.5</v>
      </c>
      <c r="X58" s="812">
        <f>SUM(X57:X57)</f>
        <v>6.4</v>
      </c>
    </row>
    <row r="59" spans="2:24" x14ac:dyDescent="0.3">
      <c r="B59" s="422"/>
      <c r="C59" s="818"/>
      <c r="D59" s="818"/>
      <c r="E59" s="818"/>
      <c r="F59" s="420"/>
      <c r="G59" s="420"/>
      <c r="H59" s="420"/>
      <c r="I59" s="420"/>
      <c r="J59" s="826"/>
      <c r="K59" s="420"/>
      <c r="L59" s="420"/>
      <c r="M59" s="420"/>
      <c r="N59" s="420"/>
      <c r="O59" s="826"/>
      <c r="P59" s="420"/>
      <c r="Q59" s="825"/>
      <c r="R59" s="420"/>
      <c r="S59" s="462"/>
      <c r="T59" s="826"/>
      <c r="U59" s="420"/>
      <c r="V59" s="825"/>
      <c r="W59" s="420"/>
      <c r="X59" s="464"/>
    </row>
    <row r="60" spans="2:24" x14ac:dyDescent="0.3">
      <c r="B60" s="422" t="s">
        <v>255</v>
      </c>
      <c r="C60" s="791"/>
      <c r="D60" s="791"/>
      <c r="E60" s="791"/>
      <c r="F60" s="421"/>
      <c r="G60" s="421"/>
      <c r="H60" s="421"/>
      <c r="I60" s="421"/>
      <c r="J60" s="421"/>
      <c r="K60" s="421"/>
      <c r="L60" s="421"/>
      <c r="M60" s="421"/>
      <c r="N60" s="421"/>
      <c r="O60" s="421"/>
      <c r="P60" s="421"/>
      <c r="Q60" s="421"/>
      <c r="R60" s="421"/>
      <c r="S60" s="421"/>
      <c r="T60" s="421"/>
      <c r="U60" s="421"/>
      <c r="V60" s="421"/>
      <c r="W60" s="421"/>
      <c r="X60" s="423"/>
    </row>
    <row r="61" spans="2:24" x14ac:dyDescent="0.3">
      <c r="B61" s="16" t="s">
        <v>196</v>
      </c>
      <c r="C61" s="448">
        <f>40.25*'Arable Inputs'!$D$8</f>
        <v>40.25</v>
      </c>
      <c r="D61" s="449" t="s">
        <v>118</v>
      </c>
      <c r="E61" s="474"/>
      <c r="F61" s="425"/>
      <c r="G61" s="451"/>
      <c r="H61" s="425"/>
      <c r="I61" s="425"/>
      <c r="J61" s="450"/>
      <c r="K61" s="425"/>
      <c r="L61" s="451"/>
      <c r="M61" s="425"/>
      <c r="N61" s="425"/>
      <c r="O61" s="450">
        <v>1</v>
      </c>
      <c r="P61" s="425">
        <v>3</v>
      </c>
      <c r="Q61" s="993">
        <f>IF(P61&gt;=1,CHOOSE(O61,$C61,$D61)*P61)</f>
        <v>120.75</v>
      </c>
      <c r="R61" s="854">
        <f>0.3*P61</f>
        <v>0.89999999999999991</v>
      </c>
      <c r="S61" s="569">
        <f>R61*$C$4</f>
        <v>11.52</v>
      </c>
      <c r="T61" s="450">
        <v>1</v>
      </c>
      <c r="U61" s="425">
        <v>3</v>
      </c>
      <c r="V61" s="993">
        <f>IF(U61&gt;=1,CHOOSE(T61,$C61,$D61)*U61)</f>
        <v>120.75</v>
      </c>
      <c r="W61" s="854">
        <f>0.3*3</f>
        <v>0.89999999999999991</v>
      </c>
      <c r="X61" s="986">
        <f>W61*$C$4</f>
        <v>11.52</v>
      </c>
    </row>
    <row r="62" spans="2:24" x14ac:dyDescent="0.3">
      <c r="B62" s="422" t="s">
        <v>204</v>
      </c>
      <c r="C62" s="791"/>
      <c r="D62" s="791"/>
      <c r="E62" s="460"/>
      <c r="F62" s="420" t="s">
        <v>12</v>
      </c>
      <c r="G62" s="461"/>
      <c r="H62" s="420"/>
      <c r="I62" s="420"/>
      <c r="J62" s="463"/>
      <c r="K62" s="420"/>
      <c r="L62" s="461"/>
      <c r="M62" s="420"/>
      <c r="N62" s="420"/>
      <c r="O62" s="463"/>
      <c r="P62" s="420"/>
      <c r="Q62" s="812">
        <f>SUM(Q61:Q61)</f>
        <v>120.75</v>
      </c>
      <c r="R62" s="422">
        <f>SUM(R61:R61)</f>
        <v>0.89999999999999991</v>
      </c>
      <c r="S62" s="825">
        <f>SUM(S61:S61)</f>
        <v>11.52</v>
      </c>
      <c r="T62" s="463"/>
      <c r="U62" s="420"/>
      <c r="V62" s="812">
        <f>SUM(V61:V61)</f>
        <v>120.75</v>
      </c>
      <c r="W62" s="422">
        <f>SUM(W61:W61)</f>
        <v>0.89999999999999991</v>
      </c>
      <c r="X62" s="812">
        <f>SUM(X61:X61)</f>
        <v>11.52</v>
      </c>
    </row>
    <row r="64" spans="2:24" x14ac:dyDescent="0.3">
      <c r="B64" s="422" t="s">
        <v>35</v>
      </c>
      <c r="C64" s="791"/>
      <c r="D64" s="791"/>
      <c r="E64" s="791"/>
      <c r="F64" s="421"/>
      <c r="G64" s="421"/>
      <c r="H64" s="421"/>
      <c r="I64" s="421"/>
      <c r="J64" s="421"/>
      <c r="K64" s="421"/>
      <c r="L64" s="421"/>
      <c r="M64" s="421"/>
      <c r="N64" s="421"/>
      <c r="O64" s="421"/>
      <c r="P64" s="421"/>
      <c r="Q64" s="421"/>
      <c r="R64" s="421"/>
      <c r="S64" s="421"/>
      <c r="T64" s="421"/>
      <c r="U64" s="421"/>
      <c r="V64" s="421"/>
      <c r="W64" s="421"/>
      <c r="X64" s="423"/>
    </row>
    <row r="65" spans="2:24" x14ac:dyDescent="0.3">
      <c r="B65" s="16" t="s">
        <v>60</v>
      </c>
      <c r="C65" s="448">
        <f>12.63*'Arable Inputs'!$D$8</f>
        <v>12.63</v>
      </c>
      <c r="D65" s="487">
        <f>10.08*'Arable Inputs'!$D$8</f>
        <v>10.08</v>
      </c>
      <c r="E65" s="450">
        <v>2</v>
      </c>
      <c r="F65" s="594">
        <v>4</v>
      </c>
      <c r="G65" s="986">
        <f>IF(F65&gt;=1,CHOOSE(E65,$C65,$D65)*F65)</f>
        <v>40.32</v>
      </c>
      <c r="H65" s="855">
        <f>0.3*F65</f>
        <v>1.2</v>
      </c>
      <c r="I65" s="569">
        <f>H65*$C$4</f>
        <v>15.36</v>
      </c>
      <c r="J65" s="450">
        <v>2</v>
      </c>
      <c r="K65" s="594">
        <v>4</v>
      </c>
      <c r="L65" s="986">
        <f>IF(K65&gt;=1,CHOOSE(J65,$C65,$D65)*K65)</f>
        <v>40.32</v>
      </c>
      <c r="M65" s="855">
        <f>0.3*K65</f>
        <v>1.2</v>
      </c>
      <c r="N65" s="569">
        <f>M65*$C$4</f>
        <v>15.36</v>
      </c>
      <c r="O65" s="450">
        <v>2</v>
      </c>
      <c r="P65" s="594">
        <v>2</v>
      </c>
      <c r="Q65" s="986">
        <f>IF(P65&gt;=1,CHOOSE(O65,$C65,$D65)*P65)</f>
        <v>20.16</v>
      </c>
      <c r="R65" s="855">
        <f>0.3*P65</f>
        <v>0.6</v>
      </c>
      <c r="S65" s="569">
        <f>R65*$C$4</f>
        <v>7.68</v>
      </c>
      <c r="T65" s="450">
        <v>2</v>
      </c>
      <c r="U65" s="594">
        <v>2</v>
      </c>
      <c r="V65" s="986">
        <f>IF(U65&gt;=1,CHOOSE(T65,$C65,$D65)*U65)</f>
        <v>20.16</v>
      </c>
      <c r="W65" s="855">
        <f>0.3*U65</f>
        <v>0.6</v>
      </c>
      <c r="X65" s="988">
        <f>W65*$C$4</f>
        <v>7.68</v>
      </c>
    </row>
    <row r="66" spans="2:24" x14ac:dyDescent="0.3">
      <c r="B66" s="16" t="s">
        <v>59</v>
      </c>
      <c r="C66" s="448" t="s">
        <v>118</v>
      </c>
      <c r="D66" s="449">
        <f>8.16*'Arable Inputs'!$D$8</f>
        <v>8.16</v>
      </c>
      <c r="E66" s="450"/>
      <c r="F66" s="425"/>
      <c r="G66" s="425"/>
      <c r="H66" s="16"/>
      <c r="I66" s="425"/>
      <c r="J66" s="450"/>
      <c r="K66" s="425"/>
      <c r="L66" s="425"/>
      <c r="M66" s="16"/>
      <c r="N66" s="425"/>
      <c r="O66" s="450"/>
      <c r="P66" s="425"/>
      <c r="Q66" s="425"/>
      <c r="R66" s="16"/>
      <c r="S66" s="425"/>
      <c r="T66" s="450"/>
      <c r="U66" s="425"/>
      <c r="V66" s="425"/>
      <c r="W66" s="16"/>
      <c r="X66" s="451"/>
    </row>
    <row r="67" spans="2:24" x14ac:dyDescent="0.3">
      <c r="B67" s="10" t="s">
        <v>58</v>
      </c>
      <c r="C67" s="490">
        <f>(C65+4.32)*'Arable Inputs'!$D$8</f>
        <v>16.950000000000003</v>
      </c>
      <c r="D67" s="449" t="s">
        <v>118</v>
      </c>
      <c r="E67" s="450"/>
      <c r="F67" s="425"/>
      <c r="G67" s="425"/>
      <c r="H67" s="16"/>
      <c r="I67" s="425"/>
      <c r="J67" s="450"/>
      <c r="K67" s="425"/>
      <c r="L67" s="425"/>
      <c r="M67" s="16"/>
      <c r="N67" s="425"/>
      <c r="O67" s="450"/>
      <c r="P67" s="425"/>
      <c r="Q67" s="425"/>
      <c r="R67" s="16"/>
      <c r="S67" s="425"/>
      <c r="T67" s="450"/>
      <c r="U67" s="425"/>
      <c r="V67" s="425"/>
      <c r="W67" s="16"/>
      <c r="X67" s="451"/>
    </row>
    <row r="68" spans="2:24" x14ac:dyDescent="0.3">
      <c r="B68" s="16" t="s">
        <v>135</v>
      </c>
      <c r="C68" s="448">
        <f>12.36*'Arable Inputs'!$D$8</f>
        <v>12.36</v>
      </c>
      <c r="D68" s="449" t="s">
        <v>118</v>
      </c>
      <c r="E68" s="450"/>
      <c r="F68" s="484"/>
      <c r="G68" s="484"/>
      <c r="H68" s="486"/>
      <c r="I68" s="482"/>
      <c r="J68" s="485"/>
      <c r="K68" s="484"/>
      <c r="L68" s="484"/>
      <c r="M68" s="486"/>
      <c r="N68" s="484"/>
      <c r="O68" s="450"/>
      <c r="P68" s="484"/>
      <c r="Q68" s="484"/>
      <c r="R68" s="486"/>
      <c r="S68" s="482"/>
      <c r="T68" s="450"/>
      <c r="U68" s="484"/>
      <c r="V68" s="484"/>
      <c r="W68" s="486"/>
      <c r="X68" s="483"/>
    </row>
    <row r="69" spans="2:24" x14ac:dyDescent="0.3">
      <c r="B69" s="16" t="s">
        <v>136</v>
      </c>
      <c r="C69" s="448">
        <f>8.9*'Arable Inputs'!$D$8</f>
        <v>8.9</v>
      </c>
      <c r="D69" s="449">
        <f>2.89*'Arable Inputs'!$D$8</f>
        <v>2.89</v>
      </c>
      <c r="E69" s="450"/>
      <c r="F69" s="484"/>
      <c r="G69" s="484"/>
      <c r="H69" s="486"/>
      <c r="I69" s="482"/>
      <c r="J69" s="485"/>
      <c r="K69" s="484"/>
      <c r="L69" s="484"/>
      <c r="M69" s="486"/>
      <c r="N69" s="484"/>
      <c r="O69" s="450"/>
      <c r="P69" s="484"/>
      <c r="Q69" s="484"/>
      <c r="R69" s="486"/>
      <c r="S69" s="482"/>
      <c r="T69" s="450"/>
      <c r="U69" s="484"/>
      <c r="V69" s="484"/>
      <c r="W69" s="486"/>
      <c r="X69" s="483"/>
    </row>
    <row r="70" spans="2:24" x14ac:dyDescent="0.3">
      <c r="B70" s="16" t="s">
        <v>61</v>
      </c>
      <c r="C70" s="448">
        <f>25.95*'Arable Inputs'!$D$8</f>
        <v>25.95</v>
      </c>
      <c r="D70" s="449" t="s">
        <v>118</v>
      </c>
      <c r="E70" s="450"/>
      <c r="F70" s="425"/>
      <c r="G70" s="425"/>
      <c r="H70" s="16"/>
      <c r="I70" s="425"/>
      <c r="J70" s="450"/>
      <c r="K70" s="425"/>
      <c r="L70" s="425"/>
      <c r="M70" s="16"/>
      <c r="N70" s="425"/>
      <c r="O70" s="450"/>
      <c r="P70" s="425"/>
      <c r="Q70" s="425"/>
      <c r="R70" s="16"/>
      <c r="S70" s="425"/>
      <c r="T70" s="450"/>
      <c r="U70" s="425"/>
      <c r="V70" s="425"/>
      <c r="W70" s="16"/>
      <c r="X70" s="451"/>
    </row>
    <row r="71" spans="2:24" x14ac:dyDescent="0.3">
      <c r="B71" s="16" t="s">
        <v>137</v>
      </c>
      <c r="C71" s="448">
        <f>19.77*'Arable Inputs'!$D$8</f>
        <v>19.77</v>
      </c>
      <c r="D71" s="449" t="s">
        <v>118</v>
      </c>
      <c r="E71" s="450"/>
      <c r="F71" s="425"/>
      <c r="G71" s="451"/>
      <c r="H71" s="813"/>
      <c r="I71" s="414"/>
      <c r="J71" s="450"/>
      <c r="K71" s="418"/>
      <c r="L71" s="451"/>
      <c r="M71" s="813"/>
      <c r="N71" s="414"/>
      <c r="O71" s="450"/>
      <c r="P71" s="425"/>
      <c r="Q71" s="451"/>
      <c r="R71" s="813"/>
      <c r="S71" s="414"/>
      <c r="T71" s="450"/>
      <c r="U71" s="425"/>
      <c r="V71" s="451"/>
      <c r="W71" s="813"/>
      <c r="X71" s="814"/>
    </row>
    <row r="72" spans="2:24" x14ac:dyDescent="0.3">
      <c r="B72" s="422" t="s">
        <v>62</v>
      </c>
      <c r="C72" s="791"/>
      <c r="D72" s="791"/>
      <c r="E72" s="460"/>
      <c r="F72" s="420" t="s">
        <v>12</v>
      </c>
      <c r="G72" s="812">
        <f>SUM(G65:G71)</f>
        <v>40.32</v>
      </c>
      <c r="H72" s="794">
        <f>SUM(H65:H71)</f>
        <v>1.2</v>
      </c>
      <c r="I72" s="825">
        <f>SUM(I65:I71)</f>
        <v>15.36</v>
      </c>
      <c r="J72" s="463"/>
      <c r="K72" s="420"/>
      <c r="L72" s="812">
        <f>SUM(L65:L71)</f>
        <v>40.32</v>
      </c>
      <c r="M72" s="794">
        <f>SUM(M65:M71)</f>
        <v>1.2</v>
      </c>
      <c r="N72" s="825">
        <f>SUM(N65:N71)</f>
        <v>15.36</v>
      </c>
      <c r="O72" s="460"/>
      <c r="P72" s="420" t="s">
        <v>12</v>
      </c>
      <c r="Q72" s="812">
        <f>SUM(Q65:Q71)</f>
        <v>20.16</v>
      </c>
      <c r="R72" s="794">
        <f>SUM(R65:R71)</f>
        <v>0.6</v>
      </c>
      <c r="S72" s="825">
        <f>SUM(S65:S71)</f>
        <v>7.68</v>
      </c>
      <c r="T72" s="460"/>
      <c r="U72" s="420" t="s">
        <v>12</v>
      </c>
      <c r="V72" s="812">
        <f>SUM(V65:V71)</f>
        <v>20.16</v>
      </c>
      <c r="W72" s="794">
        <f>SUM(W65:W71)</f>
        <v>0.6</v>
      </c>
      <c r="X72" s="812">
        <f>SUM(X65:X71)</f>
        <v>7.68</v>
      </c>
    </row>
    <row r="74" spans="2:24" x14ac:dyDescent="0.3">
      <c r="B74" s="422" t="s">
        <v>532</v>
      </c>
      <c r="C74" s="818"/>
      <c r="D74" s="818"/>
      <c r="E74" s="818"/>
      <c r="F74" s="421"/>
      <c r="G74" s="421"/>
      <c r="H74" s="421"/>
      <c r="I74" s="421"/>
      <c r="J74" s="421"/>
      <c r="K74" s="421"/>
      <c r="L74" s="421"/>
      <c r="M74" s="421"/>
      <c r="N74" s="421"/>
      <c r="O74" s="421"/>
      <c r="P74" s="421"/>
      <c r="Q74" s="421"/>
      <c r="R74" s="421"/>
      <c r="S74" s="421"/>
      <c r="T74" s="421"/>
      <c r="U74" s="421"/>
      <c r="V74" s="421"/>
      <c r="W74" s="421"/>
      <c r="X74" s="423"/>
    </row>
    <row r="75" spans="2:24" x14ac:dyDescent="0.3">
      <c r="B75" s="16" t="s">
        <v>206</v>
      </c>
      <c r="C75" s="448">
        <f>12.36*'Arable Inputs'!$D$8</f>
        <v>12.36</v>
      </c>
      <c r="D75" s="449">
        <f>6.69*'Arable Inputs'!$D$8</f>
        <v>6.69</v>
      </c>
      <c r="E75" s="450"/>
      <c r="F75" s="466"/>
      <c r="G75" s="467"/>
      <c r="H75" s="425"/>
      <c r="I75" s="425"/>
      <c r="J75" s="450"/>
      <c r="K75" s="466"/>
      <c r="L75" s="467"/>
      <c r="M75" s="425"/>
      <c r="N75" s="425"/>
      <c r="O75" s="450"/>
      <c r="P75" s="466"/>
      <c r="Q75" s="467"/>
      <c r="R75" s="425"/>
      <c r="S75" s="425"/>
      <c r="T75" s="450"/>
      <c r="U75" s="466"/>
      <c r="V75" s="467"/>
      <c r="W75" s="452"/>
      <c r="X75" s="451"/>
    </row>
    <row r="76" spans="2:24" x14ac:dyDescent="0.3">
      <c r="B76" s="16" t="s">
        <v>48</v>
      </c>
      <c r="C76" s="448">
        <f>(C75+3.71)*'Arable Inputs'!$D$8</f>
        <v>16.07</v>
      </c>
      <c r="D76" s="449" t="s">
        <v>118</v>
      </c>
      <c r="E76" s="450">
        <v>1</v>
      </c>
      <c r="F76" s="425">
        <v>1</v>
      </c>
      <c r="G76" s="986">
        <f>IF(F76&gt;=1,CHOOSE(E76,$C76,$D76)*F76)</f>
        <v>16.07</v>
      </c>
      <c r="H76" s="846">
        <v>1.2</v>
      </c>
      <c r="I76" s="569">
        <f>H76*$C$4</f>
        <v>15.36</v>
      </c>
      <c r="J76" s="450">
        <v>1</v>
      </c>
      <c r="K76" s="425">
        <v>1</v>
      </c>
      <c r="L76" s="986">
        <f>IF(K76&gt;=1,CHOOSE(J76,$C76,$D76)*K76)</f>
        <v>16.07</v>
      </c>
      <c r="M76" s="846">
        <v>1.2</v>
      </c>
      <c r="N76" s="569">
        <f>M76*$C$4</f>
        <v>15.36</v>
      </c>
      <c r="O76" s="450">
        <v>1</v>
      </c>
      <c r="P76" s="425">
        <v>1</v>
      </c>
      <c r="Q76" s="986">
        <f>IF(P76&gt;=1,CHOOSE(O76,$C76,$D76)*P76)</f>
        <v>16.07</v>
      </c>
      <c r="R76" s="846">
        <v>1.2</v>
      </c>
      <c r="S76" s="569">
        <f>R76*$C$4</f>
        <v>15.36</v>
      </c>
      <c r="T76" s="450">
        <v>1</v>
      </c>
      <c r="U76" s="425">
        <v>1</v>
      </c>
      <c r="V76" s="986">
        <f>IF(U76&gt;=1,CHOOSE(T76,$C76,$D76)*U76)</f>
        <v>16.07</v>
      </c>
      <c r="W76" s="846">
        <v>1.2</v>
      </c>
      <c r="X76" s="986">
        <f>W76*$C$4</f>
        <v>15.36</v>
      </c>
    </row>
    <row r="77" spans="2:24" x14ac:dyDescent="0.3">
      <c r="B77" s="16" t="s">
        <v>131</v>
      </c>
      <c r="C77" s="448">
        <f>6.1*'Arable Inputs'!$D$8</f>
        <v>6.1</v>
      </c>
      <c r="D77" s="449" t="s">
        <v>118</v>
      </c>
      <c r="E77" s="450"/>
      <c r="F77" s="425"/>
      <c r="G77" s="451"/>
      <c r="H77" s="425"/>
      <c r="I77" s="425"/>
      <c r="J77" s="450"/>
      <c r="K77" s="425"/>
      <c r="L77" s="451"/>
      <c r="M77" s="425"/>
      <c r="N77" s="425"/>
      <c r="O77" s="450"/>
      <c r="P77" s="425"/>
      <c r="Q77" s="451"/>
      <c r="R77" s="425"/>
      <c r="S77" s="425"/>
      <c r="T77" s="450"/>
      <c r="U77" s="425"/>
      <c r="V77" s="451"/>
      <c r="W77" s="452"/>
      <c r="X77" s="451"/>
    </row>
    <row r="78" spans="2:24" x14ac:dyDescent="0.3">
      <c r="B78" s="16" t="s">
        <v>49</v>
      </c>
      <c r="C78" s="448">
        <f>14.83*'Arable Inputs'!$D$8</f>
        <v>14.83</v>
      </c>
      <c r="D78" s="449">
        <f>12.09*'Arable Inputs'!$D$8</f>
        <v>12.09</v>
      </c>
      <c r="E78" s="450"/>
      <c r="F78" s="425"/>
      <c r="G78" s="451"/>
      <c r="H78" s="425"/>
      <c r="I78" s="425"/>
      <c r="J78" s="450"/>
      <c r="K78" s="425"/>
      <c r="L78" s="451"/>
      <c r="M78" s="425"/>
      <c r="N78" s="425"/>
      <c r="O78" s="450"/>
      <c r="P78" s="425"/>
      <c r="Q78" s="451"/>
      <c r="R78" s="425"/>
      <c r="S78" s="425"/>
      <c r="T78" s="450"/>
      <c r="U78" s="425"/>
      <c r="V78" s="451"/>
      <c r="W78" s="452"/>
      <c r="X78" s="451"/>
    </row>
    <row r="79" spans="2:24" x14ac:dyDescent="0.3">
      <c r="B79" s="16" t="s">
        <v>176</v>
      </c>
      <c r="C79" s="448">
        <f>49.5*'Arable Inputs'!$D$8</f>
        <v>49.5</v>
      </c>
      <c r="D79" s="449">
        <f>49.64*'Arable Inputs'!$D$8</f>
        <v>49.64</v>
      </c>
      <c r="E79" s="450"/>
      <c r="F79" s="425"/>
      <c r="G79" s="451"/>
      <c r="H79" s="827"/>
      <c r="I79" s="414"/>
      <c r="J79" s="450"/>
      <c r="K79" s="425"/>
      <c r="L79" s="451"/>
      <c r="M79" s="827"/>
      <c r="N79" s="414"/>
      <c r="O79" s="450"/>
      <c r="P79" s="425"/>
      <c r="Q79" s="451"/>
      <c r="R79" s="827"/>
      <c r="S79" s="414"/>
      <c r="T79" s="450"/>
      <c r="U79" s="425"/>
      <c r="V79" s="451"/>
      <c r="W79" s="800"/>
      <c r="X79" s="454"/>
    </row>
    <row r="80" spans="2:24" x14ac:dyDescent="0.3">
      <c r="B80" s="16" t="s">
        <v>177</v>
      </c>
      <c r="C80" s="448">
        <f>44.5*'Arable Inputs'!$D$8</f>
        <v>44.5</v>
      </c>
      <c r="D80" s="449" t="s">
        <v>118</v>
      </c>
      <c r="E80" s="450"/>
      <c r="F80" s="425"/>
      <c r="G80" s="451"/>
      <c r="H80" s="425"/>
      <c r="I80" s="425"/>
      <c r="J80" s="450"/>
      <c r="K80" s="425"/>
      <c r="L80" s="451"/>
      <c r="M80" s="425"/>
      <c r="N80" s="425"/>
      <c r="O80" s="450"/>
      <c r="P80" s="425"/>
      <c r="Q80" s="451"/>
      <c r="R80" s="425"/>
      <c r="S80" s="425"/>
      <c r="T80" s="450"/>
      <c r="U80" s="425"/>
      <c r="V80" s="451"/>
      <c r="W80" s="452"/>
      <c r="X80" s="451"/>
    </row>
    <row r="81" spans="2:24" x14ac:dyDescent="0.3">
      <c r="B81" s="16" t="s">
        <v>178</v>
      </c>
      <c r="C81" s="448">
        <f>50*'Arable Inputs'!$D$8</f>
        <v>50</v>
      </c>
      <c r="D81" s="449">
        <f>54.11*'Arable Inputs'!$D$8</f>
        <v>54.11</v>
      </c>
      <c r="E81" s="450"/>
      <c r="F81" s="425"/>
      <c r="G81" s="451"/>
      <c r="H81" s="425"/>
      <c r="I81" s="425"/>
      <c r="J81" s="450"/>
      <c r="K81" s="425"/>
      <c r="L81" s="451"/>
      <c r="M81" s="425"/>
      <c r="N81" s="425"/>
      <c r="O81" s="450"/>
      <c r="P81" s="425"/>
      <c r="Q81" s="451"/>
      <c r="R81" s="425"/>
      <c r="S81" s="425"/>
      <c r="T81" s="450"/>
      <c r="U81" s="425"/>
      <c r="V81" s="451"/>
      <c r="W81" s="452"/>
      <c r="X81" s="451"/>
    </row>
    <row r="82" spans="2:24" x14ac:dyDescent="0.3">
      <c r="B82" s="16" t="s">
        <v>179</v>
      </c>
      <c r="C82" s="448">
        <f>78.2*'Arable Inputs'!$D$8</f>
        <v>78.2</v>
      </c>
      <c r="D82" s="449" t="s">
        <v>118</v>
      </c>
      <c r="E82" s="450"/>
      <c r="F82" s="425"/>
      <c r="G82" s="451"/>
      <c r="H82" s="425"/>
      <c r="I82" s="425"/>
      <c r="J82" s="450"/>
      <c r="K82" s="425"/>
      <c r="L82" s="451"/>
      <c r="M82" s="425"/>
      <c r="N82" s="425"/>
      <c r="O82" s="450"/>
      <c r="P82" s="425"/>
      <c r="Q82" s="451"/>
      <c r="R82" s="425"/>
      <c r="S82" s="425"/>
      <c r="T82" s="450"/>
      <c r="U82" s="425"/>
      <c r="V82" s="451"/>
      <c r="W82" s="452"/>
      <c r="X82" s="451"/>
    </row>
    <row r="83" spans="2:24" x14ac:dyDescent="0.3">
      <c r="B83" s="16" t="s">
        <v>180</v>
      </c>
      <c r="C83" s="448">
        <f>40*'Arable Inputs'!$D$8</f>
        <v>40</v>
      </c>
      <c r="D83" s="449" t="s">
        <v>118</v>
      </c>
      <c r="E83" s="450"/>
      <c r="F83" s="425"/>
      <c r="G83" s="451"/>
      <c r="H83" s="425"/>
      <c r="I83" s="425"/>
      <c r="J83" s="450"/>
      <c r="K83" s="425"/>
      <c r="L83" s="451"/>
      <c r="M83" s="425"/>
      <c r="N83" s="425"/>
      <c r="O83" s="450"/>
      <c r="P83" s="425"/>
      <c r="Q83" s="451"/>
      <c r="R83" s="425"/>
      <c r="S83" s="425"/>
      <c r="T83" s="450"/>
      <c r="U83" s="425"/>
      <c r="V83" s="451"/>
      <c r="W83" s="452"/>
      <c r="X83" s="451"/>
    </row>
    <row r="84" spans="2:24" x14ac:dyDescent="0.3">
      <c r="B84" s="16" t="s">
        <v>181</v>
      </c>
      <c r="C84" s="458">
        <f>54.83*'Arable Inputs'!$D$8</f>
        <v>54.83</v>
      </c>
      <c r="D84" s="468" t="s">
        <v>118</v>
      </c>
      <c r="E84" s="469"/>
      <c r="F84" s="418"/>
      <c r="G84" s="470"/>
      <c r="H84" s="425"/>
      <c r="I84" s="425"/>
      <c r="J84" s="450"/>
      <c r="K84" s="418"/>
      <c r="L84" s="470"/>
      <c r="M84" s="425"/>
      <c r="N84" s="425"/>
      <c r="O84" s="450"/>
      <c r="P84" s="418"/>
      <c r="Q84" s="470"/>
      <c r="R84" s="425"/>
      <c r="S84" s="425"/>
      <c r="T84" s="450"/>
      <c r="U84" s="418"/>
      <c r="V84" s="470"/>
      <c r="W84" s="452"/>
      <c r="X84" s="451"/>
    </row>
    <row r="85" spans="2:24" x14ac:dyDescent="0.3">
      <c r="B85" s="422" t="s">
        <v>50</v>
      </c>
      <c r="C85" s="818"/>
      <c r="D85" s="818"/>
      <c r="E85" s="460"/>
      <c r="F85" s="420" t="s">
        <v>12</v>
      </c>
      <c r="G85" s="812">
        <f>SUM(G75:G84)</f>
        <v>16.07</v>
      </c>
      <c r="H85" s="794">
        <f>SUM(H75:H84)</f>
        <v>1.2</v>
      </c>
      <c r="I85" s="825">
        <f>SUM(I75:I84)</f>
        <v>15.36</v>
      </c>
      <c r="J85" s="463"/>
      <c r="K85" s="420"/>
      <c r="L85" s="812">
        <f>SUM(L75:L84)</f>
        <v>16.07</v>
      </c>
      <c r="M85" s="794">
        <f>SUM(M75:M84)</f>
        <v>1.2</v>
      </c>
      <c r="N85" s="825">
        <f>SUM(N75:N84)</f>
        <v>15.36</v>
      </c>
      <c r="O85" s="463"/>
      <c r="P85" s="420"/>
      <c r="Q85" s="812">
        <f>SUM(Q75:Q84)</f>
        <v>16.07</v>
      </c>
      <c r="R85" s="794">
        <f>SUM(R75:R84)</f>
        <v>1.2</v>
      </c>
      <c r="S85" s="825">
        <f>SUM(S75:S84)</f>
        <v>15.36</v>
      </c>
      <c r="T85" s="463"/>
      <c r="U85" s="420"/>
      <c r="V85" s="812">
        <f>SUM(V75:V84)</f>
        <v>16.07</v>
      </c>
      <c r="W85" s="794">
        <f>SUM(W75:W84)</f>
        <v>1.2</v>
      </c>
      <c r="X85" s="812">
        <f>SUM(X75:X84)</f>
        <v>15.36</v>
      </c>
    </row>
    <row r="89" spans="2:24" x14ac:dyDescent="0.3">
      <c r="B89" s="422" t="s">
        <v>540</v>
      </c>
      <c r="C89" s="818"/>
      <c r="D89" s="818"/>
      <c r="E89" s="818"/>
      <c r="F89" s="420"/>
      <c r="G89" s="825"/>
      <c r="H89" s="825"/>
      <c r="I89" s="462"/>
      <c r="J89" s="826"/>
      <c r="K89" s="420"/>
      <c r="L89" s="825"/>
      <c r="M89" s="825"/>
      <c r="N89" s="462"/>
      <c r="O89" s="826"/>
      <c r="P89" s="420"/>
      <c r="Q89" s="825"/>
      <c r="R89" s="825"/>
      <c r="S89" s="462"/>
      <c r="T89" s="826"/>
      <c r="U89" s="420"/>
      <c r="V89" s="825"/>
      <c r="W89" s="825"/>
      <c r="X89" s="464"/>
    </row>
    <row r="90" spans="2:24" x14ac:dyDescent="0.3">
      <c r="B90" s="422" t="s">
        <v>531</v>
      </c>
      <c r="C90" s="791"/>
      <c r="D90" s="791"/>
      <c r="E90" s="791"/>
      <c r="F90" s="421"/>
      <c r="G90" s="421"/>
      <c r="H90" s="421"/>
      <c r="I90" s="421"/>
      <c r="J90" s="421"/>
      <c r="K90" s="421"/>
      <c r="L90" s="421"/>
      <c r="M90" s="421"/>
      <c r="N90" s="421"/>
      <c r="O90" s="421"/>
      <c r="P90" s="421"/>
      <c r="Q90" s="421"/>
      <c r="R90" s="421"/>
      <c r="S90" s="421"/>
      <c r="T90" s="421"/>
      <c r="U90" s="421"/>
      <c r="V90" s="421"/>
      <c r="W90" s="421"/>
      <c r="X90" s="423"/>
    </row>
    <row r="91" spans="2:24" x14ac:dyDescent="0.3">
      <c r="B91" s="16" t="s">
        <v>206</v>
      </c>
      <c r="C91" s="448">
        <f>12.36*'Arable Inputs'!$D$8</f>
        <v>12.36</v>
      </c>
      <c r="D91" s="449">
        <f>6.69*'Arable Inputs'!$D$8</f>
        <v>6.69</v>
      </c>
      <c r="E91" s="450"/>
      <c r="F91" s="466"/>
      <c r="G91" s="467"/>
      <c r="H91" s="425"/>
      <c r="I91" s="425"/>
      <c r="J91" s="450"/>
      <c r="K91" s="466"/>
      <c r="L91" s="467"/>
      <c r="M91" s="425"/>
      <c r="N91" s="425"/>
      <c r="O91" s="450"/>
      <c r="P91" s="466"/>
      <c r="Q91" s="467"/>
      <c r="R91" s="425"/>
      <c r="S91" s="425"/>
      <c r="T91" s="450"/>
      <c r="U91" s="466"/>
      <c r="V91" s="467"/>
      <c r="W91" s="452"/>
      <c r="X91" s="451"/>
    </row>
    <row r="92" spans="2:24" x14ac:dyDescent="0.3">
      <c r="B92" s="16" t="s">
        <v>48</v>
      </c>
      <c r="C92" s="448">
        <f>(C91+3.71)*'Arable Inputs'!$D$8</f>
        <v>16.07</v>
      </c>
      <c r="D92" s="449" t="s">
        <v>118</v>
      </c>
      <c r="E92" s="450">
        <v>1</v>
      </c>
      <c r="F92" s="425">
        <v>1</v>
      </c>
      <c r="G92" s="986">
        <f>IF(F92&gt;=1,CHOOSE(E92,$C92,$D92)*F92)</f>
        <v>16.07</v>
      </c>
      <c r="H92" s="846">
        <v>0.3</v>
      </c>
      <c r="I92" s="569">
        <f>H92*$C$4</f>
        <v>3.84</v>
      </c>
      <c r="J92" s="450">
        <v>1</v>
      </c>
      <c r="K92" s="425">
        <v>1</v>
      </c>
      <c r="L92" s="986">
        <f>IF(K92&gt;=1,CHOOSE(J92,$C92,$D92)*K92)</f>
        <v>16.07</v>
      </c>
      <c r="M92" s="846">
        <v>0.3</v>
      </c>
      <c r="N92" s="569">
        <f>M92*$C$4</f>
        <v>3.84</v>
      </c>
      <c r="O92" s="450">
        <v>1</v>
      </c>
      <c r="P92" s="425">
        <v>1</v>
      </c>
      <c r="Q92" s="986">
        <f>IF(P92&gt;=1,CHOOSE(O92,$C92,$D92)*P92)</f>
        <v>16.07</v>
      </c>
      <c r="R92" s="846">
        <v>0.3</v>
      </c>
      <c r="S92" s="569">
        <f>R92*$C$4</f>
        <v>3.84</v>
      </c>
      <c r="T92" s="450">
        <v>1</v>
      </c>
      <c r="U92" s="425">
        <v>1</v>
      </c>
      <c r="V92" s="986">
        <f>IF(U92&gt;=1,CHOOSE(T92,$C92,$D92)*U92)</f>
        <v>16.07</v>
      </c>
      <c r="W92" s="846">
        <v>0.3</v>
      </c>
      <c r="X92" s="986">
        <f>W92*$C$4</f>
        <v>3.84</v>
      </c>
    </row>
    <row r="93" spans="2:24" x14ac:dyDescent="0.3">
      <c r="B93" s="16" t="s">
        <v>131</v>
      </c>
      <c r="C93" s="448">
        <f>6.1*'Arable Inputs'!$D$8</f>
        <v>6.1</v>
      </c>
      <c r="D93" s="449" t="s">
        <v>118</v>
      </c>
      <c r="E93" s="450"/>
      <c r="F93" s="425"/>
      <c r="G93" s="451"/>
      <c r="H93" s="846"/>
      <c r="I93" s="425"/>
      <c r="J93" s="450"/>
      <c r="K93" s="425"/>
      <c r="L93" s="451"/>
      <c r="M93" s="846"/>
      <c r="N93" s="569"/>
      <c r="O93" s="450"/>
      <c r="P93" s="425"/>
      <c r="Q93" s="451"/>
      <c r="R93" s="846"/>
      <c r="S93" s="425"/>
      <c r="T93" s="450"/>
      <c r="U93" s="425"/>
      <c r="V93" s="451"/>
      <c r="W93" s="853"/>
      <c r="X93" s="451"/>
    </row>
    <row r="94" spans="2:24" x14ac:dyDescent="0.3">
      <c r="B94" s="16" t="s">
        <v>49</v>
      </c>
      <c r="C94" s="448">
        <f>14.83*'Arable Inputs'!$D$8</f>
        <v>14.83</v>
      </c>
      <c r="D94" s="449">
        <f>12.09*'Arable Inputs'!$D$8</f>
        <v>12.09</v>
      </c>
      <c r="E94" s="450"/>
      <c r="F94" s="425"/>
      <c r="G94" s="451"/>
      <c r="H94" s="846"/>
      <c r="I94" s="425"/>
      <c r="J94" s="450"/>
      <c r="K94" s="425"/>
      <c r="L94" s="451"/>
      <c r="M94" s="846"/>
      <c r="N94" s="425"/>
      <c r="O94" s="450"/>
      <c r="P94" s="425"/>
      <c r="Q94" s="451"/>
      <c r="R94" s="846"/>
      <c r="S94" s="425"/>
      <c r="T94" s="450"/>
      <c r="U94" s="425"/>
      <c r="V94" s="451"/>
      <c r="W94" s="853"/>
      <c r="X94" s="451"/>
    </row>
    <row r="95" spans="2:24" x14ac:dyDescent="0.3">
      <c r="B95" s="16" t="s">
        <v>176</v>
      </c>
      <c r="C95" s="448">
        <f>49.5*'Arable Inputs'!$D$8</f>
        <v>49.5</v>
      </c>
      <c r="D95" s="449">
        <f>49.64*'Arable Inputs'!$D$8</f>
        <v>49.64</v>
      </c>
      <c r="E95" s="450"/>
      <c r="F95" s="425"/>
      <c r="G95" s="451"/>
      <c r="H95" s="846"/>
      <c r="I95" s="414"/>
      <c r="J95" s="450"/>
      <c r="K95" s="425"/>
      <c r="L95" s="451"/>
      <c r="M95" s="846"/>
      <c r="N95" s="414"/>
      <c r="O95" s="450"/>
      <c r="P95" s="425"/>
      <c r="Q95" s="451"/>
      <c r="R95" s="846"/>
      <c r="S95" s="414"/>
      <c r="T95" s="450"/>
      <c r="U95" s="425"/>
      <c r="V95" s="451"/>
      <c r="W95" s="853"/>
      <c r="X95" s="454"/>
    </row>
    <row r="96" spans="2:24" x14ac:dyDescent="0.3">
      <c r="B96" s="16" t="s">
        <v>177</v>
      </c>
      <c r="C96" s="448">
        <f>44.5*'Arable Inputs'!$D$8</f>
        <v>44.5</v>
      </c>
      <c r="D96" s="449" t="s">
        <v>118</v>
      </c>
      <c r="E96" s="450"/>
      <c r="F96" s="425"/>
      <c r="G96" s="451"/>
      <c r="H96" s="425"/>
      <c r="I96" s="425"/>
      <c r="J96" s="450"/>
      <c r="K96" s="425"/>
      <c r="L96" s="451"/>
      <c r="M96" s="425"/>
      <c r="N96" s="425"/>
      <c r="O96" s="450"/>
      <c r="P96" s="425"/>
      <c r="Q96" s="451"/>
      <c r="R96" s="425"/>
      <c r="S96" s="425"/>
      <c r="T96" s="450"/>
      <c r="U96" s="425"/>
      <c r="V96" s="451"/>
      <c r="W96" s="452"/>
      <c r="X96" s="451"/>
    </row>
    <row r="97" spans="2:24" x14ac:dyDescent="0.3">
      <c r="B97" s="16" t="s">
        <v>178</v>
      </c>
      <c r="C97" s="448">
        <f>50*'Arable Inputs'!$D$8</f>
        <v>50</v>
      </c>
      <c r="D97" s="449">
        <f>54.11*'Arable Inputs'!$D$8</f>
        <v>54.11</v>
      </c>
      <c r="E97" s="450"/>
      <c r="F97" s="425"/>
      <c r="G97" s="451"/>
      <c r="H97" s="425"/>
      <c r="I97" s="425"/>
      <c r="J97" s="450"/>
      <c r="K97" s="425"/>
      <c r="L97" s="451"/>
      <c r="M97" s="425"/>
      <c r="N97" s="425"/>
      <c r="O97" s="450"/>
      <c r="P97" s="425"/>
      <c r="Q97" s="451"/>
      <c r="R97" s="425"/>
      <c r="S97" s="425"/>
      <c r="T97" s="450"/>
      <c r="U97" s="425"/>
      <c r="V97" s="451"/>
      <c r="W97" s="452"/>
      <c r="X97" s="451"/>
    </row>
    <row r="98" spans="2:24" x14ac:dyDescent="0.3">
      <c r="B98" s="16" t="s">
        <v>179</v>
      </c>
      <c r="C98" s="448">
        <f>78.2*'Arable Inputs'!$D$8</f>
        <v>78.2</v>
      </c>
      <c r="D98" s="449" t="s">
        <v>118</v>
      </c>
      <c r="E98" s="450"/>
      <c r="F98" s="425"/>
      <c r="G98" s="451"/>
      <c r="H98" s="425"/>
      <c r="I98" s="425"/>
      <c r="J98" s="450"/>
      <c r="K98" s="425"/>
      <c r="L98" s="451"/>
      <c r="M98" s="425"/>
      <c r="N98" s="425"/>
      <c r="O98" s="450"/>
      <c r="P98" s="425"/>
      <c r="Q98" s="451"/>
      <c r="R98" s="425"/>
      <c r="S98" s="425"/>
      <c r="T98" s="450"/>
      <c r="U98" s="425"/>
      <c r="V98" s="451"/>
      <c r="W98" s="452"/>
      <c r="X98" s="451"/>
    </row>
    <row r="99" spans="2:24" x14ac:dyDescent="0.3">
      <c r="B99" s="16" t="s">
        <v>180</v>
      </c>
      <c r="C99" s="448">
        <f>40*'Arable Inputs'!$D$8</f>
        <v>40</v>
      </c>
      <c r="D99" s="449" t="s">
        <v>118</v>
      </c>
      <c r="E99" s="450"/>
      <c r="F99" s="425"/>
      <c r="G99" s="451"/>
      <c r="H99" s="425"/>
      <c r="I99" s="425"/>
      <c r="J99" s="450"/>
      <c r="K99" s="425"/>
      <c r="L99" s="451"/>
      <c r="M99" s="425"/>
      <c r="N99" s="425"/>
      <c r="O99" s="450"/>
      <c r="P99" s="425"/>
      <c r="Q99" s="451"/>
      <c r="R99" s="425"/>
      <c r="S99" s="425"/>
      <c r="T99" s="450"/>
      <c r="U99" s="425"/>
      <c r="V99" s="451"/>
      <c r="W99" s="452"/>
      <c r="X99" s="451"/>
    </row>
    <row r="100" spans="2:24" x14ac:dyDescent="0.3">
      <c r="B100" s="16" t="s">
        <v>181</v>
      </c>
      <c r="C100" s="458">
        <f>54.83*'Arable Inputs'!$D$8</f>
        <v>54.83</v>
      </c>
      <c r="D100" s="468" t="s">
        <v>118</v>
      </c>
      <c r="E100" s="469"/>
      <c r="F100" s="418"/>
      <c r="G100" s="470"/>
      <c r="H100" s="425"/>
      <c r="I100" s="425"/>
      <c r="J100" s="450"/>
      <c r="K100" s="418"/>
      <c r="L100" s="470"/>
      <c r="M100" s="425"/>
      <c r="N100" s="425"/>
      <c r="O100" s="450"/>
      <c r="P100" s="418"/>
      <c r="Q100" s="470"/>
      <c r="R100" s="425"/>
      <c r="S100" s="425"/>
      <c r="T100" s="450"/>
      <c r="U100" s="418"/>
      <c r="V100" s="470"/>
      <c r="W100" s="452"/>
      <c r="X100" s="451"/>
    </row>
    <row r="101" spans="2:24" x14ac:dyDescent="0.3">
      <c r="B101" s="422" t="s">
        <v>50</v>
      </c>
      <c r="C101" s="791"/>
      <c r="D101" s="791"/>
      <c r="E101" s="460"/>
      <c r="F101" s="420" t="s">
        <v>12</v>
      </c>
      <c r="G101" s="812">
        <f>SUM(G91:G100)</f>
        <v>16.07</v>
      </c>
      <c r="H101" s="794">
        <f>SUM(H91:H100)</f>
        <v>0.3</v>
      </c>
      <c r="I101" s="825">
        <f>SUM(I91:I100)</f>
        <v>3.84</v>
      </c>
      <c r="J101" s="463"/>
      <c r="K101" s="420"/>
      <c r="L101" s="812">
        <f>SUM(L91:L100)</f>
        <v>16.07</v>
      </c>
      <c r="M101" s="794">
        <f>SUM(M91:M100)</f>
        <v>0.3</v>
      </c>
      <c r="N101" s="825">
        <f>SUM(N91:N100)</f>
        <v>3.84</v>
      </c>
      <c r="O101" s="463"/>
      <c r="P101" s="420"/>
      <c r="Q101" s="812">
        <f>SUM(Q91:Q100)</f>
        <v>16.07</v>
      </c>
      <c r="R101" s="794">
        <f>SUM(R91:R100)</f>
        <v>0.3</v>
      </c>
      <c r="S101" s="825">
        <f>SUM(S91:S100)</f>
        <v>3.84</v>
      </c>
      <c r="T101" s="463"/>
      <c r="U101" s="420"/>
      <c r="V101" s="812">
        <f>SUM(V91:V100)</f>
        <v>16.07</v>
      </c>
      <c r="W101" s="794">
        <f>SUM(W91:W100)</f>
        <v>0.3</v>
      </c>
      <c r="X101" s="812">
        <f>SUM(X91:X100)</f>
        <v>3.84</v>
      </c>
    </row>
    <row r="103" spans="2:24" x14ac:dyDescent="0.3">
      <c r="B103" s="422" t="s">
        <v>255</v>
      </c>
      <c r="C103" s="818"/>
      <c r="D103" s="818"/>
      <c r="E103" s="818"/>
      <c r="F103" s="421"/>
      <c r="G103" s="421"/>
      <c r="H103" s="421"/>
      <c r="I103" s="421"/>
      <c r="J103" s="421"/>
      <c r="K103" s="421"/>
      <c r="L103" s="421"/>
      <c r="M103" s="421"/>
      <c r="N103" s="421"/>
      <c r="O103" s="421"/>
      <c r="P103" s="421"/>
      <c r="Q103" s="421"/>
      <c r="R103" s="421"/>
      <c r="S103" s="421"/>
      <c r="T103" s="421"/>
      <c r="U103" s="421"/>
      <c r="V103" s="421"/>
      <c r="W103" s="421"/>
      <c r="X103" s="423"/>
    </row>
    <row r="104" spans="2:24" x14ac:dyDescent="0.3">
      <c r="B104" s="16" t="s">
        <v>196</v>
      </c>
      <c r="C104" s="448">
        <f>40.25*'Arable Inputs'!$D$8</f>
        <v>40.25</v>
      </c>
      <c r="D104" s="449" t="s">
        <v>118</v>
      </c>
      <c r="E104" s="474"/>
      <c r="F104" s="425"/>
      <c r="G104" s="451"/>
      <c r="H104" s="425"/>
      <c r="I104" s="425"/>
      <c r="J104" s="450"/>
      <c r="K104" s="425"/>
      <c r="L104" s="451"/>
      <c r="M104" s="425"/>
      <c r="N104" s="425"/>
      <c r="O104" s="450">
        <v>1</v>
      </c>
      <c r="P104" s="425">
        <v>4</v>
      </c>
      <c r="Q104" s="993">
        <f>IF(P104&gt;=1,CHOOSE(O104,$C104,$D104)*P104)</f>
        <v>161</v>
      </c>
      <c r="R104" s="854">
        <f>0.3*4</f>
        <v>1.2</v>
      </c>
      <c r="S104" s="569">
        <f>R104*$C$4</f>
        <v>15.36</v>
      </c>
      <c r="T104" s="450">
        <v>1</v>
      </c>
      <c r="U104" s="425">
        <v>4</v>
      </c>
      <c r="V104" s="993">
        <f>IF(U104&gt;=1,CHOOSE(T104,$C104,$D104)*U104)</f>
        <v>161</v>
      </c>
      <c r="W104" s="854">
        <f>0.3*4</f>
        <v>1.2</v>
      </c>
      <c r="X104" s="986">
        <f>W104*$C$4</f>
        <v>15.36</v>
      </c>
    </row>
    <row r="105" spans="2:24" x14ac:dyDescent="0.3">
      <c r="B105" s="422" t="s">
        <v>204</v>
      </c>
      <c r="C105" s="818"/>
      <c r="D105" s="818"/>
      <c r="E105" s="460"/>
      <c r="F105" s="420" t="s">
        <v>12</v>
      </c>
      <c r="G105" s="461"/>
      <c r="H105" s="420"/>
      <c r="I105" s="420"/>
      <c r="J105" s="463"/>
      <c r="K105" s="420"/>
      <c r="L105" s="461"/>
      <c r="M105" s="420"/>
      <c r="N105" s="420"/>
      <c r="O105" s="463"/>
      <c r="P105" s="420"/>
      <c r="Q105" s="812">
        <f>SUM(Q104:Q104)</f>
        <v>161</v>
      </c>
      <c r="R105" s="422">
        <f>SUM(R104:R104)</f>
        <v>1.2</v>
      </c>
      <c r="S105" s="825">
        <f>SUM(S104:S104)</f>
        <v>15.36</v>
      </c>
      <c r="T105" s="463"/>
      <c r="U105" s="420"/>
      <c r="V105" s="812">
        <f>SUM(V104:V104)</f>
        <v>161</v>
      </c>
      <c r="W105" s="422">
        <f>SUM(W104:W104)</f>
        <v>1.2</v>
      </c>
      <c r="X105" s="812">
        <f>SUM(X104:X104)</f>
        <v>15.36</v>
      </c>
    </row>
    <row r="106" spans="2:24" x14ac:dyDescent="0.3">
      <c r="B106" s="496"/>
      <c r="C106" s="495"/>
      <c r="D106" s="495"/>
      <c r="E106" s="495"/>
      <c r="F106" s="496"/>
      <c r="G106" s="496"/>
      <c r="H106" s="496"/>
      <c r="I106" s="496"/>
      <c r="J106" s="824"/>
      <c r="K106" s="496"/>
      <c r="L106" s="496"/>
      <c r="M106" s="496"/>
      <c r="N106" s="496"/>
      <c r="O106" s="824"/>
      <c r="P106" s="496"/>
      <c r="Q106" s="823"/>
      <c r="R106" s="496"/>
      <c r="S106" s="647"/>
      <c r="T106" s="824"/>
      <c r="U106" s="496"/>
      <c r="V106" s="823"/>
      <c r="W106" s="496"/>
      <c r="X106" s="647"/>
    </row>
    <row r="107" spans="2:24" x14ac:dyDescent="0.3">
      <c r="B107" s="422" t="s">
        <v>35</v>
      </c>
      <c r="C107" s="818"/>
      <c r="D107" s="818"/>
      <c r="E107" s="818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1"/>
      <c r="T107" s="421"/>
      <c r="U107" s="421"/>
      <c r="V107" s="421"/>
      <c r="W107" s="421"/>
      <c r="X107" s="423"/>
    </row>
    <row r="108" spans="2:24" x14ac:dyDescent="0.3">
      <c r="B108" s="16" t="s">
        <v>60</v>
      </c>
      <c r="C108" s="448">
        <f>12.63*'Arable Inputs'!$D$8</f>
        <v>12.63</v>
      </c>
      <c r="D108" s="487">
        <f>10.08*'Arable Inputs'!$D$8</f>
        <v>10.08</v>
      </c>
      <c r="E108" s="450">
        <v>2</v>
      </c>
      <c r="F108" s="594">
        <v>4</v>
      </c>
      <c r="G108" s="986">
        <f>IF(F108&gt;=1,CHOOSE(E108,$C108,$D108)*F108)</f>
        <v>40.32</v>
      </c>
      <c r="H108" s="855">
        <f>0.3*F108</f>
        <v>1.2</v>
      </c>
      <c r="I108" s="569">
        <f>H108*$C$4</f>
        <v>15.36</v>
      </c>
      <c r="J108" s="450">
        <v>2</v>
      </c>
      <c r="K108" s="594">
        <v>4</v>
      </c>
      <c r="L108" s="986">
        <f>IF(K108&gt;=1,CHOOSE(J108,$C108,$D108)*K108)</f>
        <v>40.32</v>
      </c>
      <c r="M108" s="855">
        <f>0.3*K108</f>
        <v>1.2</v>
      </c>
      <c r="N108" s="569">
        <f>M108*$C$4</f>
        <v>15.36</v>
      </c>
      <c r="O108" s="450"/>
      <c r="P108" s="594"/>
      <c r="Q108" s="451"/>
      <c r="R108" s="855"/>
      <c r="S108" s="414"/>
      <c r="T108" s="450"/>
      <c r="U108" s="594"/>
      <c r="V108" s="451"/>
      <c r="W108" s="855"/>
      <c r="X108" s="454"/>
    </row>
    <row r="109" spans="2:24" x14ac:dyDescent="0.3">
      <c r="B109" s="16" t="s">
        <v>59</v>
      </c>
      <c r="C109" s="448" t="s">
        <v>118</v>
      </c>
      <c r="D109" s="449">
        <f>8.16*'Arable Inputs'!$D$8</f>
        <v>8.16</v>
      </c>
      <c r="E109" s="450"/>
      <c r="F109" s="425"/>
      <c r="G109" s="425"/>
      <c r="H109" s="16"/>
      <c r="I109" s="425"/>
      <c r="J109" s="450"/>
      <c r="K109" s="425"/>
      <c r="L109" s="425"/>
      <c r="M109" s="16"/>
      <c r="N109" s="425"/>
      <c r="O109" s="450"/>
      <c r="P109" s="425"/>
      <c r="Q109" s="425"/>
      <c r="R109" s="16"/>
      <c r="S109" s="425"/>
      <c r="T109" s="450"/>
      <c r="U109" s="425"/>
      <c r="V109" s="425"/>
      <c r="W109" s="16"/>
      <c r="X109" s="451"/>
    </row>
    <row r="110" spans="2:24" x14ac:dyDescent="0.3">
      <c r="B110" s="10" t="s">
        <v>58</v>
      </c>
      <c r="C110" s="490">
        <f>(C108+4.32)*'Arable Inputs'!$D$8</f>
        <v>16.950000000000003</v>
      </c>
      <c r="D110" s="449" t="s">
        <v>118</v>
      </c>
      <c r="E110" s="450"/>
      <c r="F110" s="425"/>
      <c r="G110" s="425"/>
      <c r="H110" s="16"/>
      <c r="I110" s="425"/>
      <c r="J110" s="450"/>
      <c r="K110" s="425"/>
      <c r="L110" s="425"/>
      <c r="M110" s="16"/>
      <c r="N110" s="425"/>
      <c r="O110" s="450"/>
      <c r="P110" s="425"/>
      <c r="Q110" s="425"/>
      <c r="R110" s="16"/>
      <c r="S110" s="425"/>
      <c r="T110" s="450"/>
      <c r="U110" s="425"/>
      <c r="V110" s="425"/>
      <c r="W110" s="16"/>
      <c r="X110" s="451"/>
    </row>
    <row r="111" spans="2:24" x14ac:dyDescent="0.3">
      <c r="B111" s="16" t="s">
        <v>135</v>
      </c>
      <c r="C111" s="448">
        <f>12.36*'Arable Inputs'!$D$8</f>
        <v>12.36</v>
      </c>
      <c r="D111" s="449" t="s">
        <v>118</v>
      </c>
      <c r="E111" s="450"/>
      <c r="F111" s="484"/>
      <c r="G111" s="484"/>
      <c r="H111" s="486"/>
      <c r="I111" s="482"/>
      <c r="J111" s="485"/>
      <c r="K111" s="484"/>
      <c r="L111" s="484"/>
      <c r="M111" s="486"/>
      <c r="N111" s="484"/>
      <c r="O111" s="450"/>
      <c r="P111" s="484"/>
      <c r="Q111" s="484"/>
      <c r="R111" s="486"/>
      <c r="S111" s="482"/>
      <c r="T111" s="450"/>
      <c r="U111" s="484"/>
      <c r="V111" s="484"/>
      <c r="W111" s="486"/>
      <c r="X111" s="483"/>
    </row>
    <row r="112" spans="2:24" x14ac:dyDescent="0.3">
      <c r="B112" s="16" t="s">
        <v>136</v>
      </c>
      <c r="C112" s="448">
        <f>8.9*'Arable Inputs'!$D$8</f>
        <v>8.9</v>
      </c>
      <c r="D112" s="449">
        <f>2.89*'Arable Inputs'!$D$8</f>
        <v>2.89</v>
      </c>
      <c r="E112" s="450"/>
      <c r="F112" s="484"/>
      <c r="G112" s="484"/>
      <c r="H112" s="486"/>
      <c r="I112" s="482"/>
      <c r="J112" s="485"/>
      <c r="K112" s="484"/>
      <c r="L112" s="484"/>
      <c r="M112" s="486"/>
      <c r="N112" s="484"/>
      <c r="O112" s="450"/>
      <c r="P112" s="484"/>
      <c r="Q112" s="484"/>
      <c r="R112" s="486"/>
      <c r="S112" s="482"/>
      <c r="T112" s="450"/>
      <c r="U112" s="484"/>
      <c r="V112" s="484"/>
      <c r="W112" s="486"/>
      <c r="X112" s="483"/>
    </row>
    <row r="113" spans="2:24" x14ac:dyDescent="0.3">
      <c r="B113" s="16" t="s">
        <v>61</v>
      </c>
      <c r="C113" s="448">
        <f>25.95*'Arable Inputs'!$D$8</f>
        <v>25.95</v>
      </c>
      <c r="D113" s="449" t="s">
        <v>118</v>
      </c>
      <c r="E113" s="450"/>
      <c r="F113" s="425"/>
      <c r="G113" s="425"/>
      <c r="H113" s="16"/>
      <c r="I113" s="425"/>
      <c r="J113" s="450"/>
      <c r="K113" s="425"/>
      <c r="L113" s="425"/>
      <c r="M113" s="16"/>
      <c r="N113" s="425"/>
      <c r="O113" s="450"/>
      <c r="P113" s="425"/>
      <c r="Q113" s="425"/>
      <c r="R113" s="16"/>
      <c r="S113" s="425"/>
      <c r="T113" s="450"/>
      <c r="U113" s="425"/>
      <c r="V113" s="425"/>
      <c r="W113" s="16"/>
      <c r="X113" s="451"/>
    </row>
    <row r="114" spans="2:24" x14ac:dyDescent="0.3">
      <c r="B114" s="16" t="s">
        <v>137</v>
      </c>
      <c r="C114" s="448">
        <f>19.77*'Arable Inputs'!$D$8</f>
        <v>19.77</v>
      </c>
      <c r="D114" s="449" t="s">
        <v>118</v>
      </c>
      <c r="E114" s="450"/>
      <c r="F114" s="425"/>
      <c r="G114" s="451"/>
      <c r="H114" s="813"/>
      <c r="I114" s="414"/>
      <c r="J114" s="450"/>
      <c r="K114" s="418"/>
      <c r="L114" s="451"/>
      <c r="M114" s="813"/>
      <c r="N114" s="414"/>
      <c r="O114" s="450"/>
      <c r="P114" s="425"/>
      <c r="Q114" s="451"/>
      <c r="R114" s="813"/>
      <c r="S114" s="414"/>
      <c r="T114" s="450"/>
      <c r="U114" s="425"/>
      <c r="V114" s="451"/>
      <c r="W114" s="813"/>
      <c r="X114" s="454"/>
    </row>
    <row r="115" spans="2:24" x14ac:dyDescent="0.3">
      <c r="B115" s="422" t="s">
        <v>62</v>
      </c>
      <c r="C115" s="818"/>
      <c r="D115" s="818"/>
      <c r="E115" s="460"/>
      <c r="F115" s="420" t="s">
        <v>12</v>
      </c>
      <c r="G115" s="812">
        <f>SUM(G108:G114)</f>
        <v>40.32</v>
      </c>
      <c r="H115" s="794">
        <f>SUM(H108:H114)</f>
        <v>1.2</v>
      </c>
      <c r="I115" s="825">
        <f>SUM(I108:I114)</f>
        <v>15.36</v>
      </c>
      <c r="J115" s="463"/>
      <c r="K115" s="420"/>
      <c r="L115" s="812">
        <f>SUM(L108:L114)</f>
        <v>40.32</v>
      </c>
      <c r="M115" s="794">
        <f>SUM(M108:M114)</f>
        <v>1.2</v>
      </c>
      <c r="N115" s="825">
        <f>SUM(N108:N114)</f>
        <v>15.36</v>
      </c>
      <c r="O115" s="460"/>
      <c r="P115" s="420"/>
      <c r="Q115" s="812"/>
      <c r="R115" s="794"/>
      <c r="S115" s="462"/>
      <c r="T115" s="460"/>
      <c r="U115" s="420"/>
      <c r="V115" s="812"/>
      <c r="W115" s="794"/>
      <c r="X115" s="464"/>
    </row>
    <row r="116" spans="2:24" x14ac:dyDescent="0.3">
      <c r="B116" s="496"/>
      <c r="C116" s="495"/>
      <c r="D116" s="495"/>
      <c r="E116" s="495"/>
      <c r="F116" s="496"/>
      <c r="G116" s="823"/>
      <c r="H116" s="823"/>
      <c r="I116" s="647"/>
      <c r="J116" s="824"/>
      <c r="K116" s="496"/>
      <c r="L116" s="823"/>
      <c r="M116" s="823"/>
      <c r="N116" s="647"/>
      <c r="O116" s="495"/>
      <c r="P116" s="496"/>
      <c r="Q116" s="823"/>
      <c r="R116" s="823"/>
      <c r="S116" s="647"/>
      <c r="T116" s="495"/>
      <c r="U116" s="496"/>
      <c r="V116" s="823"/>
      <c r="W116" s="823"/>
      <c r="X116" s="647"/>
    </row>
    <row r="117" spans="2:24" x14ac:dyDescent="0.3">
      <c r="B117" s="422" t="s">
        <v>182</v>
      </c>
      <c r="C117" s="818"/>
      <c r="D117" s="818"/>
      <c r="E117" s="818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1"/>
      <c r="T117" s="421"/>
      <c r="U117" s="421"/>
      <c r="V117" s="421"/>
      <c r="W117" s="421"/>
      <c r="X117" s="423"/>
    </row>
    <row r="118" spans="2:24" x14ac:dyDescent="0.3">
      <c r="B118" s="16" t="s">
        <v>542</v>
      </c>
      <c r="C118" s="841"/>
      <c r="D118" s="842"/>
      <c r="E118" s="450"/>
      <c r="F118" s="425"/>
      <c r="G118" s="451"/>
      <c r="H118" s="854">
        <v>2</v>
      </c>
      <c r="I118" s="569">
        <f>H118*$C$4</f>
        <v>25.6</v>
      </c>
      <c r="J118" s="450"/>
      <c r="K118" s="425"/>
      <c r="L118" s="451"/>
      <c r="M118" s="811"/>
      <c r="N118" s="414"/>
      <c r="O118" s="450"/>
      <c r="P118" s="425"/>
      <c r="Q118" s="451"/>
      <c r="R118" s="425"/>
      <c r="S118" s="425"/>
      <c r="T118" s="450"/>
      <c r="U118" s="425"/>
      <c r="V118" s="451"/>
      <c r="W118" s="425"/>
      <c r="X118" s="451"/>
    </row>
    <row r="119" spans="2:24" x14ac:dyDescent="0.3">
      <c r="B119" s="16" t="s">
        <v>527</v>
      </c>
      <c r="C119" s="841"/>
      <c r="D119" s="843"/>
      <c r="E119" s="450"/>
      <c r="F119" s="425"/>
      <c r="G119" s="451"/>
      <c r="H119" s="799"/>
      <c r="I119" s="414"/>
      <c r="J119" s="450"/>
      <c r="K119" s="425"/>
      <c r="L119" s="451"/>
      <c r="M119" s="854">
        <v>2</v>
      </c>
      <c r="N119" s="569">
        <f>M119*$C$4</f>
        <v>25.6</v>
      </c>
      <c r="O119" s="450"/>
      <c r="P119" s="425"/>
      <c r="Q119" s="451"/>
      <c r="R119" s="425"/>
      <c r="S119" s="425"/>
      <c r="T119" s="450"/>
      <c r="U119" s="425"/>
      <c r="V119" s="451"/>
      <c r="W119" s="799"/>
      <c r="X119" s="454"/>
    </row>
    <row r="120" spans="2:24" x14ac:dyDescent="0.3">
      <c r="B120" s="16" t="s">
        <v>182</v>
      </c>
      <c r="C120" s="841"/>
      <c r="D120" s="843"/>
      <c r="E120" s="450"/>
      <c r="F120" s="425"/>
      <c r="G120" s="451"/>
      <c r="H120" s="811"/>
      <c r="I120" s="414"/>
      <c r="J120" s="450"/>
      <c r="K120" s="16"/>
      <c r="L120" s="451"/>
      <c r="M120" s="811"/>
      <c r="N120" s="414"/>
      <c r="O120" s="450"/>
      <c r="P120" s="16"/>
      <c r="Q120" s="451"/>
      <c r="R120" s="854">
        <v>2</v>
      </c>
      <c r="S120" s="569">
        <f>R120*$C$4</f>
        <v>25.6</v>
      </c>
      <c r="T120" s="450"/>
      <c r="U120" s="425"/>
      <c r="V120" s="451"/>
      <c r="W120" s="425"/>
      <c r="X120" s="451"/>
    </row>
    <row r="121" spans="2:24" x14ac:dyDescent="0.3">
      <c r="B121" s="16" t="s">
        <v>543</v>
      </c>
      <c r="C121" s="844"/>
      <c r="D121" s="478"/>
      <c r="E121" s="450"/>
      <c r="F121" s="425"/>
      <c r="G121" s="451"/>
      <c r="H121" s="811"/>
      <c r="I121" s="414"/>
      <c r="J121" s="450"/>
      <c r="K121" s="418"/>
      <c r="L121" s="451"/>
      <c r="M121" s="811"/>
      <c r="N121" s="414"/>
      <c r="O121" s="450"/>
      <c r="P121" s="418"/>
      <c r="Q121" s="451"/>
      <c r="R121" s="811"/>
      <c r="S121" s="414"/>
      <c r="T121" s="450"/>
      <c r="U121" s="425"/>
      <c r="V121" s="451"/>
      <c r="W121" s="854">
        <v>2</v>
      </c>
      <c r="X121" s="987">
        <f>W121*$C$4</f>
        <v>25.6</v>
      </c>
    </row>
    <row r="122" spans="2:24" x14ac:dyDescent="0.3">
      <c r="B122" s="422" t="s">
        <v>183</v>
      </c>
      <c r="C122" s="818"/>
      <c r="D122" s="818"/>
      <c r="E122" s="460"/>
      <c r="F122" s="420" t="s">
        <v>12</v>
      </c>
      <c r="G122" s="829">
        <v>450</v>
      </c>
      <c r="H122" s="794">
        <f>SUM(H118:H121)</f>
        <v>2</v>
      </c>
      <c r="I122" s="825">
        <f>SUM(I118:I121)</f>
        <v>25.6</v>
      </c>
      <c r="J122" s="463"/>
      <c r="K122" s="420"/>
      <c r="L122" s="829">
        <v>100</v>
      </c>
      <c r="M122" s="794">
        <f>SUM(M118:M121)</f>
        <v>2</v>
      </c>
      <c r="N122" s="825">
        <f>SUM(N118:N121)</f>
        <v>25.6</v>
      </c>
      <c r="O122" s="463"/>
      <c r="P122" s="840">
        <v>100</v>
      </c>
      <c r="Q122" s="461">
        <f>SUM(Q118:Q120)</f>
        <v>0</v>
      </c>
      <c r="R122" s="794">
        <f>SUM(R118:R121)</f>
        <v>2</v>
      </c>
      <c r="S122" s="825">
        <f>SUM(S118:S121)</f>
        <v>25.6</v>
      </c>
      <c r="T122" s="463"/>
      <c r="U122" s="420"/>
      <c r="V122" s="829">
        <v>175</v>
      </c>
      <c r="W122" s="422">
        <f>SUM(W118:W121)</f>
        <v>2</v>
      </c>
      <c r="X122" s="812">
        <f>SUM(X118:X121)</f>
        <v>25.6</v>
      </c>
    </row>
    <row r="123" spans="2:24" x14ac:dyDescent="0.3">
      <c r="B123" s="837"/>
      <c r="C123" s="817"/>
      <c r="D123" s="817"/>
      <c r="E123" s="495"/>
      <c r="F123" s="496"/>
      <c r="G123" s="496"/>
      <c r="H123" s="496"/>
      <c r="I123" s="496"/>
      <c r="J123" s="496"/>
      <c r="K123" s="496"/>
      <c r="L123" s="496"/>
      <c r="M123" s="496"/>
      <c r="N123" s="496"/>
      <c r="O123" s="496"/>
      <c r="P123" s="496"/>
      <c r="Q123" s="496"/>
      <c r="R123" s="496"/>
      <c r="S123" s="496"/>
      <c r="T123" s="496"/>
      <c r="U123" s="496"/>
      <c r="V123" s="496"/>
      <c r="W123" s="496"/>
      <c r="X123" s="496"/>
    </row>
    <row r="124" spans="2:24" x14ac:dyDescent="0.3">
      <c r="B124" s="496"/>
      <c r="C124" s="495"/>
      <c r="D124" s="495"/>
      <c r="E124" s="495"/>
      <c r="F124" s="496"/>
      <c r="G124" s="823"/>
      <c r="H124" s="823"/>
      <c r="I124" s="647"/>
      <c r="J124" s="824"/>
      <c r="K124" s="496"/>
      <c r="L124" s="823"/>
      <c r="M124" s="823"/>
      <c r="N124" s="647"/>
      <c r="O124" s="495"/>
      <c r="P124" s="496"/>
      <c r="Q124" s="823"/>
      <c r="R124" s="823"/>
      <c r="S124" s="647"/>
      <c r="T124" s="495"/>
      <c r="U124" s="496"/>
      <c r="V124" s="823"/>
      <c r="W124" s="823"/>
      <c r="X124" s="647"/>
    </row>
    <row r="126" spans="2:24" x14ac:dyDescent="0.3">
      <c r="B126" s="74"/>
      <c r="C126" s="19"/>
      <c r="D126" s="20"/>
      <c r="E126" s="20"/>
      <c r="F126" s="503"/>
      <c r="G126" s="503"/>
      <c r="H126" s="503"/>
      <c r="I126" s="503"/>
    </row>
    <row r="127" spans="2:24" x14ac:dyDescent="0.3">
      <c r="B127" s="417"/>
      <c r="C127" s="416"/>
      <c r="D127" s="416"/>
      <c r="E127" s="416"/>
      <c r="F127" s="504" t="s">
        <v>94</v>
      </c>
      <c r="G127" s="504" t="s">
        <v>95</v>
      </c>
      <c r="H127" s="504" t="s">
        <v>96</v>
      </c>
      <c r="I127" s="504" t="s">
        <v>498</v>
      </c>
    </row>
    <row r="128" spans="2:24" x14ac:dyDescent="0.3">
      <c r="B128" s="76" t="s">
        <v>82</v>
      </c>
      <c r="C128" s="81" t="s">
        <v>533</v>
      </c>
      <c r="D128" s="83" t="s">
        <v>460</v>
      </c>
      <c r="E128" s="79"/>
      <c r="F128" s="792">
        <f>G36</f>
        <v>200</v>
      </c>
      <c r="G128" s="792">
        <f>L36</f>
        <v>180</v>
      </c>
      <c r="H128" s="792">
        <f>Q36</f>
        <v>180</v>
      </c>
      <c r="I128" s="792">
        <f>V36</f>
        <v>180</v>
      </c>
    </row>
    <row r="129" spans="2:9" x14ac:dyDescent="0.3">
      <c r="B129" s="9"/>
      <c r="C129" s="32" t="s">
        <v>147</v>
      </c>
      <c r="D129" s="79" t="s">
        <v>460</v>
      </c>
      <c r="E129" s="79"/>
      <c r="F129" s="792">
        <f>G85</f>
        <v>16.07</v>
      </c>
      <c r="G129" s="792">
        <f>L85</f>
        <v>16.07</v>
      </c>
      <c r="H129" s="792">
        <f>Q85</f>
        <v>16.07</v>
      </c>
      <c r="I129" s="792">
        <f>V85</f>
        <v>16.07</v>
      </c>
    </row>
    <row r="130" spans="2:9" x14ac:dyDescent="0.3">
      <c r="B130" s="10"/>
      <c r="C130" s="33" t="s">
        <v>35</v>
      </c>
      <c r="D130" s="79" t="s">
        <v>460</v>
      </c>
      <c r="E130" s="79"/>
      <c r="F130" s="792">
        <f>G72</f>
        <v>40.32</v>
      </c>
      <c r="G130" s="792">
        <f>L72</f>
        <v>40.32</v>
      </c>
      <c r="H130" s="792">
        <f>Q72</f>
        <v>20.16</v>
      </c>
      <c r="I130" s="792">
        <f>V72</f>
        <v>20.16</v>
      </c>
    </row>
    <row r="131" spans="2:9" ht="20" x14ac:dyDescent="0.3">
      <c r="B131" s="10"/>
      <c r="C131" s="33" t="s">
        <v>255</v>
      </c>
      <c r="D131" s="79" t="s">
        <v>460</v>
      </c>
      <c r="E131" s="79"/>
      <c r="F131" s="792">
        <v>0</v>
      </c>
      <c r="G131" s="792">
        <v>0</v>
      </c>
      <c r="H131" s="792">
        <f>Q62</f>
        <v>120.75</v>
      </c>
      <c r="I131" s="792">
        <f>V62</f>
        <v>120.75</v>
      </c>
    </row>
    <row r="132" spans="2:9" x14ac:dyDescent="0.3">
      <c r="B132" s="10"/>
      <c r="C132" s="33" t="s">
        <v>85</v>
      </c>
      <c r="D132" s="79" t="s">
        <v>460</v>
      </c>
      <c r="E132" s="79"/>
      <c r="F132" s="506">
        <f>G54</f>
        <v>300</v>
      </c>
      <c r="G132" s="506">
        <f>L54</f>
        <v>350</v>
      </c>
      <c r="H132" s="506">
        <f>Q54</f>
        <v>126.29</v>
      </c>
      <c r="I132" s="506">
        <f>V54</f>
        <v>45</v>
      </c>
    </row>
    <row r="133" spans="2:9" x14ac:dyDescent="0.3">
      <c r="B133" s="10"/>
      <c r="C133" s="33" t="s">
        <v>534</v>
      </c>
      <c r="D133" s="79" t="s">
        <v>460</v>
      </c>
      <c r="E133" s="79"/>
      <c r="F133" s="506">
        <f>G58</f>
        <v>50</v>
      </c>
      <c r="G133" s="506">
        <f>L58</f>
        <v>20</v>
      </c>
      <c r="H133" s="506">
        <f>Q58</f>
        <v>20</v>
      </c>
      <c r="I133" s="506">
        <f>V58</f>
        <v>20</v>
      </c>
    </row>
    <row r="134" spans="2:9" x14ac:dyDescent="0.3">
      <c r="B134" s="422" t="s">
        <v>539</v>
      </c>
      <c r="C134" s="832"/>
      <c r="D134" s="833" t="s">
        <v>471</v>
      </c>
      <c r="E134" s="179"/>
      <c r="F134" s="834">
        <f>SUM(F128:F133)</f>
        <v>606.39</v>
      </c>
      <c r="G134" s="834">
        <f>SUM(G128:G133)</f>
        <v>606.39</v>
      </c>
      <c r="H134" s="834">
        <f>SUM(H128:H133)</f>
        <v>483.27000000000004</v>
      </c>
      <c r="I134" s="834">
        <f>SUM(I128:I133)</f>
        <v>401.98</v>
      </c>
    </row>
    <row r="135" spans="2:9" ht="15.5" x14ac:dyDescent="0.35">
      <c r="B135" s="507"/>
      <c r="C135" s="507"/>
      <c r="D135" s="507"/>
      <c r="E135" s="507"/>
      <c r="F135" s="847"/>
      <c r="G135" s="847"/>
      <c r="H135" s="847"/>
      <c r="I135" s="847"/>
    </row>
    <row r="136" spans="2:9" x14ac:dyDescent="0.3">
      <c r="B136" s="508" t="s">
        <v>544</v>
      </c>
      <c r="C136" s="509"/>
      <c r="D136" s="38" t="s">
        <v>217</v>
      </c>
      <c r="E136" s="38"/>
      <c r="F136" s="793">
        <f>H36+H54+H58+H72+H85</f>
        <v>8.85</v>
      </c>
      <c r="G136" s="793">
        <f>M36+M54+M58+M72+M85</f>
        <v>8.85</v>
      </c>
      <c r="H136" s="793">
        <f>R36+R54+R58+R62+R72+R85</f>
        <v>10.299999999999999</v>
      </c>
      <c r="I136" s="793">
        <f>W36+W54+W58+W62+W72+W85</f>
        <v>10.299999999999999</v>
      </c>
    </row>
    <row r="139" spans="2:9" x14ac:dyDescent="0.3">
      <c r="B139" s="417"/>
      <c r="C139" s="416"/>
      <c r="D139" s="416"/>
      <c r="E139" s="416"/>
      <c r="F139" s="504" t="s">
        <v>94</v>
      </c>
      <c r="G139" s="504" t="s">
        <v>95</v>
      </c>
      <c r="H139" s="504" t="s">
        <v>96</v>
      </c>
      <c r="I139" s="504" t="s">
        <v>498</v>
      </c>
    </row>
    <row r="140" spans="2:9" ht="20" x14ac:dyDescent="0.3">
      <c r="B140" s="76" t="s">
        <v>88</v>
      </c>
      <c r="C140" s="81" t="s">
        <v>537</v>
      </c>
      <c r="D140" s="83" t="s">
        <v>460</v>
      </c>
      <c r="E140" s="79"/>
      <c r="F140" s="792">
        <v>0</v>
      </c>
      <c r="G140" s="792">
        <v>0</v>
      </c>
      <c r="H140" s="792">
        <f>Q105</f>
        <v>161</v>
      </c>
      <c r="I140" s="792">
        <f>V105</f>
        <v>161</v>
      </c>
    </row>
    <row r="141" spans="2:9" x14ac:dyDescent="0.3">
      <c r="B141" s="9"/>
      <c r="C141" s="32" t="s">
        <v>33</v>
      </c>
      <c r="D141" s="79" t="s">
        <v>460</v>
      </c>
      <c r="E141" s="79"/>
      <c r="F141" s="792">
        <f>G101</f>
        <v>16.07</v>
      </c>
      <c r="G141" s="792">
        <f>L101</f>
        <v>16.07</v>
      </c>
      <c r="H141" s="792">
        <f>Q101</f>
        <v>16.07</v>
      </c>
      <c r="I141" s="792">
        <f>V101</f>
        <v>16.07</v>
      </c>
    </row>
    <row r="142" spans="2:9" x14ac:dyDescent="0.3">
      <c r="B142" s="10"/>
      <c r="C142" s="33" t="s">
        <v>35</v>
      </c>
      <c r="D142" s="79" t="s">
        <v>455</v>
      </c>
      <c r="E142" s="79"/>
      <c r="F142" s="792">
        <f>G115</f>
        <v>40.32</v>
      </c>
      <c r="G142" s="792">
        <f>L115</f>
        <v>40.32</v>
      </c>
      <c r="H142" s="792">
        <v>0</v>
      </c>
      <c r="I142" s="792">
        <f>V52</f>
        <v>0</v>
      </c>
    </row>
    <row r="143" spans="2:9" x14ac:dyDescent="0.3">
      <c r="B143" s="10"/>
      <c r="C143" s="33" t="s">
        <v>182</v>
      </c>
      <c r="D143" s="79" t="s">
        <v>460</v>
      </c>
      <c r="E143" s="79"/>
      <c r="F143" s="792">
        <f>G122</f>
        <v>450</v>
      </c>
      <c r="G143" s="792">
        <f>L122</f>
        <v>100</v>
      </c>
      <c r="H143" s="792">
        <f>P122</f>
        <v>100</v>
      </c>
      <c r="I143" s="792">
        <f>V122</f>
        <v>175</v>
      </c>
    </row>
    <row r="144" spans="2:9" x14ac:dyDescent="0.3">
      <c r="B144" s="422" t="s">
        <v>545</v>
      </c>
      <c r="C144" s="832"/>
      <c r="D144" s="833" t="s">
        <v>471</v>
      </c>
      <c r="E144" s="179"/>
      <c r="F144" s="834">
        <f>SUM(F140:F143)</f>
        <v>506.39</v>
      </c>
      <c r="G144" s="834">
        <f>SUM(G140:G143)</f>
        <v>156.38999999999999</v>
      </c>
      <c r="H144" s="834">
        <f>SUM(H140:H143)</f>
        <v>277.07</v>
      </c>
      <c r="I144" s="834">
        <f>SUM(I140:I143)</f>
        <v>352.07</v>
      </c>
    </row>
    <row r="145" spans="2:9" ht="15.5" x14ac:dyDescent="0.35">
      <c r="B145" s="507"/>
      <c r="C145" s="507"/>
      <c r="D145" s="507"/>
      <c r="E145" s="507"/>
      <c r="F145" s="507"/>
      <c r="G145" s="507"/>
      <c r="H145" s="507"/>
      <c r="I145" s="507"/>
    </row>
    <row r="146" spans="2:9" x14ac:dyDescent="0.3">
      <c r="B146" s="508" t="s">
        <v>546</v>
      </c>
      <c r="C146" s="509"/>
      <c r="D146" s="38" t="s">
        <v>217</v>
      </c>
      <c r="E146" s="38"/>
      <c r="F146" s="793">
        <f>H101+H115+H122</f>
        <v>3.5</v>
      </c>
      <c r="G146" s="793">
        <f>M101+M115+M122</f>
        <v>3.5</v>
      </c>
      <c r="H146" s="793">
        <f>R101+R105+R115+R122</f>
        <v>3.5</v>
      </c>
      <c r="I146" s="793">
        <f>W101+W105+W115+W122</f>
        <v>3.5</v>
      </c>
    </row>
  </sheetData>
  <mergeCells count="32">
    <mergeCell ref="P8:Q8"/>
    <mergeCell ref="R8:S8"/>
    <mergeCell ref="U8:V8"/>
    <mergeCell ref="W8:X8"/>
    <mergeCell ref="F9:G9"/>
    <mergeCell ref="H9:I9"/>
    <mergeCell ref="K9:L9"/>
    <mergeCell ref="M9:N9"/>
    <mergeCell ref="F8:G8"/>
    <mergeCell ref="H8:I8"/>
    <mergeCell ref="K8:L8"/>
    <mergeCell ref="M8:N8"/>
    <mergeCell ref="R9:S9"/>
    <mergeCell ref="U9:V9"/>
    <mergeCell ref="W9:X9"/>
    <mergeCell ref="F10:G10"/>
    <mergeCell ref="H10:I10"/>
    <mergeCell ref="K10:L10"/>
    <mergeCell ref="M10:N10"/>
    <mergeCell ref="P9:Q9"/>
    <mergeCell ref="R11:S11"/>
    <mergeCell ref="U11:V11"/>
    <mergeCell ref="W11:X11"/>
    <mergeCell ref="P10:Q10"/>
    <mergeCell ref="R10:S10"/>
    <mergeCell ref="U10:V10"/>
    <mergeCell ref="W10:X10"/>
    <mergeCell ref="F11:G11"/>
    <mergeCell ref="H11:I11"/>
    <mergeCell ref="K11:L11"/>
    <mergeCell ref="M11:N11"/>
    <mergeCell ref="P11:Q1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95"/>
  <sheetViews>
    <sheetView topLeftCell="A39" workbookViewId="0">
      <selection activeCell="S46" sqref="S46"/>
    </sheetView>
  </sheetViews>
  <sheetFormatPr defaultColWidth="9" defaultRowHeight="14" x14ac:dyDescent="0.3"/>
  <cols>
    <col min="1" max="1" width="14.5" customWidth="1"/>
    <col min="2" max="2" width="31.83203125" customWidth="1"/>
    <col min="3" max="3" width="24.33203125" customWidth="1"/>
  </cols>
  <sheetData>
    <row r="1" spans="1:32" ht="14.5" thickBot="1" x14ac:dyDescent="0.35"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</row>
    <row r="2" spans="1:32" ht="14.5" thickBot="1" x14ac:dyDescent="0.35">
      <c r="B2" s="411" t="s">
        <v>470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</row>
    <row r="3" spans="1:32" x14ac:dyDescent="0.3">
      <c r="B3" s="412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</row>
    <row r="4" spans="1:32" x14ac:dyDescent="0.3">
      <c r="B4" s="412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</row>
    <row r="5" spans="1:32" x14ac:dyDescent="0.3"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</row>
    <row r="6" spans="1:32" x14ac:dyDescent="0.3">
      <c r="B6" s="364"/>
      <c r="C6" s="364"/>
      <c r="D6" s="364"/>
      <c r="E6" s="578" t="s">
        <v>94</v>
      </c>
      <c r="F6" s="38"/>
      <c r="G6" s="38"/>
      <c r="H6" s="38"/>
      <c r="I6" s="38"/>
      <c r="J6" s="38"/>
      <c r="K6" s="38"/>
      <c r="L6" s="579" t="s">
        <v>95</v>
      </c>
      <c r="M6" s="18"/>
      <c r="N6" s="18"/>
      <c r="O6" s="18"/>
      <c r="P6" s="18"/>
      <c r="Q6" s="18"/>
      <c r="R6" s="18"/>
      <c r="S6" s="580" t="s">
        <v>96</v>
      </c>
      <c r="T6" s="38"/>
      <c r="U6" s="38"/>
      <c r="V6" s="38"/>
      <c r="W6" s="38"/>
      <c r="X6" s="38"/>
      <c r="Y6" s="38"/>
      <c r="Z6" s="581" t="s">
        <v>97</v>
      </c>
      <c r="AA6" s="18"/>
      <c r="AB6" s="18"/>
      <c r="AC6" s="18"/>
      <c r="AD6" s="18"/>
      <c r="AE6" s="18"/>
      <c r="AF6" s="157"/>
    </row>
    <row r="7" spans="1:32" x14ac:dyDescent="0.3">
      <c r="A7" s="21"/>
      <c r="B7" s="416"/>
      <c r="C7" s="416"/>
      <c r="D7" s="364"/>
      <c r="E7" s="582"/>
      <c r="F7" s="1101" t="s">
        <v>73</v>
      </c>
      <c r="G7" s="1101"/>
      <c r="H7" s="1101"/>
      <c r="I7" s="1102"/>
      <c r="J7" s="416"/>
      <c r="K7" s="583"/>
      <c r="L7" s="582"/>
      <c r="M7" s="1112" t="s">
        <v>73</v>
      </c>
      <c r="N7" s="1112"/>
      <c r="O7" s="1112"/>
      <c r="P7" s="1113"/>
      <c r="Q7" s="584"/>
      <c r="R7" s="585"/>
      <c r="S7" s="582"/>
      <c r="T7" s="1101" t="s">
        <v>73</v>
      </c>
      <c r="U7" s="1101"/>
      <c r="V7" s="1101"/>
      <c r="W7" s="1102"/>
      <c r="X7" s="585"/>
      <c r="Y7" s="585"/>
      <c r="Z7" s="582"/>
      <c r="AA7" s="1100" t="s">
        <v>73</v>
      </c>
      <c r="AB7" s="1101"/>
      <c r="AC7" s="1101"/>
      <c r="AD7" s="1102"/>
      <c r="AE7" s="584"/>
      <c r="AF7" s="586"/>
    </row>
    <row r="8" spans="1:32" ht="25.5" customHeight="1" x14ac:dyDescent="0.3">
      <c r="B8" s="425"/>
      <c r="C8" s="425"/>
      <c r="D8" s="416"/>
      <c r="E8" s="481"/>
      <c r="F8" s="1105" t="s">
        <v>74</v>
      </c>
      <c r="G8" s="1110" t="s">
        <v>263</v>
      </c>
      <c r="H8" s="1105" t="s">
        <v>264</v>
      </c>
      <c r="I8" s="1105" t="s">
        <v>75</v>
      </c>
      <c r="J8" s="1106" t="s">
        <v>265</v>
      </c>
      <c r="K8" s="1108" t="s">
        <v>76</v>
      </c>
      <c r="L8" s="587"/>
      <c r="M8" s="1103" t="s">
        <v>74</v>
      </c>
      <c r="N8" s="1110" t="s">
        <v>263</v>
      </c>
      <c r="O8" s="1110" t="s">
        <v>264</v>
      </c>
      <c r="P8" s="1103" t="s">
        <v>75</v>
      </c>
      <c r="Q8" s="1106" t="s">
        <v>265</v>
      </c>
      <c r="R8" s="1108" t="s">
        <v>76</v>
      </c>
      <c r="S8" s="588"/>
      <c r="T8" s="1110" t="s">
        <v>74</v>
      </c>
      <c r="U8" s="1110" t="s">
        <v>263</v>
      </c>
      <c r="V8" s="1110" t="s">
        <v>264</v>
      </c>
      <c r="W8" s="1110" t="s">
        <v>75</v>
      </c>
      <c r="X8" s="1106" t="s">
        <v>265</v>
      </c>
      <c r="Y8" s="1108" t="s">
        <v>76</v>
      </c>
      <c r="Z8" s="588"/>
      <c r="AA8" s="1117" t="s">
        <v>74</v>
      </c>
      <c r="AB8" s="1110" t="s">
        <v>263</v>
      </c>
      <c r="AC8" s="1117" t="s">
        <v>264</v>
      </c>
      <c r="AD8" s="1117" t="s">
        <v>75</v>
      </c>
      <c r="AE8" s="1106" t="s">
        <v>265</v>
      </c>
      <c r="AF8" s="1114" t="s">
        <v>76</v>
      </c>
    </row>
    <row r="9" spans="1:32" ht="25.5" customHeight="1" x14ac:dyDescent="0.3">
      <c r="B9" s="416"/>
      <c r="C9" s="416"/>
      <c r="D9" s="416"/>
      <c r="E9" s="481"/>
      <c r="F9" s="1105"/>
      <c r="G9" s="1111"/>
      <c r="H9" s="1105"/>
      <c r="I9" s="1105"/>
      <c r="J9" s="1107"/>
      <c r="K9" s="1109"/>
      <c r="L9" s="587"/>
      <c r="M9" s="1104"/>
      <c r="N9" s="1111"/>
      <c r="O9" s="1111"/>
      <c r="P9" s="1104"/>
      <c r="Q9" s="1107"/>
      <c r="R9" s="1109"/>
      <c r="S9" s="589"/>
      <c r="T9" s="1111"/>
      <c r="U9" s="1111"/>
      <c r="V9" s="1111"/>
      <c r="W9" s="1111"/>
      <c r="X9" s="1107"/>
      <c r="Y9" s="1116"/>
      <c r="Z9" s="589"/>
      <c r="AA9" s="1117"/>
      <c r="AB9" s="1111"/>
      <c r="AC9" s="1117"/>
      <c r="AD9" s="1117"/>
      <c r="AE9" s="1107"/>
      <c r="AF9" s="1115"/>
    </row>
    <row r="10" spans="1:32" x14ac:dyDescent="0.3">
      <c r="B10" s="91" t="s">
        <v>1</v>
      </c>
      <c r="C10" s="93" t="s">
        <v>77</v>
      </c>
      <c r="D10" s="159" t="s">
        <v>91</v>
      </c>
      <c r="E10" s="590"/>
      <c r="F10" s="155">
        <f>'Energy Inputs'!D17</f>
        <v>4</v>
      </c>
      <c r="G10" s="155">
        <f>'Energy Inputs'!D16</f>
        <v>16</v>
      </c>
      <c r="H10" s="155">
        <f>'Energy Inputs'!D18</f>
        <v>3</v>
      </c>
      <c r="I10" s="92">
        <f>IF(F10="",0,INT(1+((G10-F10)/H10)))</f>
        <v>5</v>
      </c>
      <c r="J10" s="950">
        <f>SUM('Energy NPV'!D13:D28)</f>
        <v>150</v>
      </c>
      <c r="K10" s="176">
        <f>J10/'Energy Inputs'!D16</f>
        <v>9.375</v>
      </c>
      <c r="L10" s="590"/>
      <c r="M10" s="155">
        <f>'Energy Inputs'!E17</f>
        <v>1</v>
      </c>
      <c r="N10" s="155">
        <f>'Energy Inputs'!E16</f>
        <v>16</v>
      </c>
      <c r="O10" s="155">
        <f>'Energy Inputs'!E18</f>
        <v>1</v>
      </c>
      <c r="P10" s="92">
        <f>IF(M10="",0,INT(1+((N10-M10)/O10)))</f>
        <v>16</v>
      </c>
      <c r="Q10" s="950">
        <f>SUM('Energy NPV'!D39:D54)</f>
        <v>178.64499999999992</v>
      </c>
      <c r="R10" s="176">
        <f>Q10/'Energy Inputs'!E16</f>
        <v>11.165312499999995</v>
      </c>
      <c r="S10" s="591"/>
      <c r="T10" s="155">
        <f>'Energy Inputs'!F17</f>
        <v>1</v>
      </c>
      <c r="U10" s="155">
        <f>'Energy Inputs'!F16</f>
        <v>16</v>
      </c>
      <c r="V10" s="155">
        <f>'Energy Inputs'!F18</f>
        <v>1</v>
      </c>
      <c r="W10" s="92">
        <f>IF(T10="",0,INT(1+((U10-T10)/V10)))</f>
        <v>16</v>
      </c>
      <c r="X10" s="950">
        <f>SUM('Energy NPV'!D65:D80)</f>
        <v>172.26433333333333</v>
      </c>
      <c r="Y10" s="176">
        <f>X10/'Energy Inputs'!F16</f>
        <v>10.766520833333333</v>
      </c>
      <c r="Z10" s="592"/>
      <c r="AA10" s="155">
        <f>'Energy Inputs'!G17</f>
        <v>2</v>
      </c>
      <c r="AB10" s="155">
        <f>'Energy Inputs'!G16</f>
        <v>16</v>
      </c>
      <c r="AC10" s="155">
        <f>'Energy Inputs'!G18</f>
        <v>1</v>
      </c>
      <c r="AD10" s="92">
        <f>IF(AA10="",0,INT(1+((AB10-AA10)/AC10)))</f>
        <v>15</v>
      </c>
      <c r="AE10" s="951">
        <f>SUM('Energy NPV'!D91:D106)</f>
        <v>235.96666666666673</v>
      </c>
      <c r="AF10" s="156">
        <f>AE10/'Energy Inputs'!G16</f>
        <v>14.74791666666667</v>
      </c>
    </row>
    <row r="11" spans="1:32" x14ac:dyDescent="0.3">
      <c r="B11" s="96"/>
      <c r="C11" s="27"/>
      <c r="D11" s="27"/>
      <c r="E11" s="593"/>
      <c r="F11" s="594"/>
      <c r="G11" s="594"/>
      <c r="H11" s="594"/>
      <c r="I11" s="594"/>
      <c r="J11" s="414"/>
      <c r="K11" s="595"/>
      <c r="L11" s="593"/>
      <c r="M11" s="594"/>
      <c r="N11" s="594"/>
      <c r="O11" s="594"/>
      <c r="P11" s="594"/>
      <c r="Q11" s="414"/>
      <c r="R11" s="596"/>
      <c r="S11" s="597"/>
      <c r="T11" s="594"/>
      <c r="U11" s="594"/>
      <c r="V11" s="594"/>
      <c r="W11" s="594"/>
      <c r="X11" s="414"/>
      <c r="Y11" s="596"/>
      <c r="Z11" s="569"/>
      <c r="AA11" s="594"/>
      <c r="AB11" s="594"/>
      <c r="AC11" s="594"/>
      <c r="AD11" s="594"/>
      <c r="AE11" s="414"/>
      <c r="AF11" s="596"/>
    </row>
    <row r="12" spans="1:32" x14ac:dyDescent="0.3">
      <c r="B12" s="97" t="s">
        <v>8</v>
      </c>
      <c r="C12" s="81" t="s">
        <v>78</v>
      </c>
      <c r="D12" s="160" t="s">
        <v>462</v>
      </c>
      <c r="E12" s="598">
        <f>'Energy Inputs'!$D$58</f>
        <v>55</v>
      </c>
      <c r="F12" s="599"/>
      <c r="G12" s="599"/>
      <c r="H12" s="599"/>
      <c r="I12" s="599"/>
      <c r="J12" s="599"/>
      <c r="K12" s="584"/>
      <c r="L12" s="600">
        <f>'Energy Inputs'!$E$58</f>
        <v>55</v>
      </c>
      <c r="M12" s="601"/>
      <c r="N12" s="601"/>
      <c r="O12" s="601"/>
      <c r="P12" s="601"/>
      <c r="Q12" s="599"/>
      <c r="R12" s="602"/>
      <c r="S12" s="600">
        <f>'Energy Inputs'!$F$58</f>
        <v>55</v>
      </c>
      <c r="T12" s="599"/>
      <c r="U12" s="584"/>
      <c r="V12" s="583"/>
      <c r="W12" s="599"/>
      <c r="X12" s="599"/>
      <c r="Y12" s="602"/>
      <c r="Z12" s="600">
        <f>'Energy Inputs'!$G$58</f>
        <v>55</v>
      </c>
      <c r="AA12" s="599"/>
      <c r="AB12" s="584"/>
      <c r="AC12" s="583"/>
      <c r="AD12" s="599"/>
      <c r="AE12" s="599"/>
      <c r="AF12" s="602"/>
    </row>
    <row r="13" spans="1:32" ht="15" customHeight="1" x14ac:dyDescent="0.3">
      <c r="B13" s="94"/>
      <c r="C13" s="28" t="s">
        <v>79</v>
      </c>
      <c r="D13" s="157" t="s">
        <v>462</v>
      </c>
      <c r="E13" s="603"/>
      <c r="F13" s="364"/>
      <c r="G13" s="364"/>
      <c r="H13" s="364"/>
      <c r="I13" s="364"/>
      <c r="J13" s="604"/>
      <c r="K13" s="605">
        <f>K14/K10</f>
        <v>55</v>
      </c>
      <c r="L13" s="606"/>
      <c r="M13" s="400"/>
      <c r="N13" s="400"/>
      <c r="O13" s="400"/>
      <c r="P13" s="400"/>
      <c r="Q13" s="604"/>
      <c r="R13" s="607">
        <f>R14/R10</f>
        <v>55.000000000000007</v>
      </c>
      <c r="S13" s="606"/>
      <c r="T13" s="456"/>
      <c r="U13" s="456"/>
      <c r="V13" s="400"/>
      <c r="W13" s="456"/>
      <c r="X13" s="604"/>
      <c r="Y13" s="607">
        <f>Y14/Y10</f>
        <v>54.999999999999993</v>
      </c>
      <c r="Z13" s="606"/>
      <c r="AA13" s="456"/>
      <c r="AB13" s="456"/>
      <c r="AC13" s="400"/>
      <c r="AD13" s="456"/>
      <c r="AE13" s="604"/>
      <c r="AF13" s="605">
        <f>AF14/AF10</f>
        <v>55</v>
      </c>
    </row>
    <row r="14" spans="1:32" x14ac:dyDescent="0.3">
      <c r="B14" s="94"/>
      <c r="C14" s="29"/>
      <c r="D14" s="30" t="s">
        <v>460</v>
      </c>
      <c r="E14" s="603"/>
      <c r="F14" s="364"/>
      <c r="G14" s="364"/>
      <c r="H14" s="364"/>
      <c r="I14" s="364"/>
      <c r="J14" s="608">
        <f>J10*E12</f>
        <v>8250</v>
      </c>
      <c r="K14" s="609">
        <f>K10*E12</f>
        <v>515.625</v>
      </c>
      <c r="L14" s="603"/>
      <c r="M14" s="364"/>
      <c r="N14" s="364"/>
      <c r="O14" s="364"/>
      <c r="P14" s="364"/>
      <c r="Q14" s="610">
        <f>Q10*L12</f>
        <v>9825.4749999999967</v>
      </c>
      <c r="R14" s="609">
        <f>R10*L12</f>
        <v>614.0921874999998</v>
      </c>
      <c r="S14" s="603"/>
      <c r="T14" s="364"/>
      <c r="U14" s="364"/>
      <c r="V14" s="364"/>
      <c r="W14" s="364"/>
      <c r="X14" s="610">
        <f>X10*S12</f>
        <v>9474.538333333332</v>
      </c>
      <c r="Y14" s="609">
        <f>Y10*S12</f>
        <v>592.15864583333325</v>
      </c>
      <c r="Z14" s="603"/>
      <c r="AA14" s="364"/>
      <c r="AB14" s="364"/>
      <c r="AC14" s="364"/>
      <c r="AD14" s="364"/>
      <c r="AE14" s="608">
        <f>AE10*Z12</f>
        <v>12978.16666666667</v>
      </c>
      <c r="AF14" s="609">
        <f>AF10*Z12</f>
        <v>811.13541666666686</v>
      </c>
    </row>
    <row r="15" spans="1:32" x14ac:dyDescent="0.3">
      <c r="B15" s="16"/>
      <c r="C15" s="81" t="s">
        <v>80</v>
      </c>
      <c r="D15" s="157" t="s">
        <v>460</v>
      </c>
      <c r="E15" s="611"/>
      <c r="F15" s="164"/>
      <c r="G15" s="164"/>
      <c r="H15" s="164"/>
      <c r="I15" s="162"/>
      <c r="J15" s="525"/>
      <c r="K15" s="651"/>
      <c r="L15" s="611"/>
      <c r="M15" s="164"/>
      <c r="N15" s="164"/>
      <c r="O15" s="164"/>
      <c r="P15" s="162"/>
      <c r="Q15" s="525"/>
      <c r="R15" s="651"/>
      <c r="S15" s="611"/>
      <c r="T15" s="164"/>
      <c r="U15" s="162"/>
      <c r="V15" s="162"/>
      <c r="W15" s="162"/>
      <c r="X15" s="525"/>
      <c r="Y15" s="651"/>
      <c r="Z15" s="611"/>
      <c r="AA15" s="164"/>
      <c r="AB15" s="162"/>
      <c r="AC15" s="162"/>
      <c r="AD15" s="162"/>
      <c r="AE15" s="525"/>
      <c r="AF15" s="651"/>
    </row>
    <row r="16" spans="1:32" x14ac:dyDescent="0.3">
      <c r="B16" s="77"/>
      <c r="C16" s="82" t="s">
        <v>278</v>
      </c>
      <c r="D16" s="34" t="s">
        <v>460</v>
      </c>
      <c r="E16" s="613">
        <f>'Energy Inputs'!$D$10</f>
        <v>220</v>
      </c>
      <c r="F16" s="153">
        <v>1</v>
      </c>
      <c r="G16" s="153">
        <v>16</v>
      </c>
      <c r="H16" s="153">
        <v>1</v>
      </c>
      <c r="I16" s="153">
        <f>IF(F16="",0,INT(1+((G16-F16)/H16)))</f>
        <v>16</v>
      </c>
      <c r="J16" s="527">
        <f>I16*E16</f>
        <v>3520</v>
      </c>
      <c r="K16" s="614">
        <f>J16/'Energy Inputs'!$D$16</f>
        <v>220</v>
      </c>
      <c r="L16" s="613">
        <f>'Energy Inputs'!$D$10</f>
        <v>220</v>
      </c>
      <c r="M16" s="153">
        <v>1</v>
      </c>
      <c r="N16" s="153">
        <v>16</v>
      </c>
      <c r="O16" s="153">
        <v>1</v>
      </c>
      <c r="P16" s="153">
        <f>IF(M16="",0,INT(1+((N16-M16)/O16)))</f>
        <v>16</v>
      </c>
      <c r="Q16" s="527">
        <f>P16*L16</f>
        <v>3520</v>
      </c>
      <c r="R16" s="614">
        <f>Q16/'Energy Inputs'!$E$16</f>
        <v>220</v>
      </c>
      <c r="S16" s="613">
        <f>'Energy Inputs'!$D$10</f>
        <v>220</v>
      </c>
      <c r="T16" s="153">
        <v>1</v>
      </c>
      <c r="U16" s="535">
        <v>16</v>
      </c>
      <c r="V16" s="535">
        <v>1</v>
      </c>
      <c r="W16" s="153">
        <f>IF(T16="",0,INT(1+((U16-T16)/V16)))</f>
        <v>16</v>
      </c>
      <c r="X16" s="527">
        <f>W16*S16</f>
        <v>3520</v>
      </c>
      <c r="Y16" s="614">
        <f>X16/'Energy Inputs'!$F$16</f>
        <v>220</v>
      </c>
      <c r="Z16" s="613">
        <f>'Energy Inputs'!$D$10</f>
        <v>220</v>
      </c>
      <c r="AA16" s="153">
        <v>1</v>
      </c>
      <c r="AB16" s="535">
        <v>16</v>
      </c>
      <c r="AC16" s="535">
        <v>1</v>
      </c>
      <c r="AD16" s="153">
        <f>IF(AA16="",0,INT(1+((AB16-AA16)/AC16)))</f>
        <v>16</v>
      </c>
      <c r="AE16" s="527">
        <f>AD16*Z16</f>
        <v>3520</v>
      </c>
      <c r="AF16" s="614">
        <f>AE16/'Energy Inputs'!$G$16</f>
        <v>220</v>
      </c>
    </row>
    <row r="17" spans="2:32" x14ac:dyDescent="0.3">
      <c r="B17" s="96" t="s">
        <v>81</v>
      </c>
      <c r="C17" s="161"/>
      <c r="D17" s="30" t="s">
        <v>462</v>
      </c>
      <c r="E17" s="615"/>
      <c r="F17" s="365"/>
      <c r="G17" s="365"/>
      <c r="H17" s="365"/>
      <c r="I17" s="365"/>
      <c r="J17" s="616"/>
      <c r="K17" s="617">
        <f>K18/K10</f>
        <v>78.466666666666669</v>
      </c>
      <c r="L17" s="615"/>
      <c r="M17" s="365"/>
      <c r="N17" s="365"/>
      <c r="O17" s="365"/>
      <c r="P17" s="365"/>
      <c r="Q17" s="616"/>
      <c r="R17" s="617">
        <f>R18/R10</f>
        <v>74.703882000615764</v>
      </c>
      <c r="S17" s="615"/>
      <c r="T17" s="365"/>
      <c r="U17" s="365"/>
      <c r="V17" s="365"/>
      <c r="W17" s="365"/>
      <c r="X17" s="616"/>
      <c r="Y17" s="617">
        <f>Y18/Y10</f>
        <v>75.433713304940269</v>
      </c>
      <c r="Z17" s="615"/>
      <c r="AA17" s="365"/>
      <c r="AB17" s="365"/>
      <c r="AC17" s="365"/>
      <c r="AD17" s="365"/>
      <c r="AE17" s="616"/>
      <c r="AF17" s="617">
        <f>AF18/AF10</f>
        <v>69.917361209210341</v>
      </c>
    </row>
    <row r="18" spans="2:32" x14ac:dyDescent="0.3">
      <c r="B18" s="618"/>
      <c r="C18" s="367"/>
      <c r="D18" s="182" t="s">
        <v>471</v>
      </c>
      <c r="E18" s="365"/>
      <c r="F18" s="365"/>
      <c r="G18" s="365"/>
      <c r="H18" s="365"/>
      <c r="I18" s="365"/>
      <c r="J18" s="619">
        <f>J14+J16</f>
        <v>11770</v>
      </c>
      <c r="K18" s="620">
        <f>K14+K15+K16</f>
        <v>735.625</v>
      </c>
      <c r="L18" s="365"/>
      <c r="M18" s="365"/>
      <c r="N18" s="365"/>
      <c r="O18" s="365"/>
      <c r="P18" s="365"/>
      <c r="Q18" s="619">
        <f>Q14+Q16</f>
        <v>13345.474999999997</v>
      </c>
      <c r="R18" s="620">
        <f>R14+R15+R16</f>
        <v>834.0921874999998</v>
      </c>
      <c r="S18" s="365"/>
      <c r="T18" s="365"/>
      <c r="U18" s="365"/>
      <c r="V18" s="365"/>
      <c r="W18" s="365"/>
      <c r="X18" s="619">
        <f>X14+X15+X16</f>
        <v>12994.538333333332</v>
      </c>
      <c r="Y18" s="620">
        <f>Y14+Y15+Y16</f>
        <v>812.15864583333325</v>
      </c>
      <c r="Z18" s="365"/>
      <c r="AA18" s="365"/>
      <c r="AB18" s="365"/>
      <c r="AC18" s="365"/>
      <c r="AD18" s="365"/>
      <c r="AE18" s="619">
        <f>AE14+AE15+AE16</f>
        <v>16498.166666666672</v>
      </c>
      <c r="AF18" s="620">
        <f>AF14+AF15+AF16</f>
        <v>1031.135416666667</v>
      </c>
    </row>
    <row r="19" spans="2:32" x14ac:dyDescent="0.3">
      <c r="B19" s="621"/>
      <c r="C19" s="416"/>
      <c r="D19" s="416"/>
      <c r="E19" s="622"/>
      <c r="F19" s="585"/>
      <c r="G19" s="585"/>
      <c r="H19" s="585"/>
      <c r="I19" s="585"/>
      <c r="J19" s="585"/>
      <c r="K19" s="586"/>
      <c r="L19" s="585"/>
      <c r="M19" s="585"/>
      <c r="N19" s="585"/>
      <c r="O19" s="585"/>
      <c r="P19" s="585"/>
      <c r="Q19" s="585"/>
      <c r="R19" s="586"/>
      <c r="S19" s="585"/>
      <c r="T19" s="585"/>
      <c r="U19" s="585"/>
      <c r="V19" s="585"/>
      <c r="W19" s="585"/>
      <c r="X19" s="585"/>
      <c r="Y19" s="586"/>
      <c r="Z19" s="585"/>
      <c r="AA19" s="585"/>
      <c r="AB19" s="585"/>
      <c r="AC19" s="585"/>
      <c r="AD19" s="585"/>
      <c r="AE19" s="585"/>
      <c r="AF19" s="586"/>
    </row>
    <row r="20" spans="2:32" x14ac:dyDescent="0.3">
      <c r="B20" s="163" t="s">
        <v>82</v>
      </c>
      <c r="C20" s="81" t="s">
        <v>83</v>
      </c>
      <c r="D20" s="157" t="s">
        <v>460</v>
      </c>
      <c r="E20" s="623">
        <f>'Energy Inputs'!D65</f>
        <v>750</v>
      </c>
      <c r="F20" s="164">
        <v>1</v>
      </c>
      <c r="G20" s="164">
        <v>1</v>
      </c>
      <c r="H20" s="164">
        <v>16</v>
      </c>
      <c r="I20" s="164">
        <f>IF(F20="",0,INT(1+((G20-F20)/H20)))</f>
        <v>1</v>
      </c>
      <c r="J20" s="525">
        <f>I20*E20</f>
        <v>750</v>
      </c>
      <c r="K20" s="624">
        <f>J20/'Energy Inputs'!$D$16</f>
        <v>46.875</v>
      </c>
      <c r="L20" s="623">
        <f>'Energy Inputs'!E65</f>
        <v>1190</v>
      </c>
      <c r="M20" s="164">
        <v>1</v>
      </c>
      <c r="N20" s="164">
        <v>1</v>
      </c>
      <c r="O20" s="164">
        <v>16</v>
      </c>
      <c r="P20" s="164">
        <f>IF(M20="",0,INT(1+((N20-M20)/O20)))</f>
        <v>1</v>
      </c>
      <c r="Q20" s="525">
        <f>P20*L20</f>
        <v>1190</v>
      </c>
      <c r="R20" s="612">
        <f>Q20/'Energy Inputs'!$E$16</f>
        <v>74.375</v>
      </c>
      <c r="S20" s="625">
        <f>'Energy Inputs'!F65</f>
        <v>4361</v>
      </c>
      <c r="T20" s="164">
        <v>1</v>
      </c>
      <c r="U20" s="164">
        <v>1</v>
      </c>
      <c r="V20" s="164">
        <v>16</v>
      </c>
      <c r="W20" s="164">
        <f>IF(T20="",0,INT(1+((U20-T20)/V20)))</f>
        <v>1</v>
      </c>
      <c r="X20" s="525">
        <f>W20*S20</f>
        <v>4361</v>
      </c>
      <c r="Y20" s="612">
        <f>X20/'Energy Inputs'!$F$16</f>
        <v>272.5625</v>
      </c>
      <c r="Z20" s="625">
        <f>'Energy Inputs'!G65</f>
        <v>1312.75</v>
      </c>
      <c r="AA20" s="164">
        <v>1</v>
      </c>
      <c r="AB20" s="164">
        <v>1</v>
      </c>
      <c r="AC20" s="164">
        <v>16</v>
      </c>
      <c r="AD20" s="164">
        <f>IF(AA20="",0,INT(1+((AB20-AA20)/AC20)))</f>
        <v>1</v>
      </c>
      <c r="AE20" s="525">
        <f>AD20*Z20</f>
        <v>1312.75</v>
      </c>
      <c r="AF20" s="612">
        <f>AE20/'Energy Inputs'!$G$16</f>
        <v>82.046875</v>
      </c>
    </row>
    <row r="21" spans="2:32" x14ac:dyDescent="0.3">
      <c r="B21" s="16"/>
      <c r="C21" s="28" t="s">
        <v>84</v>
      </c>
      <c r="D21" s="157" t="s">
        <v>462</v>
      </c>
      <c r="E21" s="615"/>
      <c r="F21" s="629"/>
      <c r="G21" s="629"/>
      <c r="H21" s="400"/>
      <c r="I21" s="629"/>
      <c r="J21" s="604"/>
      <c r="K21" s="605">
        <f>K22/K10</f>
        <v>5</v>
      </c>
      <c r="L21" s="615"/>
      <c r="M21" s="629"/>
      <c r="N21" s="629"/>
      <c r="O21" s="400"/>
      <c r="P21" s="629"/>
      <c r="Q21" s="604"/>
      <c r="R21" s="605">
        <f>R22/R10</f>
        <v>6.6612555627081669</v>
      </c>
      <c r="S21" s="615"/>
      <c r="T21" s="629"/>
      <c r="U21" s="629"/>
      <c r="V21" s="400"/>
      <c r="W21" s="629"/>
      <c r="X21" s="604"/>
      <c r="Y21" s="605">
        <f>Y22/Y10</f>
        <v>25.31574537580811</v>
      </c>
      <c r="Z21" s="615"/>
      <c r="AA21" s="629"/>
      <c r="AB21" s="629"/>
      <c r="AC21" s="400"/>
      <c r="AD21" s="629"/>
      <c r="AE21" s="604"/>
      <c r="AF21" s="605">
        <f>AF22/AF10</f>
        <v>5.5632857748269515</v>
      </c>
    </row>
    <row r="22" spans="2:32" x14ac:dyDescent="0.3">
      <c r="B22" s="630"/>
      <c r="C22" s="31"/>
      <c r="D22" s="34" t="s">
        <v>460</v>
      </c>
      <c r="E22" s="631"/>
      <c r="F22" s="632"/>
      <c r="G22" s="632"/>
      <c r="H22" s="632"/>
      <c r="I22" s="632"/>
      <c r="J22" s="608">
        <f>J20</f>
        <v>750</v>
      </c>
      <c r="K22" s="633">
        <f>J22/'Energy Inputs'!$D$16</f>
        <v>46.875</v>
      </c>
      <c r="L22" s="631"/>
      <c r="M22" s="632"/>
      <c r="N22" s="632"/>
      <c r="O22" s="632"/>
      <c r="P22" s="632"/>
      <c r="Q22" s="608">
        <f>Q20</f>
        <v>1190</v>
      </c>
      <c r="R22" s="633">
        <f>Q22/'Energy Inputs'!$E$16</f>
        <v>74.375</v>
      </c>
      <c r="S22" s="631"/>
      <c r="T22" s="632"/>
      <c r="U22" s="632"/>
      <c r="V22" s="632"/>
      <c r="W22" s="632"/>
      <c r="X22" s="608">
        <f>X20</f>
        <v>4361</v>
      </c>
      <c r="Y22" s="633">
        <f>X22/'Energy Inputs'!$F$16</f>
        <v>272.5625</v>
      </c>
      <c r="Z22" s="631"/>
      <c r="AA22" s="632"/>
      <c r="AB22" s="632"/>
      <c r="AC22" s="632"/>
      <c r="AD22" s="632"/>
      <c r="AE22" s="608">
        <f>AE20</f>
        <v>1312.75</v>
      </c>
      <c r="AF22" s="633">
        <f>AE22/'Energy Inputs'!$G$16</f>
        <v>82.046875</v>
      </c>
    </row>
    <row r="23" spans="2:32" x14ac:dyDescent="0.3">
      <c r="B23" s="630"/>
      <c r="C23" s="33" t="s">
        <v>254</v>
      </c>
      <c r="D23" s="30" t="s">
        <v>460</v>
      </c>
      <c r="E23" s="625">
        <f>'Energy Inputs'!$D$80</f>
        <v>200</v>
      </c>
      <c r="F23" s="166">
        <v>1</v>
      </c>
      <c r="G23" s="166">
        <v>1</v>
      </c>
      <c r="H23" s="166">
        <v>16</v>
      </c>
      <c r="I23" s="164">
        <f t="shared" ref="I23:I29" si="0">IF(F23="",0,INT(1+((G23-F23)/H23)))</f>
        <v>1</v>
      </c>
      <c r="J23" s="454">
        <f>I23*E23</f>
        <v>200</v>
      </c>
      <c r="K23" s="634">
        <f>J23/'Energy Inputs'!$D$16</f>
        <v>12.5</v>
      </c>
      <c r="L23" s="625">
        <f>'Energy Inputs'!$E$80</f>
        <v>180</v>
      </c>
      <c r="M23" s="166">
        <v>1</v>
      </c>
      <c r="N23" s="166">
        <v>1</v>
      </c>
      <c r="O23" s="166">
        <v>16</v>
      </c>
      <c r="P23" s="164">
        <f>IF(M23="",0,INT(1+((N23-M23)/O23)))</f>
        <v>1</v>
      </c>
      <c r="Q23" s="454">
        <f t="shared" ref="Q23:Q29" si="1">P23*L23</f>
        <v>180</v>
      </c>
      <c r="R23" s="634">
        <f>Q23/'Energy Inputs'!$E$16</f>
        <v>11.25</v>
      </c>
      <c r="S23" s="625">
        <f>'Energy Inputs'!$F80</f>
        <v>180</v>
      </c>
      <c r="T23" s="166">
        <v>1</v>
      </c>
      <c r="U23" s="166">
        <v>1</v>
      </c>
      <c r="V23" s="166">
        <v>16</v>
      </c>
      <c r="W23" s="164">
        <f>IF(T23="",0,INT(1+((U23-T23)/V23)))</f>
        <v>1</v>
      </c>
      <c r="X23" s="454">
        <f>W23*S23</f>
        <v>180</v>
      </c>
      <c r="Y23" s="634">
        <f>X23/'Energy Inputs'!$F$16</f>
        <v>11.25</v>
      </c>
      <c r="Z23" s="625">
        <f>'Energy Inputs'!$G80</f>
        <v>180</v>
      </c>
      <c r="AA23" s="166">
        <v>1</v>
      </c>
      <c r="AB23" s="166">
        <v>1</v>
      </c>
      <c r="AC23" s="166">
        <v>16</v>
      </c>
      <c r="AD23" s="164">
        <f>IF(AA23="",0,INT(1+((AB23-AA23)/AC23)))</f>
        <v>1</v>
      </c>
      <c r="AE23" s="454">
        <f>AD23*Z23</f>
        <v>180</v>
      </c>
      <c r="AF23" s="634">
        <f>AE23/'Energy Inputs'!$G$16</f>
        <v>11.25</v>
      </c>
    </row>
    <row r="24" spans="2:32" x14ac:dyDescent="0.3">
      <c r="B24" s="630"/>
      <c r="C24" s="33" t="s">
        <v>526</v>
      </c>
      <c r="D24" s="30" t="s">
        <v>460</v>
      </c>
      <c r="E24" s="628">
        <f>'Energy Inputs'!D82</f>
        <v>16.07</v>
      </c>
      <c r="F24" s="166">
        <v>1</v>
      </c>
      <c r="G24" s="166">
        <v>1</v>
      </c>
      <c r="H24" s="166">
        <v>16</v>
      </c>
      <c r="I24" s="166">
        <f t="shared" si="0"/>
        <v>1</v>
      </c>
      <c r="J24" s="454">
        <f t="shared" ref="J24:J29" si="2">I24*E24</f>
        <v>16.07</v>
      </c>
      <c r="K24" s="634">
        <f>J24/'Energy Inputs'!$D$16</f>
        <v>1.004375</v>
      </c>
      <c r="L24" s="628">
        <f>'Energy Inputs'!E82</f>
        <v>16.07</v>
      </c>
      <c r="M24" s="166">
        <v>1</v>
      </c>
      <c r="N24" s="166">
        <v>1</v>
      </c>
      <c r="O24" s="166">
        <v>16</v>
      </c>
      <c r="P24" s="166">
        <f t="shared" ref="P24:P29" si="3">IF(M24="",0,INT(1+((N24-M24)/O24)))</f>
        <v>1</v>
      </c>
      <c r="Q24" s="454">
        <f t="shared" si="1"/>
        <v>16.07</v>
      </c>
      <c r="R24" s="634">
        <f>Q24/'Energy Inputs'!$E$16</f>
        <v>1.004375</v>
      </c>
      <c r="S24" s="628">
        <f>'Energy Inputs'!F82</f>
        <v>16.07</v>
      </c>
      <c r="T24" s="166">
        <v>1</v>
      </c>
      <c r="U24" s="166">
        <v>1</v>
      </c>
      <c r="V24" s="166">
        <v>16</v>
      </c>
      <c r="W24" s="166">
        <f t="shared" ref="W24:W29" si="4">IF(T24="",0,INT(1+((U24-T24)/V24)))</f>
        <v>1</v>
      </c>
      <c r="X24" s="454">
        <f t="shared" ref="X24:X29" si="5">W24*S24</f>
        <v>16.07</v>
      </c>
      <c r="Y24" s="634">
        <f>X24/'Energy Inputs'!$F$16</f>
        <v>1.004375</v>
      </c>
      <c r="Z24" s="628">
        <f>'Energy Inputs'!G82</f>
        <v>16.07</v>
      </c>
      <c r="AA24" s="166">
        <v>1</v>
      </c>
      <c r="AB24" s="166">
        <v>1</v>
      </c>
      <c r="AC24" s="166">
        <v>16</v>
      </c>
      <c r="AD24" s="166">
        <f t="shared" ref="AD24:AD29" si="6">IF(AA24="",0,INT(1+((AB24-AA24)/AC24)))</f>
        <v>1</v>
      </c>
      <c r="AE24" s="454">
        <f t="shared" ref="AE24:AE29" si="7">AD24*Z24</f>
        <v>16.07</v>
      </c>
      <c r="AF24" s="634">
        <f>AE24/'Energy Inputs'!$G$16</f>
        <v>1.004375</v>
      </c>
    </row>
    <row r="25" spans="2:32" x14ac:dyDescent="0.3">
      <c r="B25" s="630"/>
      <c r="C25" s="33" t="s">
        <v>35</v>
      </c>
      <c r="D25" s="30" t="s">
        <v>460</v>
      </c>
      <c r="E25" s="628">
        <f>'Energy Inputs'!$D$83</f>
        <v>200</v>
      </c>
      <c r="F25" s="166">
        <v>1</v>
      </c>
      <c r="G25" s="166">
        <v>1</v>
      </c>
      <c r="H25" s="166">
        <v>16</v>
      </c>
      <c r="I25" s="166">
        <f t="shared" si="0"/>
        <v>1</v>
      </c>
      <c r="J25" s="454">
        <f t="shared" si="2"/>
        <v>200</v>
      </c>
      <c r="K25" s="634">
        <f>J25/'Energy Inputs'!$D$16</f>
        <v>12.5</v>
      </c>
      <c r="L25" s="628">
        <f>'Energy Inputs'!$E$83</f>
        <v>120</v>
      </c>
      <c r="M25" s="166">
        <v>1</v>
      </c>
      <c r="N25" s="166">
        <v>1</v>
      </c>
      <c r="O25" s="166">
        <v>16</v>
      </c>
      <c r="P25" s="166">
        <f t="shared" si="3"/>
        <v>1</v>
      </c>
      <c r="Q25" s="454">
        <f t="shared" si="1"/>
        <v>120</v>
      </c>
      <c r="R25" s="634">
        <f>Q25/'Energy Inputs'!$E$16</f>
        <v>7.5</v>
      </c>
      <c r="S25" s="628">
        <f>'Energy Inputs'!$F83</f>
        <v>120</v>
      </c>
      <c r="T25" s="166">
        <v>1</v>
      </c>
      <c r="U25" s="166">
        <v>1</v>
      </c>
      <c r="V25" s="166">
        <v>16</v>
      </c>
      <c r="W25" s="166">
        <f t="shared" si="4"/>
        <v>1</v>
      </c>
      <c r="X25" s="454">
        <f t="shared" si="5"/>
        <v>120</v>
      </c>
      <c r="Y25" s="634">
        <f>X25/'Energy Inputs'!$F$16</f>
        <v>7.5</v>
      </c>
      <c r="Z25" s="628">
        <f>'Energy Inputs'!$G83</f>
        <v>120</v>
      </c>
      <c r="AA25" s="166">
        <v>1</v>
      </c>
      <c r="AB25" s="166">
        <v>1</v>
      </c>
      <c r="AC25" s="166">
        <v>16</v>
      </c>
      <c r="AD25" s="166">
        <f t="shared" si="6"/>
        <v>1</v>
      </c>
      <c r="AE25" s="454">
        <f t="shared" si="7"/>
        <v>120</v>
      </c>
      <c r="AF25" s="634">
        <f>AE25/'Energy Inputs'!$G$16</f>
        <v>7.5</v>
      </c>
    </row>
    <row r="26" spans="2:32" x14ac:dyDescent="0.3">
      <c r="B26" s="16"/>
      <c r="C26" s="32" t="s">
        <v>85</v>
      </c>
      <c r="D26" s="30" t="s">
        <v>460</v>
      </c>
      <c r="E26" s="628">
        <f>'Energy Inputs'!$D$85</f>
        <v>300</v>
      </c>
      <c r="F26" s="166">
        <v>1</v>
      </c>
      <c r="G26" s="166">
        <v>1</v>
      </c>
      <c r="H26" s="166">
        <v>16</v>
      </c>
      <c r="I26" s="166">
        <f t="shared" si="0"/>
        <v>1</v>
      </c>
      <c r="J26" s="454">
        <f>I26*E26</f>
        <v>300</v>
      </c>
      <c r="K26" s="634">
        <f>J26/'Energy Inputs'!$D$16</f>
        <v>18.75</v>
      </c>
      <c r="L26" s="628">
        <f>'Energy Inputs'!$E$85</f>
        <v>350</v>
      </c>
      <c r="M26" s="166">
        <v>1</v>
      </c>
      <c r="N26" s="166">
        <v>1</v>
      </c>
      <c r="O26" s="166">
        <v>16</v>
      </c>
      <c r="P26" s="166">
        <f>IF(M26="",0,INT(1+((N26-M26)/O26)))</f>
        <v>1</v>
      </c>
      <c r="Q26" s="454">
        <f t="shared" si="1"/>
        <v>350</v>
      </c>
      <c r="R26" s="634">
        <f>Q26/'Energy Inputs'!$E$16</f>
        <v>21.875</v>
      </c>
      <c r="S26" s="628">
        <f>'Energy Inputs'!$F85</f>
        <v>126.3</v>
      </c>
      <c r="T26" s="166">
        <v>1</v>
      </c>
      <c r="U26" s="166">
        <v>1</v>
      </c>
      <c r="V26" s="166">
        <v>16</v>
      </c>
      <c r="W26" s="166">
        <f>IF(T26="",0,INT(1+((U26-T26)/V26)))</f>
        <v>1</v>
      </c>
      <c r="X26" s="454">
        <f>W26*S26</f>
        <v>126.3</v>
      </c>
      <c r="Y26" s="634">
        <f>X26/'Energy Inputs'!$F$16</f>
        <v>7.8937499999999998</v>
      </c>
      <c r="Z26" s="628">
        <f>'Energy Inputs'!$G85</f>
        <v>45</v>
      </c>
      <c r="AA26" s="166">
        <v>1</v>
      </c>
      <c r="AB26" s="166">
        <v>1</v>
      </c>
      <c r="AC26" s="166">
        <v>16</v>
      </c>
      <c r="AD26" s="166">
        <f>IF(AA26="",0,INT(1+((AB26-AA26)/AC26)))</f>
        <v>1</v>
      </c>
      <c r="AE26" s="454">
        <f>AD26*Z26</f>
        <v>45</v>
      </c>
      <c r="AF26" s="634">
        <f>AE26/'Energy Inputs'!$G$16</f>
        <v>2.8125</v>
      </c>
    </row>
    <row r="27" spans="2:32" x14ac:dyDescent="0.3">
      <c r="B27" s="16"/>
      <c r="C27" s="32" t="s">
        <v>522</v>
      </c>
      <c r="D27" s="30" t="s">
        <v>460</v>
      </c>
      <c r="E27" s="652"/>
      <c r="F27" s="166"/>
      <c r="G27" s="166"/>
      <c r="H27" s="166"/>
      <c r="I27" s="166"/>
      <c r="J27" s="454"/>
      <c r="K27" s="649"/>
      <c r="L27" s="652"/>
      <c r="M27" s="166"/>
      <c r="N27" s="166"/>
      <c r="O27" s="166"/>
      <c r="P27" s="166"/>
      <c r="Q27" s="454"/>
      <c r="R27" s="649"/>
      <c r="S27" s="652"/>
      <c r="T27" s="166"/>
      <c r="U27" s="166"/>
      <c r="V27" s="166"/>
      <c r="W27" s="166"/>
      <c r="X27" s="454"/>
      <c r="Y27" s="649"/>
      <c r="Z27" s="652"/>
      <c r="AA27" s="166"/>
      <c r="AB27" s="166"/>
      <c r="AC27" s="166"/>
      <c r="AD27" s="166"/>
      <c r="AE27" s="454"/>
      <c r="AF27" s="649"/>
    </row>
    <row r="28" spans="2:32" x14ac:dyDescent="0.3">
      <c r="B28" s="16"/>
      <c r="C28" s="32" t="s">
        <v>519</v>
      </c>
      <c r="D28" s="30" t="s">
        <v>460</v>
      </c>
      <c r="E28" s="652"/>
      <c r="F28" s="166"/>
      <c r="G28" s="166"/>
      <c r="H28" s="166"/>
      <c r="I28" s="166"/>
      <c r="J28" s="454"/>
      <c r="K28" s="649"/>
      <c r="L28" s="652"/>
      <c r="M28" s="166"/>
      <c r="N28" s="166"/>
      <c r="O28" s="166"/>
      <c r="P28" s="166"/>
      <c r="Q28" s="454"/>
      <c r="R28" s="649"/>
      <c r="S28" s="628">
        <f>'Energy Inputs'!$F86</f>
        <v>120.75</v>
      </c>
      <c r="T28" s="166">
        <v>1</v>
      </c>
      <c r="U28" s="166">
        <v>1</v>
      </c>
      <c r="V28" s="166">
        <v>16</v>
      </c>
      <c r="W28" s="166">
        <f>IF(T28="",0,INT(1+((U28-T28)/V28)))</f>
        <v>1</v>
      </c>
      <c r="X28" s="454">
        <f>W28*S28</f>
        <v>120.75</v>
      </c>
      <c r="Y28" s="634">
        <f>X28/'Energy Inputs'!$F$16</f>
        <v>7.546875</v>
      </c>
      <c r="Z28" s="628">
        <f>'Energy Inputs'!$G86</f>
        <v>120.75</v>
      </c>
      <c r="AA28" s="166">
        <v>1</v>
      </c>
      <c r="AB28" s="166">
        <v>1</v>
      </c>
      <c r="AC28" s="166">
        <v>16</v>
      </c>
      <c r="AD28" s="166">
        <f>IF(AA28="",0,INT(1+((AB28-AA28)/AC28)))</f>
        <v>1</v>
      </c>
      <c r="AE28" s="454">
        <f>AD28*Z28</f>
        <v>120.75</v>
      </c>
      <c r="AF28" s="634">
        <f>AE28/'Energy Inputs'!$G$16</f>
        <v>7.546875</v>
      </c>
    </row>
    <row r="29" spans="2:32" ht="15.75" customHeight="1" x14ac:dyDescent="0.3">
      <c r="B29" s="16"/>
      <c r="C29" s="32" t="s">
        <v>86</v>
      </c>
      <c r="D29" s="23" t="s">
        <v>460</v>
      </c>
      <c r="E29" s="635">
        <f>'Energy Inputs'!D87</f>
        <v>50</v>
      </c>
      <c r="F29" s="166">
        <v>1</v>
      </c>
      <c r="G29" s="166">
        <v>1</v>
      </c>
      <c r="H29" s="166">
        <v>16</v>
      </c>
      <c r="I29" s="153">
        <f t="shared" si="0"/>
        <v>1</v>
      </c>
      <c r="J29" s="454">
        <f t="shared" si="2"/>
        <v>50</v>
      </c>
      <c r="K29" s="634">
        <f>J29/'Energy Inputs'!$D$16</f>
        <v>3.125</v>
      </c>
      <c r="L29" s="635">
        <f>'Energy Inputs'!$E$87</f>
        <v>20</v>
      </c>
      <c r="M29" s="166">
        <v>1</v>
      </c>
      <c r="N29" s="166">
        <v>1</v>
      </c>
      <c r="O29" s="166">
        <v>16</v>
      </c>
      <c r="P29" s="166">
        <f t="shared" si="3"/>
        <v>1</v>
      </c>
      <c r="Q29" s="454">
        <f t="shared" si="1"/>
        <v>20</v>
      </c>
      <c r="R29" s="634">
        <f>Q29/'Energy Inputs'!$E$16</f>
        <v>1.25</v>
      </c>
      <c r="S29" s="635">
        <f>'Energy Inputs'!$F87</f>
        <v>20</v>
      </c>
      <c r="T29" s="166">
        <v>1</v>
      </c>
      <c r="U29" s="166">
        <v>1</v>
      </c>
      <c r="V29" s="166">
        <v>16</v>
      </c>
      <c r="W29" s="166">
        <f t="shared" si="4"/>
        <v>1</v>
      </c>
      <c r="X29" s="454">
        <f t="shared" si="5"/>
        <v>20</v>
      </c>
      <c r="Y29" s="634">
        <f>X29/'Energy Inputs'!$F$16</f>
        <v>1.25</v>
      </c>
      <c r="Z29" s="635">
        <f>'Energy Inputs'!$G87</f>
        <v>20</v>
      </c>
      <c r="AA29" s="166">
        <v>1</v>
      </c>
      <c r="AB29" s="166">
        <v>1</v>
      </c>
      <c r="AC29" s="166">
        <v>16</v>
      </c>
      <c r="AD29" s="166">
        <f t="shared" si="6"/>
        <v>1</v>
      </c>
      <c r="AE29" s="454">
        <f t="shared" si="7"/>
        <v>20</v>
      </c>
      <c r="AF29" s="634">
        <f>AE29/'Energy Inputs'!$G$16</f>
        <v>1.25</v>
      </c>
    </row>
    <row r="30" spans="2:32" ht="15.75" customHeight="1" x14ac:dyDescent="0.3">
      <c r="B30" s="16"/>
      <c r="C30" s="81" t="s">
        <v>15</v>
      </c>
      <c r="D30" s="18" t="s">
        <v>464</v>
      </c>
      <c r="E30" s="766">
        <f>'Arable Inputs'!$D$34</f>
        <v>0.65200000000000002</v>
      </c>
      <c r="F30" s="767"/>
      <c r="G30" s="767"/>
      <c r="H30" s="767"/>
      <c r="I30" s="767"/>
      <c r="J30" s="767"/>
      <c r="K30" s="768"/>
      <c r="L30" s="766">
        <f>'Arable Inputs'!$D$34</f>
        <v>0.65200000000000002</v>
      </c>
      <c r="M30" s="767"/>
      <c r="N30" s="767"/>
      <c r="O30" s="767"/>
      <c r="P30" s="767"/>
      <c r="Q30" s="767"/>
      <c r="R30" s="768"/>
      <c r="S30" s="766">
        <f>'Arable Inputs'!$D$34</f>
        <v>0.65200000000000002</v>
      </c>
      <c r="T30" s="767"/>
      <c r="U30" s="767"/>
      <c r="V30" s="767"/>
      <c r="W30" s="767"/>
      <c r="X30" s="767"/>
      <c r="Y30" s="768"/>
      <c r="Z30" s="766">
        <f>'Arable Inputs'!$D$34</f>
        <v>0.65200000000000002</v>
      </c>
      <c r="AA30" s="767"/>
      <c r="AB30" s="767"/>
      <c r="AC30" s="767"/>
      <c r="AD30" s="767"/>
      <c r="AE30" s="767"/>
      <c r="AF30" s="768"/>
    </row>
    <row r="31" spans="2:32" ht="15.75" customHeight="1" x14ac:dyDescent="0.3">
      <c r="B31" s="16"/>
      <c r="C31" s="33" t="s">
        <v>16</v>
      </c>
      <c r="D31" s="30" t="s">
        <v>93</v>
      </c>
      <c r="E31" s="628">
        <f>'Energy Inputs'!D71</f>
        <v>90</v>
      </c>
      <c r="F31" s="10"/>
      <c r="G31" s="10"/>
      <c r="H31" s="10"/>
      <c r="I31" s="166"/>
      <c r="J31" s="523"/>
      <c r="K31" s="649"/>
      <c r="L31" s="628">
        <f>'Energy Inputs'!E71</f>
        <v>84</v>
      </c>
      <c r="M31" s="10"/>
      <c r="N31" s="10"/>
      <c r="O31" s="10"/>
      <c r="P31" s="166"/>
      <c r="Q31" s="523"/>
      <c r="R31" s="649"/>
      <c r="S31" s="628">
        <f>'Energy Inputs'!F71</f>
        <v>100</v>
      </c>
      <c r="T31" s="10"/>
      <c r="U31" s="10"/>
      <c r="V31" s="10"/>
      <c r="W31" s="166"/>
      <c r="X31" s="523"/>
      <c r="Y31" s="649"/>
      <c r="Z31" s="628">
        <f>'Energy Inputs'!G71</f>
        <v>120</v>
      </c>
      <c r="AA31" s="10"/>
      <c r="AB31" s="10"/>
      <c r="AC31" s="10"/>
      <c r="AD31" s="166"/>
      <c r="AE31" s="523"/>
      <c r="AF31" s="649"/>
    </row>
    <row r="32" spans="2:32" ht="15.75" customHeight="1" x14ac:dyDescent="0.3">
      <c r="B32" s="16"/>
      <c r="C32" s="180" t="s">
        <v>268</v>
      </c>
      <c r="D32" s="30" t="s">
        <v>460</v>
      </c>
      <c r="E32" s="652"/>
      <c r="F32" s="10">
        <v>1</v>
      </c>
      <c r="G32" s="10">
        <v>1</v>
      </c>
      <c r="H32" s="10">
        <v>16</v>
      </c>
      <c r="I32" s="166">
        <f>IF(F32="",0,INT(1+((G32-F32)/H32)))</f>
        <v>1</v>
      </c>
      <c r="J32" s="523">
        <f>E30*E31*I32</f>
        <v>58.68</v>
      </c>
      <c r="K32" s="649">
        <f>J32/15</f>
        <v>3.9119999999999999</v>
      </c>
      <c r="L32" s="652"/>
      <c r="M32" s="10">
        <v>1</v>
      </c>
      <c r="N32" s="10">
        <v>1</v>
      </c>
      <c r="O32" s="10">
        <v>16</v>
      </c>
      <c r="P32" s="166">
        <f>IF(M32="",0,INT(1+((N32-M32)/O32)))</f>
        <v>1</v>
      </c>
      <c r="Q32" s="523">
        <f>L30*L31*P32</f>
        <v>54.768000000000001</v>
      </c>
      <c r="R32" s="649">
        <f>Q32/15</f>
        <v>3.6512000000000002</v>
      </c>
      <c r="S32" s="652"/>
      <c r="T32" s="10">
        <v>1</v>
      </c>
      <c r="U32" s="10">
        <v>1</v>
      </c>
      <c r="V32" s="10">
        <v>16</v>
      </c>
      <c r="W32" s="166">
        <f>IF(T32="",0,INT(1+((U32-T32)/V32)))</f>
        <v>1</v>
      </c>
      <c r="X32" s="523">
        <f>S30*S31*W32</f>
        <v>65.2</v>
      </c>
      <c r="Y32" s="649">
        <f>X32/15</f>
        <v>4.3466666666666667</v>
      </c>
      <c r="Z32" s="652"/>
      <c r="AA32" s="10">
        <v>1</v>
      </c>
      <c r="AB32" s="10">
        <v>1</v>
      </c>
      <c r="AC32" s="10">
        <v>16</v>
      </c>
      <c r="AD32" s="166">
        <f>IF(AA32="",0,INT(1+((AB32-AA32)/AC32)))</f>
        <v>1</v>
      </c>
      <c r="AE32" s="523">
        <f>Z30*Z31*AD32</f>
        <v>78.240000000000009</v>
      </c>
      <c r="AF32" s="649">
        <f>AE32/15</f>
        <v>5.2160000000000002</v>
      </c>
    </row>
    <row r="33" spans="2:32" ht="15.75" customHeight="1" x14ac:dyDescent="0.3">
      <c r="B33" s="16"/>
      <c r="C33" s="32" t="s">
        <v>17</v>
      </c>
      <c r="D33" s="30" t="s">
        <v>464</v>
      </c>
      <c r="E33" s="654">
        <f>'Arable Inputs'!$D$35</f>
        <v>0.64100000000000001</v>
      </c>
      <c r="F33" s="105"/>
      <c r="G33" s="105"/>
      <c r="H33" s="105"/>
      <c r="I33" s="105"/>
      <c r="J33" s="105"/>
      <c r="K33" s="769"/>
      <c r="L33" s="654">
        <f>'Arable Inputs'!$D$35</f>
        <v>0.64100000000000001</v>
      </c>
      <c r="M33" s="105"/>
      <c r="N33" s="105"/>
      <c r="O33" s="105"/>
      <c r="P33" s="105"/>
      <c r="Q33" s="105"/>
      <c r="R33" s="769"/>
      <c r="S33" s="654">
        <f>'Arable Inputs'!$D$35</f>
        <v>0.64100000000000001</v>
      </c>
      <c r="T33" s="105"/>
      <c r="U33" s="105"/>
      <c r="V33" s="105"/>
      <c r="W33" s="105"/>
      <c r="X33" s="105"/>
      <c r="Y33" s="769"/>
      <c r="Z33" s="654">
        <f>'Arable Inputs'!$D$35</f>
        <v>0.64100000000000001</v>
      </c>
      <c r="AA33" s="105"/>
      <c r="AB33" s="105"/>
      <c r="AC33" s="105"/>
      <c r="AD33" s="105"/>
      <c r="AE33" s="105"/>
      <c r="AF33" s="769"/>
    </row>
    <row r="34" spans="2:32" ht="15.75" customHeight="1" x14ac:dyDescent="0.3">
      <c r="B34" s="16"/>
      <c r="C34" s="33" t="s">
        <v>18</v>
      </c>
      <c r="D34" s="30" t="s">
        <v>93</v>
      </c>
      <c r="E34" s="628">
        <f>'Energy Inputs'!D72</f>
        <v>55</v>
      </c>
      <c r="F34" s="10"/>
      <c r="G34" s="10"/>
      <c r="H34" s="10"/>
      <c r="I34" s="166"/>
      <c r="J34" s="523"/>
      <c r="K34" s="649"/>
      <c r="L34" s="628">
        <f>'Energy Inputs'!E72</f>
        <v>14</v>
      </c>
      <c r="M34" s="10"/>
      <c r="N34" s="10"/>
      <c r="O34" s="10"/>
      <c r="P34" s="166"/>
      <c r="Q34" s="523"/>
      <c r="R34" s="649"/>
      <c r="S34" s="628">
        <f>'Energy Inputs'!F72</f>
        <v>92</v>
      </c>
      <c r="T34" s="10"/>
      <c r="U34" s="10"/>
      <c r="V34" s="10"/>
      <c r="W34" s="166"/>
      <c r="X34" s="523"/>
      <c r="Y34" s="649"/>
      <c r="Z34" s="628">
        <f>'Energy Inputs'!G72</f>
        <v>92</v>
      </c>
      <c r="AA34" s="10"/>
      <c r="AB34" s="10"/>
      <c r="AC34" s="10"/>
      <c r="AD34" s="166"/>
      <c r="AE34" s="523"/>
      <c r="AF34" s="649"/>
    </row>
    <row r="35" spans="2:32" ht="15.75" customHeight="1" x14ac:dyDescent="0.3">
      <c r="B35" s="16"/>
      <c r="C35" s="180" t="s">
        <v>269</v>
      </c>
      <c r="D35" s="30" t="s">
        <v>460</v>
      </c>
      <c r="E35" s="652"/>
      <c r="F35" s="10">
        <v>1</v>
      </c>
      <c r="G35" s="10">
        <v>1</v>
      </c>
      <c r="H35" s="10">
        <v>16</v>
      </c>
      <c r="I35" s="166">
        <f>IF(F35="",0,INT(1+((G35-F35)/H35)))</f>
        <v>1</v>
      </c>
      <c r="J35" s="523">
        <f>E33*E34*I35</f>
        <v>35.255000000000003</v>
      </c>
      <c r="K35" s="649">
        <f>J35/15</f>
        <v>2.3503333333333334</v>
      </c>
      <c r="L35" s="652"/>
      <c r="M35" s="10">
        <v>1</v>
      </c>
      <c r="N35" s="10">
        <v>1</v>
      </c>
      <c r="O35" s="10">
        <v>16</v>
      </c>
      <c r="P35" s="166">
        <f>IF(M35="",0,INT(1+((N35-M35)/O35)))</f>
        <v>1</v>
      </c>
      <c r="Q35" s="523">
        <f>L33*L34*P35</f>
        <v>8.9740000000000002</v>
      </c>
      <c r="R35" s="649">
        <f>Q35/15</f>
        <v>0.59826666666666672</v>
      </c>
      <c r="S35" s="652"/>
      <c r="T35" s="10">
        <v>1</v>
      </c>
      <c r="U35" s="10">
        <v>1</v>
      </c>
      <c r="V35" s="10">
        <v>16</v>
      </c>
      <c r="W35" s="166">
        <f>IF(T35="",0,INT(1+((U35-T35)/V35)))</f>
        <v>1</v>
      </c>
      <c r="X35" s="523">
        <f>S33*S34*W35</f>
        <v>58.972000000000001</v>
      </c>
      <c r="Y35" s="649">
        <f>X35/15</f>
        <v>3.9314666666666667</v>
      </c>
      <c r="Z35" s="652"/>
      <c r="AA35" s="10">
        <v>1</v>
      </c>
      <c r="AB35" s="10">
        <v>1</v>
      </c>
      <c r="AC35" s="10">
        <v>16</v>
      </c>
      <c r="AD35" s="166">
        <f>IF(AA35="",0,INT(1+((AB35-AA35)/AC35)))</f>
        <v>1</v>
      </c>
      <c r="AE35" s="523">
        <f>Z33*Z34*AD35</f>
        <v>58.972000000000001</v>
      </c>
      <c r="AF35" s="649">
        <f>AE35/15</f>
        <v>3.9314666666666667</v>
      </c>
    </row>
    <row r="36" spans="2:32" ht="15.75" customHeight="1" x14ac:dyDescent="0.3">
      <c r="B36" s="16"/>
      <c r="C36" s="32" t="s">
        <v>19</v>
      </c>
      <c r="D36" s="30" t="s">
        <v>464</v>
      </c>
      <c r="E36" s="654">
        <f>'Arable Inputs'!$D$36</f>
        <v>0.45</v>
      </c>
      <c r="F36" s="105"/>
      <c r="G36" s="105"/>
      <c r="H36" s="105"/>
      <c r="I36" s="105"/>
      <c r="J36" s="105"/>
      <c r="K36" s="769"/>
      <c r="L36" s="654">
        <f>'Arable Inputs'!$D$36</f>
        <v>0.45</v>
      </c>
      <c r="M36" s="105"/>
      <c r="N36" s="105"/>
      <c r="O36" s="105"/>
      <c r="P36" s="105"/>
      <c r="Q36" s="105"/>
      <c r="R36" s="769"/>
      <c r="S36" s="654">
        <f>'Arable Inputs'!$D$36</f>
        <v>0.45</v>
      </c>
      <c r="T36" s="105"/>
      <c r="U36" s="105"/>
      <c r="V36" s="105"/>
      <c r="W36" s="105"/>
      <c r="X36" s="105"/>
      <c r="Y36" s="769"/>
      <c r="Z36" s="654">
        <f>'Arable Inputs'!$D$36</f>
        <v>0.45</v>
      </c>
      <c r="AA36" s="105"/>
      <c r="AB36" s="105"/>
      <c r="AC36" s="105"/>
      <c r="AD36" s="105"/>
      <c r="AE36" s="105"/>
      <c r="AF36" s="769"/>
    </row>
    <row r="37" spans="2:32" ht="15.75" customHeight="1" x14ac:dyDescent="0.3">
      <c r="B37" s="16"/>
      <c r="C37" s="33" t="s">
        <v>20</v>
      </c>
      <c r="D37" s="30" t="s">
        <v>93</v>
      </c>
      <c r="E37" s="628">
        <f>'Energy Inputs'!D73</f>
        <v>72</v>
      </c>
      <c r="F37" s="10"/>
      <c r="G37" s="10"/>
      <c r="H37" s="10"/>
      <c r="I37" s="166"/>
      <c r="J37" s="523"/>
      <c r="K37" s="649"/>
      <c r="L37" s="628">
        <f>'Energy Inputs'!E73</f>
        <v>120</v>
      </c>
      <c r="M37" s="10"/>
      <c r="N37" s="10"/>
      <c r="O37" s="10"/>
      <c r="P37" s="166"/>
      <c r="Q37" s="523"/>
      <c r="R37" s="649"/>
      <c r="S37" s="628">
        <f>'Energy Inputs'!F73</f>
        <v>84</v>
      </c>
      <c r="T37" s="10"/>
      <c r="U37" s="10"/>
      <c r="V37" s="10"/>
      <c r="W37" s="166"/>
      <c r="X37" s="523"/>
      <c r="Y37" s="649"/>
      <c r="Z37" s="628">
        <f>'Energy Inputs'!G73</f>
        <v>90</v>
      </c>
      <c r="AA37" s="10"/>
      <c r="AB37" s="10"/>
      <c r="AC37" s="10"/>
      <c r="AD37" s="166"/>
      <c r="AE37" s="523"/>
      <c r="AF37" s="649"/>
    </row>
    <row r="38" spans="2:32" ht="15.75" customHeight="1" x14ac:dyDescent="0.3">
      <c r="B38" s="16"/>
      <c r="C38" s="181" t="s">
        <v>270</v>
      </c>
      <c r="D38" s="23" t="s">
        <v>460</v>
      </c>
      <c r="E38" s="770"/>
      <c r="F38" s="10">
        <v>1</v>
      </c>
      <c r="G38" s="10">
        <v>1</v>
      </c>
      <c r="H38" s="10">
        <v>16</v>
      </c>
      <c r="I38" s="166">
        <f>IF(F38="",0,INT(1+((G38-F38)/H38)))</f>
        <v>1</v>
      </c>
      <c r="J38" s="523">
        <f>E36*E37*I38</f>
        <v>32.4</v>
      </c>
      <c r="K38" s="649">
        <f>J38/15</f>
        <v>2.1599999999999997</v>
      </c>
      <c r="L38" s="770"/>
      <c r="M38" s="10">
        <v>1</v>
      </c>
      <c r="N38" s="10">
        <v>1</v>
      </c>
      <c r="O38" s="10">
        <v>16</v>
      </c>
      <c r="P38" s="166">
        <f>IF(M38="",0,INT(1+((N38-M38)/O38)))</f>
        <v>1</v>
      </c>
      <c r="Q38" s="523">
        <f>L36*L37*P38</f>
        <v>54</v>
      </c>
      <c r="R38" s="649">
        <f>Q38/15</f>
        <v>3.6</v>
      </c>
      <c r="S38" s="770"/>
      <c r="T38" s="10">
        <v>1</v>
      </c>
      <c r="U38" s="10">
        <v>1</v>
      </c>
      <c r="V38" s="10">
        <v>16</v>
      </c>
      <c r="W38" s="166">
        <f>IF(T38="",0,INT(1+((U38-T38)/V38)))</f>
        <v>1</v>
      </c>
      <c r="X38" s="523">
        <f>S36*S37*W38</f>
        <v>37.800000000000004</v>
      </c>
      <c r="Y38" s="649">
        <f>X38/15</f>
        <v>2.5200000000000005</v>
      </c>
      <c r="Z38" s="770"/>
      <c r="AA38" s="10">
        <v>1</v>
      </c>
      <c r="AB38" s="10">
        <v>1</v>
      </c>
      <c r="AC38" s="10">
        <v>16</v>
      </c>
      <c r="AD38" s="166">
        <f>IF(AA38="",0,INT(1+((AB38-AA38)/AC38)))</f>
        <v>1</v>
      </c>
      <c r="AE38" s="523">
        <f>Z36*Z37*AD38</f>
        <v>40.5</v>
      </c>
      <c r="AF38" s="649">
        <f>AE38/15</f>
        <v>2.7</v>
      </c>
    </row>
    <row r="39" spans="2:32" ht="15.75" customHeight="1" x14ac:dyDescent="0.3">
      <c r="B39" s="16"/>
      <c r="C39" s="28" t="s">
        <v>581</v>
      </c>
      <c r="D39" s="157" t="s">
        <v>462</v>
      </c>
      <c r="E39" s="615"/>
      <c r="F39" s="629"/>
      <c r="G39" s="629"/>
      <c r="H39" s="400"/>
      <c r="I39" s="629"/>
      <c r="J39" s="866"/>
      <c r="K39" s="605">
        <f>K40/K10</f>
        <v>0.84223333333333339</v>
      </c>
      <c r="L39" s="615"/>
      <c r="M39" s="629"/>
      <c r="N39" s="629"/>
      <c r="O39" s="400"/>
      <c r="P39" s="629"/>
      <c r="Q39" s="866"/>
      <c r="R39" s="605">
        <f>R40/R10</f>
        <v>0.65908365753309661</v>
      </c>
      <c r="S39" s="615"/>
      <c r="T39" s="629"/>
      <c r="U39" s="629"/>
      <c r="V39" s="400"/>
      <c r="W39" s="629"/>
      <c r="X39" s="604"/>
      <c r="Y39" s="605">
        <f>Y40/Y10</f>
        <v>0.94025267370107579</v>
      </c>
      <c r="Z39" s="615"/>
      <c r="AA39" s="629"/>
      <c r="AB39" s="629"/>
      <c r="AC39" s="400"/>
      <c r="AD39" s="629"/>
      <c r="AE39" s="604"/>
      <c r="AF39" s="605">
        <f>AF40/AF10</f>
        <v>0.75312332250317826</v>
      </c>
    </row>
    <row r="40" spans="2:32" ht="15.75" customHeight="1" x14ac:dyDescent="0.3">
      <c r="B40" s="16"/>
      <c r="C40" s="31"/>
      <c r="D40" s="34" t="s">
        <v>460</v>
      </c>
      <c r="E40" s="631"/>
      <c r="F40" s="632"/>
      <c r="G40" s="632"/>
      <c r="H40" s="632"/>
      <c r="I40" s="632"/>
      <c r="J40" s="867">
        <f>SUM(J30:J38)</f>
        <v>126.33500000000001</v>
      </c>
      <c r="K40" s="633">
        <f>J40/'Energy Inputs'!$D$16</f>
        <v>7.8959375000000005</v>
      </c>
      <c r="L40" s="631"/>
      <c r="M40" s="632"/>
      <c r="N40" s="632"/>
      <c r="O40" s="632"/>
      <c r="P40" s="632"/>
      <c r="Q40" s="867">
        <f>SUM(Q30:Q38)</f>
        <v>117.742</v>
      </c>
      <c r="R40" s="633">
        <f>Q40/'Energy Inputs'!$E$16</f>
        <v>7.3588750000000003</v>
      </c>
      <c r="S40" s="631"/>
      <c r="T40" s="632"/>
      <c r="U40" s="632"/>
      <c r="V40" s="632"/>
      <c r="W40" s="632"/>
      <c r="X40" s="608">
        <f>X32+X35+X38</f>
        <v>161.97200000000001</v>
      </c>
      <c r="Y40" s="633">
        <f>X40/'Energy Inputs'!$F$16</f>
        <v>10.123250000000001</v>
      </c>
      <c r="Z40" s="631"/>
      <c r="AA40" s="868"/>
      <c r="AB40" s="632"/>
      <c r="AC40" s="632"/>
      <c r="AD40" s="632"/>
      <c r="AE40" s="608">
        <f>AE32+AE35+AE38</f>
        <v>177.71200000000002</v>
      </c>
      <c r="AF40" s="633">
        <f>AE40/'Energy Inputs'!$G$16</f>
        <v>11.107000000000001</v>
      </c>
    </row>
    <row r="41" spans="2:32" ht="15" customHeight="1" x14ac:dyDescent="0.3">
      <c r="B41" s="175" t="s">
        <v>87</v>
      </c>
      <c r="C41" s="35"/>
      <c r="D41" s="18" t="s">
        <v>462</v>
      </c>
      <c r="E41" s="636"/>
      <c r="F41" s="637"/>
      <c r="G41" s="637"/>
      <c r="H41" s="637"/>
      <c r="I41" s="637"/>
      <c r="J41" s="820"/>
      <c r="K41" s="639">
        <f>K42/K10</f>
        <v>11.005515555555554</v>
      </c>
      <c r="L41" s="640"/>
      <c r="M41" s="637"/>
      <c r="N41" s="637"/>
      <c r="O41" s="637"/>
      <c r="P41" s="637"/>
      <c r="Q41" s="820"/>
      <c r="R41" s="639">
        <f>R42/R10</f>
        <v>11.204687881925985</v>
      </c>
      <c r="S41" s="640"/>
      <c r="T41" s="637"/>
      <c r="U41" s="637"/>
      <c r="V41" s="637"/>
      <c r="W41" s="637"/>
      <c r="X41" s="820"/>
      <c r="Y41" s="639">
        <f>Y42/Y10</f>
        <v>29.703711931082658</v>
      </c>
      <c r="Z41" s="640"/>
      <c r="AA41" s="637"/>
      <c r="AB41" s="637"/>
      <c r="AC41" s="637"/>
      <c r="AD41" s="637"/>
      <c r="AE41" s="820"/>
      <c r="AF41" s="639">
        <f>AF42/AF10</f>
        <v>8.4932736262183912</v>
      </c>
    </row>
    <row r="42" spans="2:32" x14ac:dyDescent="0.3">
      <c r="B42" s="82"/>
      <c r="C42" s="36"/>
      <c r="D42" s="179" t="s">
        <v>471</v>
      </c>
      <c r="E42" s="641"/>
      <c r="F42" s="642"/>
      <c r="G42" s="642"/>
      <c r="H42" s="642"/>
      <c r="I42" s="642"/>
      <c r="J42" s="643">
        <f>J22+SUM(J23:J38)</f>
        <v>1642.4049999999997</v>
      </c>
      <c r="K42" s="644">
        <f>K22+SUM(K23:K38)</f>
        <v>103.17670833333332</v>
      </c>
      <c r="L42" s="645"/>
      <c r="M42" s="642"/>
      <c r="N42" s="642"/>
      <c r="O42" s="642"/>
      <c r="P42" s="642"/>
      <c r="Q42" s="643">
        <f>Q22+SUM(Q23:Q38)</f>
        <v>1993.8119999999999</v>
      </c>
      <c r="R42" s="644">
        <f>R22+SUM(R23:R38)</f>
        <v>125.10384166666667</v>
      </c>
      <c r="S42" s="645"/>
      <c r="T42" s="642"/>
      <c r="U42" s="642"/>
      <c r="V42" s="642"/>
      <c r="W42" s="642"/>
      <c r="X42" s="643">
        <f>X22+SUM(X23:X38)</f>
        <v>5106.0919999999996</v>
      </c>
      <c r="Y42" s="644">
        <f>Y22+SUM(Y23:Y38)</f>
        <v>319.80563333333333</v>
      </c>
      <c r="Z42" s="645"/>
      <c r="AA42" s="642"/>
      <c r="AB42" s="642"/>
      <c r="AC42" s="642"/>
      <c r="AD42" s="642"/>
      <c r="AE42" s="643">
        <f>AE22+SUM(AE23:AE38)</f>
        <v>1992.2819999999999</v>
      </c>
      <c r="AF42" s="644">
        <f>AF22+SUM(AF23:AF38)</f>
        <v>125.25809166666667</v>
      </c>
    </row>
    <row r="43" spans="2:32" x14ac:dyDescent="0.3">
      <c r="B43" s="95" t="s">
        <v>88</v>
      </c>
      <c r="C43" s="81" t="s">
        <v>254</v>
      </c>
      <c r="D43" s="30" t="s">
        <v>460</v>
      </c>
      <c r="E43" s="648"/>
      <c r="F43" s="164"/>
      <c r="G43" s="164"/>
      <c r="H43" s="164"/>
      <c r="I43" s="164"/>
      <c r="J43" s="529"/>
      <c r="K43" s="646"/>
      <c r="L43" s="647"/>
      <c r="M43" s="164"/>
      <c r="N43" s="164"/>
      <c r="O43" s="164"/>
      <c r="P43" s="164"/>
      <c r="Q43" s="529"/>
      <c r="R43" s="646"/>
      <c r="S43" s="647"/>
      <c r="T43" s="164"/>
      <c r="U43" s="164"/>
      <c r="V43" s="164"/>
      <c r="W43" s="164"/>
      <c r="X43" s="529"/>
      <c r="Y43" s="646"/>
      <c r="Z43" s="647"/>
      <c r="AA43" s="164"/>
      <c r="AB43" s="164"/>
      <c r="AC43" s="164"/>
      <c r="AD43" s="164"/>
      <c r="AE43" s="529"/>
      <c r="AF43" s="646"/>
    </row>
    <row r="44" spans="2:32" x14ac:dyDescent="0.3">
      <c r="B44" s="95"/>
      <c r="C44" s="33" t="s">
        <v>255</v>
      </c>
      <c r="D44" s="30" t="s">
        <v>460</v>
      </c>
      <c r="E44" s="648"/>
      <c r="F44" s="10"/>
      <c r="G44" s="10"/>
      <c r="H44" s="10"/>
      <c r="I44" s="166"/>
      <c r="J44" s="523"/>
      <c r="K44" s="649"/>
      <c r="L44" s="648"/>
      <c r="M44" s="10"/>
      <c r="N44" s="10"/>
      <c r="O44" s="10"/>
      <c r="P44" s="166"/>
      <c r="Q44" s="523"/>
      <c r="R44" s="649"/>
      <c r="S44" s="623">
        <f>'Energy Inputs'!$F$92</f>
        <v>161</v>
      </c>
      <c r="T44" s="10">
        <v>2</v>
      </c>
      <c r="U44" s="10">
        <v>3</v>
      </c>
      <c r="V44" s="10">
        <v>1</v>
      </c>
      <c r="W44" s="166">
        <f>IF(T44="",0,INT(1+((U44-T44)/V44)))</f>
        <v>2</v>
      </c>
      <c r="X44" s="523">
        <f>W44*S44</f>
        <v>322</v>
      </c>
      <c r="Y44" s="649">
        <f>X44/15</f>
        <v>21.466666666666665</v>
      </c>
      <c r="Z44" s="623">
        <f>'Energy Inputs'!$G$92</f>
        <v>161</v>
      </c>
      <c r="AA44" s="10">
        <v>2</v>
      </c>
      <c r="AB44" s="10">
        <v>3</v>
      </c>
      <c r="AC44" s="10">
        <v>1</v>
      </c>
      <c r="AD44" s="166">
        <f>IF(AA44="",0,INT(1+((AB44-AA44)/AC44)))</f>
        <v>2</v>
      </c>
      <c r="AE44" s="523">
        <f>AD44*Z44</f>
        <v>322</v>
      </c>
      <c r="AF44" s="634">
        <f>AE44/'Energy Inputs'!$G$16</f>
        <v>20.125</v>
      </c>
    </row>
    <row r="45" spans="2:32" x14ac:dyDescent="0.3">
      <c r="B45" s="95"/>
      <c r="C45" s="33" t="s">
        <v>35</v>
      </c>
      <c r="D45" s="30" t="s">
        <v>460</v>
      </c>
      <c r="E45" s="623">
        <f>'Energy Inputs'!D94</f>
        <v>40.299999999999997</v>
      </c>
      <c r="F45" s="10">
        <v>2</v>
      </c>
      <c r="G45" s="10">
        <v>3</v>
      </c>
      <c r="H45" s="10">
        <v>1</v>
      </c>
      <c r="I45" s="166">
        <f>IF(F45="",0,INT(1+((G45-F45)/H45)))</f>
        <v>2</v>
      </c>
      <c r="J45" s="523">
        <f>I45*E45</f>
        <v>80.599999999999994</v>
      </c>
      <c r="K45" s="649">
        <f>J45/15</f>
        <v>5.3733333333333331</v>
      </c>
      <c r="L45" s="623">
        <f>'Energy Inputs'!$E$94</f>
        <v>40.299999999999997</v>
      </c>
      <c r="M45" s="10">
        <v>2</v>
      </c>
      <c r="N45" s="10">
        <v>3</v>
      </c>
      <c r="O45" s="10">
        <v>1</v>
      </c>
      <c r="P45" s="166">
        <f>IF(M45="",0,INT(1+((N45-M45)/O45)))</f>
        <v>2</v>
      </c>
      <c r="Q45" s="523">
        <f>P45*L45</f>
        <v>80.599999999999994</v>
      </c>
      <c r="R45" s="649">
        <f>Q45/15</f>
        <v>5.3733333333333331</v>
      </c>
      <c r="S45" s="648"/>
      <c r="T45" s="10"/>
      <c r="U45" s="10"/>
      <c r="V45" s="10"/>
      <c r="W45" s="166"/>
      <c r="X45" s="523"/>
      <c r="Y45" s="649"/>
      <c r="Z45" s="648"/>
      <c r="AA45" s="10"/>
      <c r="AB45" s="10"/>
      <c r="AC45" s="10"/>
      <c r="AD45" s="166"/>
      <c r="AE45" s="523"/>
      <c r="AF45" s="649"/>
    </row>
    <row r="46" spans="2:32" x14ac:dyDescent="0.3">
      <c r="B46" s="95"/>
      <c r="C46" s="33" t="s">
        <v>584</v>
      </c>
      <c r="D46" s="30" t="s">
        <v>460</v>
      </c>
      <c r="E46" s="944">
        <f>'Energy Inputs'!D93</f>
        <v>100</v>
      </c>
      <c r="F46" s="10">
        <v>2</v>
      </c>
      <c r="G46" s="10">
        <v>3</v>
      </c>
      <c r="H46" s="10">
        <v>1</v>
      </c>
      <c r="I46" s="166">
        <f>IF(F46="",0,INT(1+((G46-F46)/H46)))</f>
        <v>2</v>
      </c>
      <c r="J46" s="523">
        <f>I46*E46</f>
        <v>200</v>
      </c>
      <c r="K46" s="649">
        <f>J46/15</f>
        <v>13.333333333333334</v>
      </c>
      <c r="L46" s="944">
        <f>'Energy Inputs'!E93</f>
        <v>60</v>
      </c>
      <c r="M46" s="10">
        <v>2</v>
      </c>
      <c r="N46" s="10">
        <v>3</v>
      </c>
      <c r="O46" s="10">
        <v>1</v>
      </c>
      <c r="P46" s="166">
        <f>IF(M46="",0,INT(1+((N46-M46)/O46)))</f>
        <v>2</v>
      </c>
      <c r="Q46" s="523">
        <f>P46*L46</f>
        <v>120</v>
      </c>
      <c r="R46" s="649">
        <f>Q46/15</f>
        <v>8</v>
      </c>
      <c r="S46" s="648"/>
      <c r="T46" s="10"/>
      <c r="U46" s="10"/>
      <c r="V46" s="10"/>
      <c r="W46" s="166"/>
      <c r="X46" s="523"/>
      <c r="Y46" s="649"/>
      <c r="Z46" s="648"/>
      <c r="AA46" s="10"/>
      <c r="AB46" s="10"/>
      <c r="AC46" s="10"/>
      <c r="AD46" s="166"/>
      <c r="AE46" s="523"/>
      <c r="AF46" s="649"/>
    </row>
    <row r="47" spans="2:32" x14ac:dyDescent="0.3">
      <c r="B47" s="16"/>
      <c r="C47" s="33" t="s">
        <v>147</v>
      </c>
      <c r="D47" s="30" t="s">
        <v>460</v>
      </c>
      <c r="E47" s="623">
        <f>'Energy Inputs'!D91</f>
        <v>16.07</v>
      </c>
      <c r="F47" s="10">
        <v>4</v>
      </c>
      <c r="G47" s="10">
        <v>16</v>
      </c>
      <c r="H47" s="10">
        <v>3</v>
      </c>
      <c r="I47" s="166">
        <f>IF(F47="",0,INT(1+((G47-F47)/H47)))</f>
        <v>5</v>
      </c>
      <c r="J47" s="523">
        <f>I47*E47</f>
        <v>80.349999999999994</v>
      </c>
      <c r="K47" s="649">
        <f>J47/15</f>
        <v>5.3566666666666665</v>
      </c>
      <c r="L47" s="623">
        <f>'Energy Inputs'!E91</f>
        <v>16.07</v>
      </c>
      <c r="M47" s="10">
        <v>2</v>
      </c>
      <c r="N47" s="10">
        <v>16</v>
      </c>
      <c r="O47" s="10">
        <v>1</v>
      </c>
      <c r="P47" s="166">
        <f>IF(M47="",0,INT(1+((N47-M47)/O47)))</f>
        <v>15</v>
      </c>
      <c r="Q47" s="523">
        <f>P47*L47</f>
        <v>241.05</v>
      </c>
      <c r="R47" s="649">
        <f>Q47/15</f>
        <v>16.07</v>
      </c>
      <c r="S47" s="623">
        <f>'Energy Inputs'!F91</f>
        <v>16.07</v>
      </c>
      <c r="T47" s="10">
        <v>2</v>
      </c>
      <c r="U47" s="10">
        <v>16</v>
      </c>
      <c r="V47" s="10">
        <v>1</v>
      </c>
      <c r="W47" s="166">
        <f>IF(T47="",0,INT(1+((U47-T47)/V47)))</f>
        <v>15</v>
      </c>
      <c r="X47" s="523">
        <f>W47*S47</f>
        <v>241.05</v>
      </c>
      <c r="Y47" s="649">
        <f>X47/15</f>
        <v>16.07</v>
      </c>
      <c r="Z47" s="623">
        <f>'Energy Inputs'!G91</f>
        <v>16.07</v>
      </c>
      <c r="AA47" s="10">
        <v>2</v>
      </c>
      <c r="AB47" s="10">
        <v>16</v>
      </c>
      <c r="AC47" s="10">
        <v>1</v>
      </c>
      <c r="AD47" s="166">
        <f>IF(AA47="",0,INT(1+((AB47-AA47)/AC47)))</f>
        <v>15</v>
      </c>
      <c r="AE47" s="523">
        <f>AD47*Z47</f>
        <v>241.05</v>
      </c>
      <c r="AF47" s="649">
        <f>AE47/15</f>
        <v>16.07</v>
      </c>
    </row>
    <row r="48" spans="2:32" x14ac:dyDescent="0.3">
      <c r="B48" s="16"/>
      <c r="C48" s="81" t="s">
        <v>15</v>
      </c>
      <c r="D48" s="18" t="s">
        <v>464</v>
      </c>
      <c r="E48" s="766">
        <f>'Arable Inputs'!$D$34</f>
        <v>0.65200000000000002</v>
      </c>
      <c r="F48" s="650"/>
      <c r="G48" s="650"/>
      <c r="H48" s="650"/>
      <c r="I48" s="650"/>
      <c r="J48" s="525"/>
      <c r="K48" s="651"/>
      <c r="L48" s="766">
        <f>'Arable Inputs'!$D$34</f>
        <v>0.65200000000000002</v>
      </c>
      <c r="M48" s="650"/>
      <c r="N48" s="650"/>
      <c r="O48" s="650"/>
      <c r="P48" s="650"/>
      <c r="Q48" s="525"/>
      <c r="R48" s="651"/>
      <c r="S48" s="766">
        <f>'Arable Inputs'!$D$34</f>
        <v>0.65200000000000002</v>
      </c>
      <c r="T48" s="767"/>
      <c r="U48" s="767"/>
      <c r="V48" s="767"/>
      <c r="W48" s="767"/>
      <c r="X48" s="767"/>
      <c r="Y48" s="768"/>
      <c r="Z48" s="766">
        <f>'Arable Inputs'!$D$34</f>
        <v>0.65200000000000002</v>
      </c>
      <c r="AA48" s="767"/>
      <c r="AB48" s="767"/>
      <c r="AC48" s="767"/>
      <c r="AD48" s="767"/>
      <c r="AE48" s="767"/>
      <c r="AF48" s="768"/>
    </row>
    <row r="49" spans="2:32" x14ac:dyDescent="0.3">
      <c r="B49" s="16"/>
      <c r="C49" s="33" t="s">
        <v>16</v>
      </c>
      <c r="D49" s="30" t="s">
        <v>93</v>
      </c>
      <c r="E49" s="628">
        <f>'Energy Inputs'!D71</f>
        <v>90</v>
      </c>
      <c r="F49" s="626"/>
      <c r="G49" s="626"/>
      <c r="H49" s="626"/>
      <c r="I49" s="626"/>
      <c r="J49" s="626"/>
      <c r="K49" s="627"/>
      <c r="L49" s="628">
        <f>'Energy Inputs'!E71</f>
        <v>84</v>
      </c>
      <c r="M49" s="626"/>
      <c r="N49" s="626"/>
      <c r="O49" s="626"/>
      <c r="P49" s="626"/>
      <c r="Q49" s="626"/>
      <c r="R49" s="627"/>
      <c r="S49" s="628">
        <f>'Energy Inputs'!F71</f>
        <v>100</v>
      </c>
      <c r="T49" s="10"/>
      <c r="U49" s="10"/>
      <c r="V49" s="10"/>
      <c r="W49" s="166"/>
      <c r="X49" s="523"/>
      <c r="Y49" s="649"/>
      <c r="Z49" s="628">
        <f>'Energy Inputs'!G71</f>
        <v>120</v>
      </c>
      <c r="AA49" s="10"/>
      <c r="AB49" s="10"/>
      <c r="AC49" s="10"/>
      <c r="AD49" s="166"/>
      <c r="AE49" s="523"/>
      <c r="AF49" s="649"/>
    </row>
    <row r="50" spans="2:32" x14ac:dyDescent="0.3">
      <c r="B50" s="16"/>
      <c r="C50" s="180" t="s">
        <v>268</v>
      </c>
      <c r="D50" s="30" t="s">
        <v>460</v>
      </c>
      <c r="E50" s="959">
        <f>E48*E49</f>
        <v>58.68</v>
      </c>
      <c r="F50" s="10">
        <v>4</v>
      </c>
      <c r="G50" s="10">
        <v>16</v>
      </c>
      <c r="H50" s="10">
        <v>3</v>
      </c>
      <c r="I50" s="166">
        <f>IF(F50="",0,INT(1+((G50-F50)/H50)))</f>
        <v>5</v>
      </c>
      <c r="J50" s="523">
        <f>E48*E49*I50</f>
        <v>293.39999999999998</v>
      </c>
      <c r="K50" s="649">
        <f>J50/15</f>
        <v>19.559999999999999</v>
      </c>
      <c r="L50" s="959">
        <f>L48*L49</f>
        <v>54.768000000000001</v>
      </c>
      <c r="M50" s="10">
        <v>2</v>
      </c>
      <c r="N50" s="10">
        <v>16</v>
      </c>
      <c r="O50" s="10">
        <v>1</v>
      </c>
      <c r="P50" s="166">
        <f>IF(M50="",0,INT(1+((N50-M50)/O50)))</f>
        <v>15</v>
      </c>
      <c r="Q50" s="523">
        <f>L48*L49*P50</f>
        <v>821.52</v>
      </c>
      <c r="R50" s="649">
        <f>Q50/15</f>
        <v>54.768000000000001</v>
      </c>
      <c r="S50" s="959">
        <f>S48*S49</f>
        <v>65.2</v>
      </c>
      <c r="T50" s="10">
        <v>2</v>
      </c>
      <c r="U50" s="10">
        <v>16</v>
      </c>
      <c r="V50" s="10">
        <v>1</v>
      </c>
      <c r="W50" s="166">
        <f>IF(T50="",0,INT(1+((U50-T50)/V50)))</f>
        <v>15</v>
      </c>
      <c r="X50" s="523">
        <f>S48*S49*W50</f>
        <v>978</v>
      </c>
      <c r="Y50" s="649">
        <f>X50/15</f>
        <v>65.2</v>
      </c>
      <c r="Z50" s="959">
        <f>Z48*Z49</f>
        <v>78.240000000000009</v>
      </c>
      <c r="AA50" s="10">
        <v>2</v>
      </c>
      <c r="AB50" s="10">
        <v>16</v>
      </c>
      <c r="AC50" s="10">
        <v>1</v>
      </c>
      <c r="AD50" s="166">
        <f>IF(AA50="",0,INT(1+((AB50-AA50)/AC50)))</f>
        <v>15</v>
      </c>
      <c r="AE50" s="523">
        <f>Z48*Z49*AD50</f>
        <v>1173.6000000000001</v>
      </c>
      <c r="AF50" s="649">
        <f>AE50/15</f>
        <v>78.240000000000009</v>
      </c>
    </row>
    <row r="51" spans="2:32" x14ac:dyDescent="0.3">
      <c r="B51" s="16"/>
      <c r="C51" s="32" t="s">
        <v>17</v>
      </c>
      <c r="D51" s="30" t="s">
        <v>464</v>
      </c>
      <c r="E51" s="654">
        <f>'Arable Inputs'!$D$35</f>
        <v>0.64100000000000001</v>
      </c>
      <c r="F51" s="653"/>
      <c r="G51" s="653"/>
      <c r="H51" s="653"/>
      <c r="I51" s="653"/>
      <c r="J51" s="523"/>
      <c r="K51" s="649"/>
      <c r="L51" s="654">
        <f>'Arable Inputs'!$D$35</f>
        <v>0.64100000000000001</v>
      </c>
      <c r="M51" s="653"/>
      <c r="N51" s="653"/>
      <c r="O51" s="653"/>
      <c r="P51" s="653"/>
      <c r="Q51" s="523"/>
      <c r="R51" s="649"/>
      <c r="S51" s="654">
        <f>'Arable Inputs'!$D$35</f>
        <v>0.64100000000000001</v>
      </c>
      <c r="T51" s="653"/>
      <c r="U51" s="653"/>
      <c r="V51" s="653"/>
      <c r="W51" s="653"/>
      <c r="X51" s="523"/>
      <c r="Y51" s="649"/>
      <c r="Z51" s="654">
        <f>'Arable Inputs'!$D$35</f>
        <v>0.64100000000000001</v>
      </c>
      <c r="AA51" s="653"/>
      <c r="AB51" s="653"/>
      <c r="AC51" s="653"/>
      <c r="AD51" s="653"/>
      <c r="AE51" s="523"/>
      <c r="AF51" s="649"/>
    </row>
    <row r="52" spans="2:32" x14ac:dyDescent="0.3">
      <c r="B52" s="16"/>
      <c r="C52" s="33" t="s">
        <v>18</v>
      </c>
      <c r="D52" s="30" t="s">
        <v>93</v>
      </c>
      <c r="E52" s="628">
        <f>'Energy Inputs'!D72</f>
        <v>55</v>
      </c>
      <c r="F52" s="626"/>
      <c r="G52" s="626"/>
      <c r="H52" s="626"/>
      <c r="I52" s="626"/>
      <c r="J52" s="626"/>
      <c r="K52" s="627"/>
      <c r="L52" s="628">
        <f>'Energy Inputs'!E72</f>
        <v>14</v>
      </c>
      <c r="M52" s="626"/>
      <c r="N52" s="626"/>
      <c r="O52" s="626"/>
      <c r="P52" s="626"/>
      <c r="Q52" s="626"/>
      <c r="R52" s="627"/>
      <c r="S52" s="628">
        <f>'Energy Inputs'!F72</f>
        <v>92</v>
      </c>
      <c r="T52" s="626"/>
      <c r="U52" s="626"/>
      <c r="V52" s="626"/>
      <c r="W52" s="626"/>
      <c r="X52" s="626"/>
      <c r="Y52" s="627"/>
      <c r="Z52" s="628">
        <f>'Energy Inputs'!G72</f>
        <v>92</v>
      </c>
      <c r="AA52" s="626"/>
      <c r="AB52" s="626"/>
      <c r="AC52" s="626"/>
      <c r="AD52" s="626"/>
      <c r="AE52" s="626"/>
      <c r="AF52" s="627"/>
    </row>
    <row r="53" spans="2:32" x14ac:dyDescent="0.3">
      <c r="B53" s="16"/>
      <c r="C53" s="180" t="s">
        <v>269</v>
      </c>
      <c r="D53" s="30" t="s">
        <v>460</v>
      </c>
      <c r="E53" s="959">
        <f>E51*E52</f>
        <v>35.255000000000003</v>
      </c>
      <c r="F53" s="10">
        <v>4</v>
      </c>
      <c r="G53" s="10">
        <v>16</v>
      </c>
      <c r="H53" s="10">
        <v>3</v>
      </c>
      <c r="I53" s="166">
        <f>IF(F53="",0,INT(1+((G53-F53)/H53)))</f>
        <v>5</v>
      </c>
      <c r="J53" s="523">
        <f>E51*E52*I53</f>
        <v>176.27500000000001</v>
      </c>
      <c r="K53" s="649">
        <f>J53/15</f>
        <v>11.751666666666667</v>
      </c>
      <c r="L53" s="959">
        <f>L51*L52</f>
        <v>8.9740000000000002</v>
      </c>
      <c r="M53" s="10">
        <v>2</v>
      </c>
      <c r="N53" s="10">
        <v>16</v>
      </c>
      <c r="O53" s="10">
        <v>1</v>
      </c>
      <c r="P53" s="166">
        <f>IF(M53="",0,INT(1+((N53-M53)/O53)))</f>
        <v>15</v>
      </c>
      <c r="Q53" s="523">
        <f>L51*L52*P53</f>
        <v>134.61000000000001</v>
      </c>
      <c r="R53" s="649">
        <f>Q53/15</f>
        <v>8.9740000000000002</v>
      </c>
      <c r="S53" s="959">
        <f>S51*S52</f>
        <v>58.972000000000001</v>
      </c>
      <c r="T53" s="10">
        <v>2</v>
      </c>
      <c r="U53" s="10">
        <v>16</v>
      </c>
      <c r="V53" s="10">
        <v>1</v>
      </c>
      <c r="W53" s="166">
        <f>IF(T53="",0,INT(1+((U53-T53)/V53)))</f>
        <v>15</v>
      </c>
      <c r="X53" s="523">
        <f>S51*S52*W53</f>
        <v>884.58</v>
      </c>
      <c r="Y53" s="649">
        <f>X53/15</f>
        <v>58.972000000000001</v>
      </c>
      <c r="Z53" s="959">
        <f>Z51*Z52</f>
        <v>58.972000000000001</v>
      </c>
      <c r="AA53" s="10">
        <v>2</v>
      </c>
      <c r="AB53" s="10">
        <v>16</v>
      </c>
      <c r="AC53" s="10">
        <v>1</v>
      </c>
      <c r="AD53" s="166">
        <f>IF(AA53="",0,INT(1+((AB53-AA53)/AC53)))</f>
        <v>15</v>
      </c>
      <c r="AE53" s="523">
        <f>Z51*Z52*AD53</f>
        <v>884.58</v>
      </c>
      <c r="AF53" s="649">
        <f>AE53/15</f>
        <v>58.972000000000001</v>
      </c>
    </row>
    <row r="54" spans="2:32" x14ac:dyDescent="0.3">
      <c r="B54" s="16"/>
      <c r="C54" s="32" t="s">
        <v>19</v>
      </c>
      <c r="D54" s="30" t="s">
        <v>464</v>
      </c>
      <c r="E54" s="654">
        <f>'Arable Inputs'!$D$36</f>
        <v>0.45</v>
      </c>
      <c r="F54" s="653"/>
      <c r="G54" s="653"/>
      <c r="H54" s="653"/>
      <c r="I54" s="653"/>
      <c r="J54" s="523"/>
      <c r="K54" s="649"/>
      <c r="L54" s="654">
        <f>'Arable Inputs'!$D$36</f>
        <v>0.45</v>
      </c>
      <c r="M54" s="653"/>
      <c r="N54" s="653"/>
      <c r="O54" s="653"/>
      <c r="P54" s="653"/>
      <c r="Q54" s="523"/>
      <c r="R54" s="649"/>
      <c r="S54" s="654">
        <f>'Arable Inputs'!$D$36</f>
        <v>0.45</v>
      </c>
      <c r="T54" s="653"/>
      <c r="U54" s="653"/>
      <c r="V54" s="653"/>
      <c r="W54" s="653"/>
      <c r="X54" s="523"/>
      <c r="Y54" s="649"/>
      <c r="Z54" s="654">
        <f>'Arable Inputs'!$D$36</f>
        <v>0.45</v>
      </c>
      <c r="AA54" s="653"/>
      <c r="AB54" s="653"/>
      <c r="AC54" s="653"/>
      <c r="AD54" s="653"/>
      <c r="AE54" s="523"/>
      <c r="AF54" s="649"/>
    </row>
    <row r="55" spans="2:32" x14ac:dyDescent="0.3">
      <c r="B55" s="16"/>
      <c r="C55" s="33" t="s">
        <v>20</v>
      </c>
      <c r="D55" s="30" t="s">
        <v>93</v>
      </c>
      <c r="E55" s="628">
        <f>'Energy Inputs'!D73</f>
        <v>72</v>
      </c>
      <c r="F55" s="626"/>
      <c r="G55" s="626"/>
      <c r="H55" s="626"/>
      <c r="I55" s="626"/>
      <c r="J55" s="626"/>
      <c r="K55" s="627"/>
      <c r="L55" s="628">
        <f>'Energy Inputs'!E73</f>
        <v>120</v>
      </c>
      <c r="M55" s="626"/>
      <c r="N55" s="626"/>
      <c r="O55" s="626"/>
      <c r="P55" s="626"/>
      <c r="Q55" s="626"/>
      <c r="R55" s="627"/>
      <c r="S55" s="628">
        <f>'Energy Inputs'!F73</f>
        <v>84</v>
      </c>
      <c r="T55" s="626"/>
      <c r="U55" s="626"/>
      <c r="V55" s="626"/>
      <c r="W55" s="626"/>
      <c r="X55" s="626"/>
      <c r="Y55" s="627"/>
      <c r="Z55" s="628">
        <f>'Energy Inputs'!G73</f>
        <v>90</v>
      </c>
      <c r="AA55" s="626"/>
      <c r="AB55" s="626"/>
      <c r="AC55" s="626"/>
      <c r="AD55" s="626"/>
      <c r="AE55" s="626"/>
      <c r="AF55" s="627"/>
    </row>
    <row r="56" spans="2:32" x14ac:dyDescent="0.3">
      <c r="B56" s="16"/>
      <c r="C56" s="181" t="s">
        <v>270</v>
      </c>
      <c r="D56" s="23" t="s">
        <v>460</v>
      </c>
      <c r="E56" s="959">
        <f>E54*E55</f>
        <v>32.4</v>
      </c>
      <c r="F56" s="22">
        <v>4</v>
      </c>
      <c r="G56" s="22">
        <v>16</v>
      </c>
      <c r="H56" s="22">
        <v>3</v>
      </c>
      <c r="I56" s="153">
        <f>IF(F56="",0,INT(1+((G56-F56)/H56)))</f>
        <v>5</v>
      </c>
      <c r="J56" s="527">
        <f>E54*E55*I56</f>
        <v>162</v>
      </c>
      <c r="K56" s="656">
        <f>J56/15</f>
        <v>10.8</v>
      </c>
      <c r="L56" s="959">
        <f>L54*L55</f>
        <v>54</v>
      </c>
      <c r="M56" s="22">
        <v>2</v>
      </c>
      <c r="N56" s="22">
        <v>16</v>
      </c>
      <c r="O56" s="22">
        <v>1</v>
      </c>
      <c r="P56" s="153">
        <f>IF(M56="",0,INT(1+((N56-M56)/O56)))</f>
        <v>15</v>
      </c>
      <c r="Q56" s="527">
        <f>L54*L55*P56</f>
        <v>810</v>
      </c>
      <c r="R56" s="656">
        <f>Q56/15</f>
        <v>54</v>
      </c>
      <c r="S56" s="959">
        <f>S54*S55</f>
        <v>37.800000000000004</v>
      </c>
      <c r="T56" s="22">
        <v>2</v>
      </c>
      <c r="U56" s="22">
        <v>16</v>
      </c>
      <c r="V56" s="22">
        <v>1</v>
      </c>
      <c r="W56" s="153">
        <f>IF(T56="",0,INT(1+((U56-T56)/V56)))</f>
        <v>15</v>
      </c>
      <c r="X56" s="527">
        <f>S54*S55*W56</f>
        <v>567.00000000000011</v>
      </c>
      <c r="Y56" s="656">
        <f>X56/15</f>
        <v>37.800000000000004</v>
      </c>
      <c r="Z56" s="959">
        <f>Z54*Z55</f>
        <v>40.5</v>
      </c>
      <c r="AA56" s="22">
        <v>2</v>
      </c>
      <c r="AB56" s="22">
        <v>16</v>
      </c>
      <c r="AC56" s="22">
        <v>1</v>
      </c>
      <c r="AD56" s="153">
        <f>IF(AA56="",0,INT(1+((AB56-AA56)/AC56)))</f>
        <v>15</v>
      </c>
      <c r="AE56" s="527">
        <f>Z54*Z55*AD56</f>
        <v>607.5</v>
      </c>
      <c r="AF56" s="656">
        <f>AE56/15</f>
        <v>40.5</v>
      </c>
    </row>
    <row r="57" spans="2:32" x14ac:dyDescent="0.3">
      <c r="B57" s="16"/>
      <c r="C57" s="28" t="s">
        <v>582</v>
      </c>
      <c r="D57" s="157" t="s">
        <v>462</v>
      </c>
      <c r="E57" s="615"/>
      <c r="F57" s="629"/>
      <c r="G57" s="629"/>
      <c r="H57" s="400"/>
      <c r="I57" s="629"/>
      <c r="J57" s="604"/>
      <c r="K57" s="605">
        <f>K58/K10</f>
        <v>4.2111666666666663</v>
      </c>
      <c r="L57" s="615"/>
      <c r="M57" s="629"/>
      <c r="N57" s="629"/>
      <c r="O57" s="400"/>
      <c r="P57" s="629"/>
      <c r="Q57" s="604"/>
      <c r="R57" s="605">
        <f>R58/R10</f>
        <v>9.8862548629964504</v>
      </c>
      <c r="S57" s="615"/>
      <c r="T57" s="629"/>
      <c r="U57" s="629"/>
      <c r="V57" s="400"/>
      <c r="W57" s="629"/>
      <c r="X57" s="604"/>
      <c r="Y57" s="605">
        <f>Y58/Y10</f>
        <v>14.103790105516135</v>
      </c>
      <c r="Z57" s="615"/>
      <c r="AA57" s="629"/>
      <c r="AB57" s="629"/>
      <c r="AC57" s="400"/>
      <c r="AD57" s="629"/>
      <c r="AE57" s="604"/>
      <c r="AF57" s="605">
        <f>AF58/AF10</f>
        <v>11.296849837547674</v>
      </c>
    </row>
    <row r="58" spans="2:32" x14ac:dyDescent="0.3">
      <c r="B58" s="16"/>
      <c r="C58" s="31"/>
      <c r="D58" s="34" t="s">
        <v>460</v>
      </c>
      <c r="E58" s="631"/>
      <c r="F58" s="632"/>
      <c r="G58" s="632"/>
      <c r="H58" s="632"/>
      <c r="I58" s="632"/>
      <c r="J58" s="608">
        <f>J50+J53+J56</f>
        <v>631.67499999999995</v>
      </c>
      <c r="K58" s="633">
        <f>J58/'Energy Inputs'!$F$16</f>
        <v>39.479687499999997</v>
      </c>
      <c r="L58" s="631"/>
      <c r="M58" s="632"/>
      <c r="N58" s="632"/>
      <c r="O58" s="632"/>
      <c r="P58" s="632"/>
      <c r="Q58" s="608">
        <f>Q50+Q53+Q56</f>
        <v>1766.13</v>
      </c>
      <c r="R58" s="633">
        <f>Q58/'Energy Inputs'!$F$16</f>
        <v>110.38312500000001</v>
      </c>
      <c r="S58" s="631"/>
      <c r="T58" s="632"/>
      <c r="U58" s="632"/>
      <c r="V58" s="632"/>
      <c r="W58" s="632"/>
      <c r="X58" s="608">
        <f>X50+X53+X56</f>
        <v>2429.58</v>
      </c>
      <c r="Y58" s="633">
        <f>X58/'Energy Inputs'!$F$16</f>
        <v>151.84875</v>
      </c>
      <c r="Z58" s="631"/>
      <c r="AA58" s="632"/>
      <c r="AB58" s="632"/>
      <c r="AC58" s="632"/>
      <c r="AD58" s="632"/>
      <c r="AE58" s="608">
        <f>AE50+AE53+AE56</f>
        <v>2665.6800000000003</v>
      </c>
      <c r="AF58" s="633">
        <f>AE58/'Energy Inputs'!$G$16</f>
        <v>166.60500000000002</v>
      </c>
    </row>
    <row r="59" spans="2:32" x14ac:dyDescent="0.3">
      <c r="B59" s="16"/>
      <c r="C59" s="33" t="s">
        <v>182</v>
      </c>
      <c r="D59" s="30" t="s">
        <v>460</v>
      </c>
      <c r="E59" s="623">
        <f>'Energy Inputs'!$D$95</f>
        <v>450</v>
      </c>
      <c r="F59" s="166">
        <v>4</v>
      </c>
      <c r="G59" s="166">
        <v>16</v>
      </c>
      <c r="H59" s="166">
        <v>3</v>
      </c>
      <c r="I59" s="166">
        <f>IF(F59="",0,INT(1+((G59-F59)/H59)))</f>
        <v>5</v>
      </c>
      <c r="J59" s="523">
        <f>I59*E59</f>
        <v>2250</v>
      </c>
      <c r="K59" s="649">
        <f>J59/15</f>
        <v>150</v>
      </c>
      <c r="L59" s="648"/>
      <c r="M59" s="166"/>
      <c r="N59" s="166"/>
      <c r="O59" s="166"/>
      <c r="P59" s="166"/>
      <c r="Q59" s="523"/>
      <c r="R59" s="649"/>
      <c r="S59" s="623">
        <f>'Energy Inputs'!$F$95</f>
        <v>100</v>
      </c>
      <c r="T59" s="166">
        <v>2</v>
      </c>
      <c r="U59" s="166">
        <v>16</v>
      </c>
      <c r="V59" s="166">
        <v>1</v>
      </c>
      <c r="W59" s="166">
        <f>IF(T59="",0,INT(1+((U59-T59)/V59)))</f>
        <v>15</v>
      </c>
      <c r="X59" s="523">
        <f>W59*S59</f>
        <v>1500</v>
      </c>
      <c r="Y59" s="649">
        <f>X59/15</f>
        <v>100</v>
      </c>
      <c r="Z59" s="648"/>
      <c r="AA59" s="166"/>
      <c r="AB59" s="166"/>
      <c r="AC59" s="166"/>
      <c r="AD59" s="166"/>
      <c r="AE59" s="523"/>
      <c r="AF59" s="649"/>
    </row>
    <row r="60" spans="2:32" x14ac:dyDescent="0.3">
      <c r="B60" s="16"/>
      <c r="C60" s="33" t="s">
        <v>527</v>
      </c>
      <c r="D60" s="30" t="s">
        <v>460</v>
      </c>
      <c r="E60" s="648"/>
      <c r="F60" s="166"/>
      <c r="G60" s="166"/>
      <c r="H60" s="166"/>
      <c r="I60" s="166"/>
      <c r="J60" s="523"/>
      <c r="K60" s="649"/>
      <c r="L60" s="623">
        <f>'Energy Inputs'!$E$96</f>
        <v>100</v>
      </c>
      <c r="M60" s="166">
        <v>2</v>
      </c>
      <c r="N60" s="166">
        <v>16</v>
      </c>
      <c r="O60" s="166">
        <v>1</v>
      </c>
      <c r="P60" s="166">
        <f>IF(M60="",0,INT(1+((N60-M60)/O60)))</f>
        <v>15</v>
      </c>
      <c r="Q60" s="523">
        <f>P60*L60</f>
        <v>1500</v>
      </c>
      <c r="R60" s="649">
        <f>Q60/15</f>
        <v>100</v>
      </c>
      <c r="S60" s="648"/>
      <c r="T60" s="166"/>
      <c r="U60" s="166"/>
      <c r="V60" s="166"/>
      <c r="W60" s="166"/>
      <c r="X60" s="523"/>
      <c r="Y60" s="649"/>
      <c r="Z60" s="648"/>
      <c r="AA60" s="166"/>
      <c r="AB60" s="166"/>
      <c r="AC60" s="166"/>
      <c r="AD60" s="166"/>
      <c r="AE60" s="523"/>
      <c r="AF60" s="649"/>
    </row>
    <row r="61" spans="2:32" x14ac:dyDescent="0.3">
      <c r="B61" s="16"/>
      <c r="C61" s="32" t="s">
        <v>528</v>
      </c>
      <c r="D61" s="30" t="s">
        <v>460</v>
      </c>
      <c r="E61" s="648"/>
      <c r="F61" s="166"/>
      <c r="G61" s="166"/>
      <c r="H61" s="166"/>
      <c r="I61" s="166"/>
      <c r="J61" s="523"/>
      <c r="K61" s="649"/>
      <c r="L61" s="648"/>
      <c r="M61" s="166"/>
      <c r="N61" s="166"/>
      <c r="O61" s="166"/>
      <c r="P61" s="166"/>
      <c r="Q61" s="523"/>
      <c r="R61" s="649"/>
      <c r="S61" s="648"/>
      <c r="T61" s="166"/>
      <c r="U61" s="166"/>
      <c r="V61" s="166"/>
      <c r="W61" s="166"/>
      <c r="X61" s="523"/>
      <c r="Y61" s="649"/>
      <c r="Z61" s="623">
        <f>'Energy Inputs'!$G$97</f>
        <v>175</v>
      </c>
      <c r="AA61" s="166">
        <v>2</v>
      </c>
      <c r="AB61" s="166">
        <v>16</v>
      </c>
      <c r="AC61" s="166">
        <v>1</v>
      </c>
      <c r="AD61" s="166">
        <f>IF(AA61="",0,INT(1+((AB61-AA61)/AC61)))</f>
        <v>15</v>
      </c>
      <c r="AE61" s="523">
        <f>AD61*Z61</f>
        <v>2625</v>
      </c>
      <c r="AF61" s="649">
        <f>AE61/15</f>
        <v>175</v>
      </c>
    </row>
    <row r="62" spans="2:32" x14ac:dyDescent="0.3">
      <c r="B62" s="7"/>
      <c r="C62" s="125" t="s">
        <v>529</v>
      </c>
      <c r="D62" s="23" t="s">
        <v>462</v>
      </c>
      <c r="E62" s="648"/>
      <c r="F62" s="166"/>
      <c r="G62" s="166"/>
      <c r="H62" s="166"/>
      <c r="I62" s="166"/>
      <c r="J62" s="523"/>
      <c r="K62" s="649"/>
      <c r="L62" s="655"/>
      <c r="M62" s="153"/>
      <c r="N62" s="153"/>
      <c r="O62" s="153"/>
      <c r="P62" s="153"/>
      <c r="Q62" s="527"/>
      <c r="R62" s="656"/>
      <c r="S62" s="655"/>
      <c r="T62" s="153"/>
      <c r="U62" s="153"/>
      <c r="V62" s="153"/>
      <c r="W62" s="153"/>
      <c r="X62" s="527"/>
      <c r="Y62" s="656"/>
      <c r="Z62" s="655"/>
      <c r="AA62" s="153"/>
      <c r="AB62" s="153"/>
      <c r="AC62" s="153"/>
      <c r="AD62" s="153"/>
      <c r="AE62" s="527"/>
      <c r="AF62" s="656"/>
    </row>
    <row r="63" spans="2:32" x14ac:dyDescent="0.3">
      <c r="B63" s="175" t="s">
        <v>89</v>
      </c>
      <c r="C63" s="35"/>
      <c r="D63" s="18" t="s">
        <v>462</v>
      </c>
      <c r="E63" s="636"/>
      <c r="F63" s="637"/>
      <c r="G63" s="637"/>
      <c r="H63" s="637"/>
      <c r="I63" s="637"/>
      <c r="J63" s="638"/>
      <c r="K63" s="639">
        <f>K64/K10</f>
        <v>23.058666666666667</v>
      </c>
      <c r="L63" s="640"/>
      <c r="M63" s="637"/>
      <c r="N63" s="637"/>
      <c r="O63" s="637"/>
      <c r="P63" s="637"/>
      <c r="Q63" s="638"/>
      <c r="R63" s="639">
        <f>R64/R10</f>
        <v>22.138684728558513</v>
      </c>
      <c r="S63" s="640"/>
      <c r="T63" s="637"/>
      <c r="U63" s="637"/>
      <c r="V63" s="637"/>
      <c r="W63" s="637"/>
      <c r="X63" s="638"/>
      <c r="Y63" s="639">
        <f>Y64/Y10</f>
        <v>27.81851921368904</v>
      </c>
      <c r="Z63" s="640"/>
      <c r="AA63" s="637"/>
      <c r="AB63" s="637"/>
      <c r="AC63" s="637"/>
      <c r="AD63" s="637"/>
      <c r="AE63" s="638"/>
      <c r="AF63" s="639">
        <f>AF64/AF10</f>
        <v>26.370300889956205</v>
      </c>
    </row>
    <row r="64" spans="2:32" x14ac:dyDescent="0.3">
      <c r="B64" s="82"/>
      <c r="C64" s="36"/>
      <c r="D64" s="179" t="s">
        <v>471</v>
      </c>
      <c r="E64" s="641"/>
      <c r="F64" s="642"/>
      <c r="G64" s="642"/>
      <c r="H64" s="642"/>
      <c r="I64" s="642"/>
      <c r="J64" s="643">
        <f>SUM(J43:J47)+J58+SUM(J59:J62)</f>
        <v>3242.625</v>
      </c>
      <c r="K64" s="644">
        <f>SUM(K43:K56)+SUM(K59:K62)</f>
        <v>216.17500000000001</v>
      </c>
      <c r="L64" s="645"/>
      <c r="M64" s="642"/>
      <c r="N64" s="642"/>
      <c r="O64" s="642"/>
      <c r="P64" s="642"/>
      <c r="Q64" s="643">
        <f>SUM(Q43:Q47)+Q58+SUM(Q59:Q62)</f>
        <v>3707.78</v>
      </c>
      <c r="R64" s="644">
        <f>SUM(R43:R56)+SUM(R59:R62)</f>
        <v>247.18533333333335</v>
      </c>
      <c r="S64" s="645"/>
      <c r="T64" s="642"/>
      <c r="U64" s="642"/>
      <c r="V64" s="642"/>
      <c r="W64" s="642"/>
      <c r="X64" s="643">
        <f>SUM(X43:X47)+X58+SUM(X59:X62)</f>
        <v>4492.63</v>
      </c>
      <c r="Y64" s="644">
        <f>SUM(Y43:Y56)+SUM(Y59:Y62)</f>
        <v>299.50866666666667</v>
      </c>
      <c r="Z64" s="645"/>
      <c r="AA64" s="642"/>
      <c r="AB64" s="642"/>
      <c r="AC64" s="642"/>
      <c r="AD64" s="642"/>
      <c r="AE64" s="643">
        <f>SUM(AE43:AE47)+AE58+SUM(AE59:AE62)</f>
        <v>5853.7300000000005</v>
      </c>
      <c r="AF64" s="644">
        <f>SUM(AF43:AF56)+SUM(AF59:AF62)</f>
        <v>388.90700000000004</v>
      </c>
    </row>
    <row r="65" spans="2:32" x14ac:dyDescent="0.3">
      <c r="B65" s="95" t="s">
        <v>266</v>
      </c>
      <c r="C65" s="177" t="s">
        <v>257</v>
      </c>
      <c r="D65" s="20" t="s">
        <v>471</v>
      </c>
      <c r="E65" s="635">
        <f>'Energy Inputs'!$D$98</f>
        <v>170</v>
      </c>
      <c r="F65" s="153">
        <v>16</v>
      </c>
      <c r="G65" s="153">
        <v>16</v>
      </c>
      <c r="H65" s="153">
        <v>1</v>
      </c>
      <c r="I65" s="153">
        <f>IF(F65="",0,INT(1+((G65-F65)/H65)))</f>
        <v>1</v>
      </c>
      <c r="J65" s="527">
        <f>I65*E65</f>
        <v>170</v>
      </c>
      <c r="K65" s="614">
        <f>J65/'Energy Inputs'!$D$16</f>
        <v>10.625</v>
      </c>
      <c r="L65" s="635">
        <f>'Energy Inputs'!$E$98</f>
        <v>170</v>
      </c>
      <c r="M65" s="153">
        <v>16</v>
      </c>
      <c r="N65" s="153">
        <v>16</v>
      </c>
      <c r="O65" s="153">
        <v>1</v>
      </c>
      <c r="P65" s="153">
        <f>IF(M65="",0,INT(1+((N65-M65)/O65)))</f>
        <v>1</v>
      </c>
      <c r="Q65" s="527">
        <f>P65*L65</f>
        <v>170</v>
      </c>
      <c r="R65" s="614">
        <f>Q65/'Energy Inputs'!$E$16</f>
        <v>10.625</v>
      </c>
      <c r="S65" s="635">
        <f>'Energy Inputs'!$F$98</f>
        <v>170</v>
      </c>
      <c r="T65" s="153">
        <v>16</v>
      </c>
      <c r="U65" s="153">
        <v>16</v>
      </c>
      <c r="V65" s="153">
        <v>1</v>
      </c>
      <c r="W65" s="153">
        <f>IF(T65="",0,INT(1+((U65-T65)/V65)))</f>
        <v>1</v>
      </c>
      <c r="X65" s="527">
        <f>W65*S65</f>
        <v>170</v>
      </c>
      <c r="Y65" s="614">
        <f>X65/'Energy Inputs'!$F$16</f>
        <v>10.625</v>
      </c>
      <c r="Z65" s="635">
        <f>'Energy Inputs'!$G$98</f>
        <v>170</v>
      </c>
      <c r="AA65" s="153">
        <v>16</v>
      </c>
      <c r="AB65" s="153">
        <v>16</v>
      </c>
      <c r="AC65" s="153">
        <v>1</v>
      </c>
      <c r="AD65" s="153">
        <f>IF(AA65="",0,INT(1+((AB65-AA65)/AC65)))</f>
        <v>1</v>
      </c>
      <c r="AE65" s="527">
        <f>AD65*Z65</f>
        <v>170</v>
      </c>
      <c r="AF65" s="614">
        <f>AE65/'Energy Inputs'!$G$16</f>
        <v>10.625</v>
      </c>
    </row>
    <row r="66" spans="2:32" x14ac:dyDescent="0.3">
      <c r="B66" s="175" t="s">
        <v>267</v>
      </c>
      <c r="C66" s="35"/>
      <c r="D66" s="18" t="s">
        <v>462</v>
      </c>
      <c r="E66" s="652"/>
      <c r="F66" s="166"/>
      <c r="G66" s="166"/>
      <c r="H66" s="166"/>
      <c r="I66" s="166"/>
      <c r="J66" s="523"/>
      <c r="K66" s="649">
        <f>K67/K10</f>
        <v>1.1333333333333333</v>
      </c>
      <c r="L66" s="652"/>
      <c r="M66" s="166"/>
      <c r="N66" s="166"/>
      <c r="O66" s="166"/>
      <c r="P66" s="166"/>
      <c r="Q66" s="523"/>
      <c r="R66" s="649">
        <f>R67/R10</f>
        <v>0.95160793752973816</v>
      </c>
      <c r="S66" s="652"/>
      <c r="T66" s="166"/>
      <c r="U66" s="166"/>
      <c r="V66" s="166"/>
      <c r="W66" s="166"/>
      <c r="X66" s="523"/>
      <c r="Y66" s="649">
        <f>Y67/Y10</f>
        <v>0.98685547211359292</v>
      </c>
      <c r="Z66" s="652"/>
      <c r="AA66" s="166"/>
      <c r="AB66" s="166"/>
      <c r="AC66" s="166"/>
      <c r="AD66" s="166"/>
      <c r="AE66" s="523"/>
      <c r="AF66" s="649">
        <f>AF67/AF10</f>
        <v>0.72044074021754467</v>
      </c>
    </row>
    <row r="67" spans="2:32" x14ac:dyDescent="0.3">
      <c r="B67" s="32"/>
      <c r="C67" s="177"/>
      <c r="D67" s="20" t="s">
        <v>471</v>
      </c>
      <c r="E67" s="657"/>
      <c r="F67" s="166"/>
      <c r="G67" s="166"/>
      <c r="H67" s="166"/>
      <c r="I67" s="166"/>
      <c r="J67" s="658">
        <f>J65</f>
        <v>170</v>
      </c>
      <c r="K67" s="659">
        <f>K65</f>
        <v>10.625</v>
      </c>
      <c r="L67" s="657"/>
      <c r="M67" s="166"/>
      <c r="N67" s="166"/>
      <c r="O67" s="166"/>
      <c r="P67" s="166"/>
      <c r="Q67" s="658">
        <f>Q65</f>
        <v>170</v>
      </c>
      <c r="R67" s="659">
        <f>R65</f>
        <v>10.625</v>
      </c>
      <c r="S67" s="657"/>
      <c r="T67" s="166"/>
      <c r="U67" s="166"/>
      <c r="V67" s="166"/>
      <c r="W67" s="166"/>
      <c r="X67" s="658">
        <f>X65</f>
        <v>170</v>
      </c>
      <c r="Y67" s="659">
        <f>Y65</f>
        <v>10.625</v>
      </c>
      <c r="Z67" s="657"/>
      <c r="AA67" s="166"/>
      <c r="AB67" s="166"/>
      <c r="AC67" s="166"/>
      <c r="AD67" s="166"/>
      <c r="AE67" s="658">
        <f>AE65</f>
        <v>170</v>
      </c>
      <c r="AF67" s="659">
        <f>AF65</f>
        <v>10.625</v>
      </c>
    </row>
    <row r="68" spans="2:32" x14ac:dyDescent="0.3">
      <c r="B68" s="178" t="s">
        <v>90</v>
      </c>
      <c r="C68" s="309"/>
      <c r="D68" s="18" t="s">
        <v>462</v>
      </c>
      <c r="E68" s="660"/>
      <c r="F68" s="99"/>
      <c r="G68" s="99"/>
      <c r="H68" s="99"/>
      <c r="I68" s="99"/>
      <c r="J68" s="529"/>
      <c r="K68" s="651">
        <f>K69/K10</f>
        <v>35.197515555555562</v>
      </c>
      <c r="L68" s="660"/>
      <c r="M68" s="99"/>
      <c r="N68" s="99"/>
      <c r="O68" s="99"/>
      <c r="P68" s="99"/>
      <c r="Q68" s="529"/>
      <c r="R68" s="651">
        <f>R69/R10</f>
        <v>34.29498054801423</v>
      </c>
      <c r="S68" s="660"/>
      <c r="T68" s="99"/>
      <c r="U68" s="99"/>
      <c r="V68" s="99"/>
      <c r="W68" s="99"/>
      <c r="X68" s="529"/>
      <c r="Y68" s="651">
        <f>Y69/Y10</f>
        <v>58.509086616885291</v>
      </c>
      <c r="Z68" s="660"/>
      <c r="AA68" s="99"/>
      <c r="AB68" s="99"/>
      <c r="AC68" s="99"/>
      <c r="AD68" s="99"/>
      <c r="AE68" s="529"/>
      <c r="AF68" s="651">
        <f>AF69/AF10</f>
        <v>35.584015256392142</v>
      </c>
    </row>
    <row r="69" spans="2:32" x14ac:dyDescent="0.3">
      <c r="B69" s="618"/>
      <c r="C69" s="310"/>
      <c r="D69" s="179" t="s">
        <v>471</v>
      </c>
      <c r="E69" s="661"/>
      <c r="F69" s="100"/>
      <c r="G69" s="100"/>
      <c r="H69" s="100"/>
      <c r="I69" s="100"/>
      <c r="J69" s="531">
        <f>J42+J64+J67</f>
        <v>5055.03</v>
      </c>
      <c r="K69" s="662">
        <f>K42+K64+K67</f>
        <v>329.97670833333336</v>
      </c>
      <c r="L69" s="661"/>
      <c r="M69" s="100"/>
      <c r="N69" s="100"/>
      <c r="O69" s="100"/>
      <c r="P69" s="100"/>
      <c r="Q69" s="531">
        <f>Q42+Q64+Q67</f>
        <v>5871.5920000000006</v>
      </c>
      <c r="R69" s="662">
        <f>R42+R64+R67</f>
        <v>382.914175</v>
      </c>
      <c r="S69" s="661"/>
      <c r="T69" s="100"/>
      <c r="U69" s="100"/>
      <c r="V69" s="100"/>
      <c r="W69" s="100"/>
      <c r="X69" s="531">
        <f>X42+X64+X67</f>
        <v>9768.7219999999998</v>
      </c>
      <c r="Y69" s="662">
        <f>Y42+Y64+Y67</f>
        <v>629.9393</v>
      </c>
      <c r="Z69" s="661"/>
      <c r="AA69" s="100"/>
      <c r="AB69" s="100"/>
      <c r="AC69" s="100"/>
      <c r="AD69" s="100"/>
      <c r="AE69" s="531">
        <f>AE42+AE64+AE67</f>
        <v>8016.0120000000006</v>
      </c>
      <c r="AF69" s="662">
        <f>AF42+AF64+AF67</f>
        <v>524.79009166666674</v>
      </c>
    </row>
    <row r="70" spans="2:32" x14ac:dyDescent="0.3">
      <c r="B70" s="178" t="s">
        <v>29</v>
      </c>
      <c r="C70" s="309"/>
      <c r="D70" s="18" t="s">
        <v>462</v>
      </c>
      <c r="E70" s="636"/>
      <c r="F70" s="663"/>
      <c r="G70" s="663"/>
      <c r="H70" s="663"/>
      <c r="I70" s="663"/>
      <c r="J70" s="638"/>
      <c r="K70" s="639">
        <f>K71/K10</f>
        <v>43.269151111111107</v>
      </c>
      <c r="L70" s="636"/>
      <c r="M70" s="663"/>
      <c r="N70" s="663"/>
      <c r="O70" s="663"/>
      <c r="P70" s="663"/>
      <c r="Q70" s="638"/>
      <c r="R70" s="639">
        <f>R71/R10</f>
        <v>40.408901452601526</v>
      </c>
      <c r="S70" s="636"/>
      <c r="T70" s="663"/>
      <c r="U70" s="663"/>
      <c r="V70" s="663"/>
      <c r="W70" s="663"/>
      <c r="X70" s="638"/>
      <c r="Y70" s="639">
        <f>Y71/Y10</f>
        <v>16.924626688054978</v>
      </c>
      <c r="Z70" s="636"/>
      <c r="AA70" s="663"/>
      <c r="AB70" s="663"/>
      <c r="AC70" s="663"/>
      <c r="AD70" s="663"/>
      <c r="AE70" s="638"/>
      <c r="AF70" s="639">
        <f>AF71/AF10</f>
        <v>34.333345952818199</v>
      </c>
    </row>
    <row r="71" spans="2:32" x14ac:dyDescent="0.3">
      <c r="B71" s="618"/>
      <c r="C71" s="311"/>
      <c r="D71" s="179" t="s">
        <v>471</v>
      </c>
      <c r="E71" s="641"/>
      <c r="F71" s="664"/>
      <c r="G71" s="664"/>
      <c r="H71" s="664"/>
      <c r="I71" s="664"/>
      <c r="J71" s="643">
        <f>J18-J69</f>
        <v>6714.97</v>
      </c>
      <c r="K71" s="644">
        <f>K18-K69</f>
        <v>405.64829166666664</v>
      </c>
      <c r="L71" s="641"/>
      <c r="M71" s="664"/>
      <c r="N71" s="664"/>
      <c r="O71" s="664"/>
      <c r="P71" s="664"/>
      <c r="Q71" s="643">
        <f>Q18-Q69</f>
        <v>7473.8829999999962</v>
      </c>
      <c r="R71" s="644">
        <f>R18-R69</f>
        <v>451.1780124999998</v>
      </c>
      <c r="S71" s="641"/>
      <c r="T71" s="664"/>
      <c r="U71" s="664"/>
      <c r="V71" s="664"/>
      <c r="W71" s="664"/>
      <c r="X71" s="643">
        <f>X18-X69</f>
        <v>3225.8163333333323</v>
      </c>
      <c r="Y71" s="644">
        <f>Y18-Y69</f>
        <v>182.21934583333325</v>
      </c>
      <c r="Z71" s="641"/>
      <c r="AA71" s="664"/>
      <c r="AB71" s="664"/>
      <c r="AC71" s="664"/>
      <c r="AD71" s="664"/>
      <c r="AE71" s="643">
        <f>AE18-AE69</f>
        <v>8482.1546666666709</v>
      </c>
      <c r="AF71" s="644">
        <f>AF18-AF69</f>
        <v>506.34532500000023</v>
      </c>
    </row>
    <row r="72" spans="2:32" x14ac:dyDescent="0.3">
      <c r="B72" s="432"/>
      <c r="C72" s="432"/>
      <c r="D72" s="432"/>
      <c r="E72" s="432"/>
      <c r="F72" s="432"/>
      <c r="G72" s="432"/>
      <c r="H72" s="432"/>
      <c r="I72" s="432"/>
      <c r="J72" s="432"/>
      <c r="K72" s="432"/>
      <c r="L72" s="432"/>
      <c r="M72" s="432"/>
      <c r="N72" s="432"/>
      <c r="O72" s="432"/>
      <c r="P72" s="432"/>
      <c r="Q72" s="432"/>
      <c r="R72" s="432"/>
      <c r="S72" s="432"/>
      <c r="T72" s="432"/>
      <c r="U72" s="432"/>
      <c r="V72" s="432"/>
      <c r="W72" s="432"/>
      <c r="X72" s="432"/>
      <c r="Y72" s="432"/>
      <c r="Z72" s="432"/>
      <c r="AA72" s="432"/>
      <c r="AB72" s="432"/>
      <c r="AC72" s="432"/>
      <c r="AD72" s="432"/>
      <c r="AE72" s="432"/>
      <c r="AF72" s="432"/>
    </row>
    <row r="73" spans="2:32" x14ac:dyDescent="0.3">
      <c r="B73" s="432"/>
      <c r="C73" s="432"/>
      <c r="D73" s="432"/>
      <c r="E73" s="432"/>
      <c r="F73" s="432"/>
      <c r="G73" s="432"/>
      <c r="H73" s="432"/>
      <c r="I73" s="432"/>
      <c r="J73" s="432"/>
      <c r="K73" s="432"/>
      <c r="L73" s="432"/>
      <c r="M73" s="432"/>
      <c r="N73" s="432"/>
      <c r="O73" s="432"/>
      <c r="P73" s="432"/>
      <c r="Q73" s="432"/>
      <c r="R73" s="432"/>
      <c r="S73" s="432"/>
      <c r="T73" s="432"/>
      <c r="U73" s="432"/>
      <c r="V73" s="432"/>
      <c r="W73" s="432"/>
      <c r="X73" s="432"/>
      <c r="Y73" s="432"/>
      <c r="Z73" s="432"/>
      <c r="AA73" s="432"/>
      <c r="AB73" s="432"/>
      <c r="AC73" s="432"/>
      <c r="AD73" s="432"/>
      <c r="AE73" s="432"/>
      <c r="AF73" s="432"/>
    </row>
    <row r="74" spans="2:32" x14ac:dyDescent="0.3">
      <c r="B74" s="563"/>
      <c r="C74" s="665" t="s">
        <v>398</v>
      </c>
      <c r="D74" s="432"/>
      <c r="E74" s="432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2"/>
      <c r="Y74" s="432"/>
      <c r="Z74" s="432"/>
      <c r="AA74" s="432"/>
      <c r="AB74" s="432"/>
      <c r="AC74" s="432"/>
      <c r="AD74" s="432"/>
      <c r="AE74" s="432"/>
      <c r="AF74" s="432"/>
    </row>
    <row r="75" spans="2:32" x14ac:dyDescent="0.3">
      <c r="B75" s="562"/>
      <c r="C75" s="665" t="s">
        <v>397</v>
      </c>
      <c r="D75" s="432"/>
      <c r="E75" s="432"/>
      <c r="F75" s="432"/>
      <c r="G75" s="432"/>
      <c r="H75" s="432"/>
      <c r="I75" s="432"/>
      <c r="J75" s="432"/>
      <c r="K75" s="432"/>
      <c r="L75" s="432"/>
      <c r="M75" s="432"/>
      <c r="N75" s="432"/>
      <c r="O75" s="432"/>
      <c r="P75" s="432"/>
      <c r="Q75" s="432"/>
      <c r="R75" s="432"/>
      <c r="S75" s="432"/>
      <c r="T75" s="432"/>
      <c r="U75" s="432"/>
      <c r="V75" s="432"/>
      <c r="W75" s="432"/>
      <c r="X75" s="432"/>
      <c r="Y75" s="432"/>
      <c r="Z75" s="432"/>
      <c r="AA75" s="432"/>
      <c r="AB75" s="432"/>
      <c r="AC75" s="432"/>
      <c r="AD75" s="432"/>
      <c r="AE75" s="432"/>
      <c r="AF75" s="432"/>
    </row>
    <row r="76" spans="2:32" x14ac:dyDescent="0.3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2:32" x14ac:dyDescent="0.3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2:32" x14ac:dyDescent="0.3">
      <c r="B78" s="186"/>
      <c r="C78" s="24" t="s">
        <v>277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2:32" x14ac:dyDescent="0.3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2:32" x14ac:dyDescent="0.3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  <row r="81" spans="2:32" x14ac:dyDescent="0.3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</row>
    <row r="82" spans="2:32" x14ac:dyDescent="0.3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</row>
    <row r="83" spans="2:32" x14ac:dyDescent="0.3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</row>
    <row r="84" spans="2:32" x14ac:dyDescent="0.3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</row>
    <row r="85" spans="2:32" x14ac:dyDescent="0.3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</row>
    <row r="86" spans="2:32" x14ac:dyDescent="0.3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</row>
    <row r="87" spans="2:32" x14ac:dyDescent="0.3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</row>
    <row r="88" spans="2:32" x14ac:dyDescent="0.3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</row>
    <row r="89" spans="2:32" x14ac:dyDescent="0.3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</row>
    <row r="90" spans="2:32" x14ac:dyDescent="0.3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</row>
    <row r="91" spans="2:32" x14ac:dyDescent="0.3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</row>
    <row r="92" spans="2:32" x14ac:dyDescent="0.3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</row>
    <row r="93" spans="2:32" x14ac:dyDescent="0.3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</row>
    <row r="94" spans="2:32" x14ac:dyDescent="0.3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</row>
    <row r="95" spans="2:32" x14ac:dyDescent="0.3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</row>
  </sheetData>
  <mergeCells count="28">
    <mergeCell ref="V8:V9"/>
    <mergeCell ref="N8:N9"/>
    <mergeCell ref="U8:U9"/>
    <mergeCell ref="AE8:AE9"/>
    <mergeCell ref="AF8:AF9"/>
    <mergeCell ref="W8:W9"/>
    <mergeCell ref="X8:X9"/>
    <mergeCell ref="Y8:Y9"/>
    <mergeCell ref="AA8:AA9"/>
    <mergeCell ref="AC8:AC9"/>
    <mergeCell ref="AD8:AD9"/>
    <mergeCell ref="AB8:AB9"/>
    <mergeCell ref="AA7:AD7"/>
    <mergeCell ref="M8:M9"/>
    <mergeCell ref="F8:F9"/>
    <mergeCell ref="H8:H9"/>
    <mergeCell ref="I8:I9"/>
    <mergeCell ref="J8:J9"/>
    <mergeCell ref="K8:K9"/>
    <mergeCell ref="G8:G9"/>
    <mergeCell ref="F7:I7"/>
    <mergeCell ref="M7:P7"/>
    <mergeCell ref="T7:W7"/>
    <mergeCell ref="O8:O9"/>
    <mergeCell ref="P8:P9"/>
    <mergeCell ref="Q8:Q9"/>
    <mergeCell ref="R8:R9"/>
    <mergeCell ref="T8:T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X51"/>
  <sheetViews>
    <sheetView topLeftCell="K7" workbookViewId="0">
      <selection activeCell="T20" sqref="T20"/>
    </sheetView>
  </sheetViews>
  <sheetFormatPr defaultColWidth="9" defaultRowHeight="14" x14ac:dyDescent="0.3"/>
  <cols>
    <col min="2" max="2" width="32.58203125" customWidth="1"/>
    <col min="3" max="3" width="19.25" customWidth="1"/>
    <col min="5" max="9" width="11" bestFit="1" customWidth="1"/>
    <col min="13" max="13" width="33.83203125" customWidth="1"/>
  </cols>
  <sheetData>
    <row r="2" spans="1:24" ht="14.5" thickBot="1" x14ac:dyDescent="0.35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</row>
    <row r="3" spans="1:24" ht="14.5" thickBot="1" x14ac:dyDescent="0.35">
      <c r="A3" s="364"/>
      <c r="B3" s="411" t="s">
        <v>472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</row>
    <row r="4" spans="1:24" x14ac:dyDescent="0.3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502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</row>
    <row r="5" spans="1:24" x14ac:dyDescent="0.3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</row>
    <row r="6" spans="1:24" x14ac:dyDescent="0.3">
      <c r="A6" s="364"/>
      <c r="B6" s="666" t="s">
        <v>359</v>
      </c>
      <c r="C6" s="667"/>
      <c r="D6" s="667"/>
      <c r="E6" s="667"/>
      <c r="F6" s="667"/>
      <c r="G6" s="667"/>
      <c r="H6" s="667"/>
      <c r="I6" s="668"/>
      <c r="J6" s="364"/>
      <c r="K6" s="364"/>
      <c r="L6" s="364"/>
      <c r="M6" s="666" t="s">
        <v>360</v>
      </c>
      <c r="N6" s="667"/>
      <c r="O6" s="667"/>
      <c r="P6" s="667"/>
      <c r="Q6" s="667"/>
      <c r="R6" s="667"/>
      <c r="S6" s="667"/>
      <c r="T6" s="667"/>
      <c r="U6" s="667"/>
      <c r="V6" s="667"/>
      <c r="W6" s="668"/>
      <c r="X6" s="364"/>
    </row>
    <row r="7" spans="1:24" ht="15" customHeight="1" x14ac:dyDescent="0.3">
      <c r="A7" s="364"/>
      <c r="B7" s="669"/>
      <c r="C7" s="670"/>
      <c r="D7" s="670"/>
      <c r="E7" s="671" t="str">
        <f>'Arable margins'!$E$12</f>
        <v>Wheat</v>
      </c>
      <c r="F7" s="671" t="str">
        <f>'Arable margins'!$F$12</f>
        <v>Oats</v>
      </c>
      <c r="G7" s="671" t="str">
        <f>'Arable margins'!$G$12</f>
        <v>OSR</v>
      </c>
      <c r="H7" s="671" t="str">
        <f>'Arable margins'!$H$12</f>
        <v>Sugar beet</v>
      </c>
      <c r="I7" s="671" t="str">
        <f>'Arable margins'!$I$12</f>
        <v>Forage maize</v>
      </c>
      <c r="J7" s="364"/>
      <c r="K7" s="364"/>
      <c r="L7" s="364"/>
      <c r="M7" s="672"/>
      <c r="N7" s="408"/>
      <c r="O7" s="408"/>
      <c r="P7" s="673" t="str">
        <f>'Energy margins'!E6</f>
        <v>SRC</v>
      </c>
      <c r="Q7" s="674"/>
      <c r="R7" s="673" t="str">
        <f>'Energy margins'!L6</f>
        <v>Miscanthus</v>
      </c>
      <c r="S7" s="674"/>
      <c r="T7" s="675" t="str">
        <f>'Energy margins'!S6</f>
        <v>Sida</v>
      </c>
      <c r="U7" s="674"/>
      <c r="V7" s="675" t="str">
        <f>'Energy margins'!Z6</f>
        <v>Silphie</v>
      </c>
      <c r="W7" s="674"/>
      <c r="X7" s="364"/>
    </row>
    <row r="8" spans="1:24" ht="15" customHeight="1" x14ac:dyDescent="0.3">
      <c r="A8" s="364"/>
      <c r="B8" s="321" t="s">
        <v>271</v>
      </c>
      <c r="C8" s="312" t="s">
        <v>2</v>
      </c>
      <c r="D8" s="318" t="s">
        <v>462</v>
      </c>
      <c r="E8" s="341">
        <f>'Arable margins'!$E$16</f>
        <v>162</v>
      </c>
      <c r="F8" s="341">
        <f>'Arable margins'!$F$16</f>
        <v>140</v>
      </c>
      <c r="G8" s="341">
        <f>'Arable margins'!$G$16</f>
        <v>335</v>
      </c>
      <c r="H8" s="341">
        <f>'Arable margins'!$H$16</f>
        <v>27.16</v>
      </c>
      <c r="I8" s="341">
        <f>'Arable margins'!$I$16</f>
        <v>107.1</v>
      </c>
      <c r="J8" s="364"/>
      <c r="K8" s="364"/>
      <c r="L8" s="364"/>
      <c r="M8" s="409"/>
      <c r="N8" s="408"/>
      <c r="O8" s="408"/>
      <c r="P8" s="1121" t="s">
        <v>265</v>
      </c>
      <c r="Q8" s="1118" t="s">
        <v>76</v>
      </c>
      <c r="R8" s="1121" t="s">
        <v>265</v>
      </c>
      <c r="S8" s="1118" t="s">
        <v>76</v>
      </c>
      <c r="T8" s="1121" t="s">
        <v>265</v>
      </c>
      <c r="U8" s="1118" t="s">
        <v>76</v>
      </c>
      <c r="V8" s="1121" t="s">
        <v>265</v>
      </c>
      <c r="W8" s="1118" t="s">
        <v>76</v>
      </c>
      <c r="X8" s="364"/>
    </row>
    <row r="9" spans="1:24" ht="15" customHeight="1" x14ac:dyDescent="0.3">
      <c r="A9" s="364"/>
      <c r="B9" s="322"/>
      <c r="C9" s="313" t="s">
        <v>3</v>
      </c>
      <c r="D9" s="319" t="s">
        <v>462</v>
      </c>
      <c r="E9" s="342">
        <f>'Arable margins'!$E$17</f>
        <v>65</v>
      </c>
      <c r="F9" s="342">
        <f>'Arable margins'!$F$17</f>
        <v>70</v>
      </c>
      <c r="G9" s="342">
        <f>'Arable margins'!$G$17</f>
        <v>37.5</v>
      </c>
      <c r="H9" s="317"/>
      <c r="I9" s="317"/>
      <c r="J9" s="364"/>
      <c r="K9" s="364"/>
      <c r="L9" s="364"/>
      <c r="M9" s="409"/>
      <c r="N9" s="408"/>
      <c r="O9" s="408"/>
      <c r="P9" s="1122"/>
      <c r="Q9" s="1119"/>
      <c r="R9" s="1122"/>
      <c r="S9" s="1119"/>
      <c r="T9" s="1122"/>
      <c r="U9" s="1119"/>
      <c r="V9" s="1122"/>
      <c r="W9" s="1119"/>
      <c r="X9" s="364"/>
    </row>
    <row r="10" spans="1:24" ht="15" customHeight="1" x14ac:dyDescent="0.3">
      <c r="A10" s="364"/>
      <c r="B10" s="322"/>
      <c r="C10" s="312" t="s">
        <v>2</v>
      </c>
      <c r="D10" s="320" t="s">
        <v>460</v>
      </c>
      <c r="E10" s="341">
        <f>'Arable margins'!$E$16*'Arable margins'!$E$13</f>
        <v>1336.5</v>
      </c>
      <c r="F10" s="341">
        <f>'Arable margins'!$F$16*'Arable margins'!$F$13</f>
        <v>882</v>
      </c>
      <c r="G10" s="341">
        <f>'Arable margins'!$G$16*'Arable margins'!$G$13</f>
        <v>1172.5</v>
      </c>
      <c r="H10" s="341">
        <f>'Arable margins'!$H$16*'Arable margins'!$H$13</f>
        <v>2118.48</v>
      </c>
      <c r="I10" s="341">
        <f>'Arable margins'!$I$16*'Arable margins'!$I$13</f>
        <v>1285.1999999999998</v>
      </c>
      <c r="J10" s="364"/>
      <c r="K10" s="364"/>
      <c r="L10" s="364"/>
      <c r="M10" s="676"/>
      <c r="N10" s="408"/>
      <c r="O10" s="408"/>
      <c r="P10" s="1123"/>
      <c r="Q10" s="1120"/>
      <c r="R10" s="1123"/>
      <c r="S10" s="1120"/>
      <c r="T10" s="1123"/>
      <c r="U10" s="1120"/>
      <c r="V10" s="1123"/>
      <c r="W10" s="1120"/>
      <c r="X10" s="364"/>
    </row>
    <row r="11" spans="1:24" ht="15" customHeight="1" x14ac:dyDescent="0.3">
      <c r="A11" s="364"/>
      <c r="B11" s="322"/>
      <c r="C11" s="313" t="s">
        <v>3</v>
      </c>
      <c r="D11" s="320" t="s">
        <v>460</v>
      </c>
      <c r="E11" s="342">
        <f>'Arable margins'!$E$17*'Arable margins'!$E$14</f>
        <v>253.5</v>
      </c>
      <c r="F11" s="342">
        <f>'Arable margins'!$F$17*'Arable margins'!$F$14</f>
        <v>245</v>
      </c>
      <c r="G11" s="342">
        <f>'Arable margins'!$G$17*'Arable margins'!$G$14</f>
        <v>97.5</v>
      </c>
      <c r="H11" s="317"/>
      <c r="I11" s="317"/>
      <c r="J11" s="364"/>
      <c r="K11" s="364"/>
      <c r="L11" s="364"/>
      <c r="M11" s="184" t="s">
        <v>271</v>
      </c>
      <c r="N11" s="187"/>
      <c r="O11" s="117" t="s">
        <v>462</v>
      </c>
      <c r="P11" s="677"/>
      <c r="Q11" s="678">
        <f>'Energy margins'!$E$12</f>
        <v>55</v>
      </c>
      <c r="R11" s="679"/>
      <c r="S11" s="678">
        <f>'Energy margins'!$L$12</f>
        <v>55</v>
      </c>
      <c r="T11" s="679"/>
      <c r="U11" s="678">
        <f>'Energy margins'!$S$12</f>
        <v>55</v>
      </c>
      <c r="V11" s="679"/>
      <c r="W11" s="678">
        <f>'Energy margins'!$Z$12</f>
        <v>55</v>
      </c>
      <c r="X11" s="364"/>
    </row>
    <row r="12" spans="1:24" ht="15" customHeight="1" x14ac:dyDescent="0.3">
      <c r="A12" s="364"/>
      <c r="B12" s="680"/>
      <c r="C12" s="329" t="s">
        <v>12</v>
      </c>
      <c r="D12" s="331" t="s">
        <v>471</v>
      </c>
      <c r="E12" s="681">
        <f>E10+E11</f>
        <v>1590</v>
      </c>
      <c r="F12" s="681">
        <f>F10+F11</f>
        <v>1127</v>
      </c>
      <c r="G12" s="681">
        <f>G10+G11</f>
        <v>1270</v>
      </c>
      <c r="H12" s="681">
        <f>H10+H11</f>
        <v>2118.48</v>
      </c>
      <c r="I12" s="681">
        <f>I10+I11</f>
        <v>1285.1999999999998</v>
      </c>
      <c r="J12" s="364"/>
      <c r="K12" s="364"/>
      <c r="L12" s="364"/>
      <c r="M12" s="682"/>
      <c r="N12" s="190"/>
      <c r="O12" s="349" t="s">
        <v>471</v>
      </c>
      <c r="P12" s="683">
        <f>'Energy margins'!$J$14</f>
        <v>8250</v>
      </c>
      <c r="Q12" s="683">
        <f>'Energy margins'!$K$14</f>
        <v>515.625</v>
      </c>
      <c r="R12" s="683">
        <f>'Energy margins'!$Q$14</f>
        <v>9825.4749999999967</v>
      </c>
      <c r="S12" s="683">
        <f>'Energy margins'!$R$14</f>
        <v>614.0921874999998</v>
      </c>
      <c r="T12" s="683">
        <f>'Energy margins'!$X$14</f>
        <v>9474.538333333332</v>
      </c>
      <c r="U12" s="683">
        <f>'Energy margins'!$Y$14</f>
        <v>592.15864583333325</v>
      </c>
      <c r="V12" s="683">
        <f>'Energy margins'!$AE$14</f>
        <v>12978.16666666667</v>
      </c>
      <c r="W12" s="683">
        <f>'Energy margins'!$AF$14</f>
        <v>811.13541666666686</v>
      </c>
      <c r="X12" s="364"/>
    </row>
    <row r="13" spans="1:24" ht="15" customHeight="1" x14ac:dyDescent="0.3">
      <c r="A13" s="364"/>
      <c r="B13" s="323" t="str">
        <f>'Arable margins'!C18</f>
        <v>Single farm payment</v>
      </c>
      <c r="C13" s="314"/>
      <c r="D13" s="331" t="s">
        <v>471</v>
      </c>
      <c r="E13" s="684">
        <f>'Arable margins'!$E$18</f>
        <v>220</v>
      </c>
      <c r="F13" s="684">
        <f>'Arable margins'!$F$18</f>
        <v>220</v>
      </c>
      <c r="G13" s="684">
        <f>'Arable margins'!$G$18</f>
        <v>220</v>
      </c>
      <c r="H13" s="684">
        <f>'Arable margins'!$H$18</f>
        <v>220</v>
      </c>
      <c r="I13" s="684">
        <f>'Arable margins'!$I$18</f>
        <v>220</v>
      </c>
      <c r="J13" s="364"/>
      <c r="K13" s="364"/>
      <c r="L13" s="364"/>
      <c r="M13" s="189" t="str">
        <f>'Energy margins'!C15</f>
        <v>Planting subsidy</v>
      </c>
      <c r="N13" s="685"/>
      <c r="O13" s="761" t="s">
        <v>460</v>
      </c>
      <c r="P13" s="686">
        <f>'Energy margins'!$J$15</f>
        <v>0</v>
      </c>
      <c r="Q13" s="686">
        <f>'Energy margins'!$K$15</f>
        <v>0</v>
      </c>
      <c r="R13" s="687">
        <f>'Energy margins'!$Q$15</f>
        <v>0</v>
      </c>
      <c r="S13" s="688">
        <f>'Energy margins'!$R$15</f>
        <v>0</v>
      </c>
      <c r="T13" s="688">
        <f>'Energy margins'!$X$15</f>
        <v>0</v>
      </c>
      <c r="U13" s="688">
        <f>'Energy margins'!$Y$15</f>
        <v>0</v>
      </c>
      <c r="V13" s="688">
        <f>'Energy margins'!$AE$15</f>
        <v>0</v>
      </c>
      <c r="W13" s="688">
        <f>'Energy margins'!$AF$15</f>
        <v>0</v>
      </c>
      <c r="X13" s="364"/>
    </row>
    <row r="14" spans="1:24" ht="15" customHeight="1" x14ac:dyDescent="0.3">
      <c r="A14" s="364"/>
      <c r="B14" s="321" t="s">
        <v>272</v>
      </c>
      <c r="C14" s="315" t="s">
        <v>2</v>
      </c>
      <c r="D14" s="318" t="s">
        <v>462</v>
      </c>
      <c r="E14" s="341">
        <f>'Arable margins'!$E$19</f>
        <v>188.66666666666666</v>
      </c>
      <c r="F14" s="341">
        <f>'Arable margins'!$F$19</f>
        <v>174.92063492063494</v>
      </c>
      <c r="G14" s="341">
        <f>'Arable margins'!$G$19</f>
        <v>397.85714285714283</v>
      </c>
      <c r="H14" s="341">
        <f>'Arable margins'!$H$19</f>
        <v>29.980512820512821</v>
      </c>
      <c r="I14" s="341">
        <f>'Arable margins'!$I$19</f>
        <v>125.43333333333332</v>
      </c>
      <c r="J14" s="364"/>
      <c r="K14" s="364"/>
      <c r="L14" s="364"/>
      <c r="M14" s="191" t="str">
        <f>'Energy margins'!C16</f>
        <v>Single Farm Payment</v>
      </c>
      <c r="N14" s="685"/>
      <c r="O14" s="348" t="s">
        <v>471</v>
      </c>
      <c r="P14" s="689">
        <f>'Energy margins'!$J$16</f>
        <v>3520</v>
      </c>
      <c r="Q14" s="689">
        <f>'Energy margins'!$K$16</f>
        <v>220</v>
      </c>
      <c r="R14" s="690">
        <f>'Energy margins'!$Q$16</f>
        <v>3520</v>
      </c>
      <c r="S14" s="691">
        <f>'Energy margins'!$R$16</f>
        <v>220</v>
      </c>
      <c r="T14" s="691">
        <f>'Energy margins'!$X$16</f>
        <v>3520</v>
      </c>
      <c r="U14" s="691">
        <f>'Energy margins'!$Y$16</f>
        <v>220</v>
      </c>
      <c r="V14" s="691">
        <f>'Energy margins'!$AE$16</f>
        <v>3520</v>
      </c>
      <c r="W14" s="691">
        <f>'Energy margins'!$AF$16</f>
        <v>220</v>
      </c>
      <c r="X14" s="364"/>
    </row>
    <row r="15" spans="1:24" ht="15" customHeight="1" x14ac:dyDescent="0.3">
      <c r="A15" s="364"/>
      <c r="B15" s="322"/>
      <c r="C15" s="315" t="s">
        <v>3</v>
      </c>
      <c r="D15" s="319" t="s">
        <v>462</v>
      </c>
      <c r="E15" s="692">
        <f>'Arable margins'!$E$20</f>
        <v>65</v>
      </c>
      <c r="F15" s="692">
        <f>'Arable margins'!$F$20</f>
        <v>70</v>
      </c>
      <c r="G15" s="692">
        <f>'Arable margins'!G20</f>
        <v>37.5</v>
      </c>
      <c r="H15" s="693"/>
      <c r="I15" s="693"/>
      <c r="J15" s="364"/>
      <c r="K15" s="364"/>
      <c r="L15" s="364"/>
      <c r="M15" s="694"/>
      <c r="N15" s="695"/>
      <c r="O15" s="695"/>
      <c r="P15" s="695"/>
      <c r="Q15" s="695"/>
      <c r="R15" s="695"/>
      <c r="S15" s="695"/>
      <c r="T15" s="694"/>
      <c r="U15" s="695"/>
      <c r="V15" s="695"/>
      <c r="W15" s="696"/>
      <c r="X15" s="364"/>
    </row>
    <row r="16" spans="1:24" ht="15" customHeight="1" x14ac:dyDescent="0.3">
      <c r="A16" s="364"/>
      <c r="B16" s="322"/>
      <c r="C16" s="312" t="s">
        <v>2</v>
      </c>
      <c r="D16" s="320" t="s">
        <v>460</v>
      </c>
      <c r="E16" s="342">
        <f>'Arable margins'!$E$21</f>
        <v>1556.5</v>
      </c>
      <c r="F16" s="342">
        <f>'Arable margins'!$F$21</f>
        <v>1102</v>
      </c>
      <c r="G16" s="342">
        <f>'Arable margins'!$G$21</f>
        <v>1392.5</v>
      </c>
      <c r="H16" s="342">
        <f>'Arable margins'!$H$21</f>
        <v>2338.48</v>
      </c>
      <c r="I16" s="342">
        <f>'Arable margins'!$I$21</f>
        <v>1505.1999999999998</v>
      </c>
      <c r="J16" s="364"/>
      <c r="K16" s="364"/>
      <c r="L16" s="364"/>
      <c r="M16" s="184" t="s">
        <v>272</v>
      </c>
      <c r="N16" s="187"/>
      <c r="O16" s="117" t="s">
        <v>462</v>
      </c>
      <c r="P16" s="679"/>
      <c r="Q16" s="678">
        <f>'Energy margins'!$K$17</f>
        <v>78.466666666666669</v>
      </c>
      <c r="R16" s="679"/>
      <c r="S16" s="678">
        <f>'Energy margins'!$R$17</f>
        <v>74.703882000615764</v>
      </c>
      <c r="T16" s="679"/>
      <c r="U16" s="678">
        <f>'Energy margins'!$Y$17</f>
        <v>75.433713304940269</v>
      </c>
      <c r="V16" s="679"/>
      <c r="W16" s="678">
        <f>'Energy margins'!$AF$17</f>
        <v>69.917361209210341</v>
      </c>
      <c r="X16" s="364"/>
    </row>
    <row r="17" spans="1:24" ht="15" customHeight="1" x14ac:dyDescent="0.3">
      <c r="A17" s="364"/>
      <c r="B17" s="322"/>
      <c r="C17" s="313" t="s">
        <v>3</v>
      </c>
      <c r="D17" s="320" t="s">
        <v>460</v>
      </c>
      <c r="E17" s="342">
        <f>'Arable margins'!$E$22</f>
        <v>253.5</v>
      </c>
      <c r="F17" s="342">
        <f>'Arable margins'!$F$22</f>
        <v>245</v>
      </c>
      <c r="G17" s="342">
        <f>'Arable margins'!$G$22</f>
        <v>97.5</v>
      </c>
      <c r="H17" s="317"/>
      <c r="I17" s="317"/>
      <c r="J17" s="364"/>
      <c r="K17" s="364"/>
      <c r="L17" s="364"/>
      <c r="M17" s="682"/>
      <c r="N17" s="188"/>
      <c r="O17" s="349" t="s">
        <v>471</v>
      </c>
      <c r="P17" s="697">
        <f>'Energy margins'!$J$18</f>
        <v>11770</v>
      </c>
      <c r="Q17" s="697">
        <f>'Energy margins'!$K$18</f>
        <v>735.625</v>
      </c>
      <c r="R17" s="697">
        <f>'Energy margins'!$Q$18</f>
        <v>13345.474999999997</v>
      </c>
      <c r="S17" s="697">
        <f>'Energy margins'!$R$18</f>
        <v>834.0921874999998</v>
      </c>
      <c r="T17" s="697">
        <f>'Energy margins'!$X$18</f>
        <v>12994.538333333332</v>
      </c>
      <c r="U17" s="697">
        <f>'Energy margins'!$Y$18</f>
        <v>812.15864583333325</v>
      </c>
      <c r="V17" s="697">
        <f>'Energy margins'!$AE$18</f>
        <v>16498.166666666672</v>
      </c>
      <c r="W17" s="697">
        <f>'Energy margins'!$AF$18</f>
        <v>1031.135416666667</v>
      </c>
      <c r="X17" s="364"/>
    </row>
    <row r="18" spans="1:24" ht="15" customHeight="1" x14ac:dyDescent="0.3">
      <c r="A18" s="364"/>
      <c r="B18" s="680"/>
      <c r="C18" s="329" t="s">
        <v>12</v>
      </c>
      <c r="D18" s="331" t="s">
        <v>471</v>
      </c>
      <c r="E18" s="344">
        <f>'Arable margins'!$E$23</f>
        <v>1810</v>
      </c>
      <c r="F18" s="344">
        <f>'Arable margins'!$F$23</f>
        <v>1347</v>
      </c>
      <c r="G18" s="344">
        <f>'Arable margins'!$G$23</f>
        <v>1490</v>
      </c>
      <c r="H18" s="344">
        <f>'Arable margins'!$H$23</f>
        <v>2338.48</v>
      </c>
      <c r="I18" s="344">
        <f>'Arable margins'!$I$23</f>
        <v>1505.1999999999998</v>
      </c>
      <c r="J18" s="364"/>
      <c r="K18" s="364"/>
      <c r="L18" s="364"/>
      <c r="M18" s="698"/>
      <c r="N18" s="699"/>
      <c r="O18" s="699"/>
      <c r="P18" s="699"/>
      <c r="Q18" s="699"/>
      <c r="R18" s="699"/>
      <c r="S18" s="699"/>
      <c r="T18" s="699"/>
      <c r="U18" s="699"/>
      <c r="V18" s="699"/>
      <c r="W18" s="700"/>
      <c r="X18" s="364"/>
    </row>
    <row r="19" spans="1:24" ht="15" customHeight="1" x14ac:dyDescent="0.3">
      <c r="A19" s="364"/>
      <c r="B19" s="701"/>
      <c r="C19" s="702"/>
      <c r="D19" s="703"/>
      <c r="E19" s="703"/>
      <c r="F19" s="703"/>
      <c r="G19" s="703"/>
      <c r="H19" s="703"/>
      <c r="I19" s="704"/>
      <c r="J19" s="364"/>
      <c r="K19" s="364"/>
      <c r="L19" s="364"/>
      <c r="M19" s="192" t="str">
        <f>'Energy margins'!B41</f>
        <v>Total establishment costs</v>
      </c>
      <c r="N19" s="115"/>
      <c r="O19" s="117" t="s">
        <v>462</v>
      </c>
      <c r="P19" s="679"/>
      <c r="Q19" s="678">
        <f>'Energy margins'!$K$41</f>
        <v>11.005515555555554</v>
      </c>
      <c r="R19" s="679"/>
      <c r="S19" s="678">
        <f>'Energy margins'!$R$41</f>
        <v>11.204687881925985</v>
      </c>
      <c r="T19" s="679"/>
      <c r="U19" s="678">
        <f>'Energy margins'!$Y$41</f>
        <v>29.703711931082658</v>
      </c>
      <c r="V19" s="679"/>
      <c r="W19" s="678">
        <f>'Energy margins'!$AF$41</f>
        <v>8.4932736262183912</v>
      </c>
      <c r="X19" s="364"/>
    </row>
    <row r="20" spans="1:24" ht="15" customHeight="1" x14ac:dyDescent="0.3">
      <c r="A20" s="364"/>
      <c r="B20" s="324" t="s">
        <v>238</v>
      </c>
      <c r="C20" s="312" t="str">
        <f>'Arable margins'!C43</f>
        <v>Main crop</v>
      </c>
      <c r="D20" s="318" t="s">
        <v>462</v>
      </c>
      <c r="E20" s="332">
        <f>'Arable margins'!$E$43</f>
        <v>81.310816373817985</v>
      </c>
      <c r="F20" s="332">
        <f>'Arable margins'!$F$43</f>
        <v>64.491869209963767</v>
      </c>
      <c r="G20" s="332">
        <f>'Arable margins'!$G$43</f>
        <v>152.18829140720305</v>
      </c>
      <c r="H20" s="332">
        <f>'Arable margins'!$H$43</f>
        <v>10.177381246574305</v>
      </c>
      <c r="I20" s="332">
        <f>'Arable margins'!I43</f>
        <v>44.042916666666663</v>
      </c>
      <c r="J20" s="364"/>
      <c r="K20" s="364"/>
      <c r="L20" s="364"/>
      <c r="M20" s="185"/>
      <c r="N20" s="116"/>
      <c r="O20" s="349" t="s">
        <v>471</v>
      </c>
      <c r="P20" s="697">
        <f>'Energy margins'!$J$42</f>
        <v>1642.4049999999997</v>
      </c>
      <c r="Q20" s="697">
        <f>'Energy margins'!$K$42</f>
        <v>103.17670833333332</v>
      </c>
      <c r="R20" s="697">
        <f>'Energy margins'!$Q$42</f>
        <v>1993.8119999999999</v>
      </c>
      <c r="S20" s="697">
        <f>'Energy margins'!$R$42</f>
        <v>125.10384166666667</v>
      </c>
      <c r="T20" s="697">
        <f>'Energy margins'!$X$42</f>
        <v>5106.0919999999996</v>
      </c>
      <c r="U20" s="697">
        <f>'Energy margins'!$Y$42</f>
        <v>319.80563333333333</v>
      </c>
      <c r="V20" s="697">
        <f>'Energy margins'!$AE$42</f>
        <v>1992.2819999999999</v>
      </c>
      <c r="W20" s="697">
        <f>'Energy margins'!$AF$42</f>
        <v>125.25809166666667</v>
      </c>
      <c r="X20" s="364"/>
    </row>
    <row r="21" spans="1:24" ht="15" customHeight="1" x14ac:dyDescent="0.3">
      <c r="A21" s="364"/>
      <c r="B21" s="325"/>
      <c r="C21" s="316" t="str">
        <f>'Arable margins'!C44</f>
        <v>Straw</v>
      </c>
      <c r="D21" s="319" t="s">
        <v>462</v>
      </c>
      <c r="E21" s="333">
        <f>'Arable margins'!$E$44</f>
        <v>3.5</v>
      </c>
      <c r="F21" s="333">
        <f>'Arable margins'!$F$44</f>
        <v>3.5</v>
      </c>
      <c r="G21" s="333">
        <f>'Arable margins'!$G$44</f>
        <v>3.4999999999999996</v>
      </c>
      <c r="H21" s="336"/>
      <c r="I21" s="336"/>
      <c r="J21" s="364"/>
      <c r="K21" s="364"/>
      <c r="L21" s="364"/>
      <c r="M21" s="192" t="str">
        <f>'Energy margins'!B63</f>
        <v>Total recurring costs</v>
      </c>
      <c r="N21" s="115"/>
      <c r="O21" s="117" t="s">
        <v>462</v>
      </c>
      <c r="P21" s="679"/>
      <c r="Q21" s="678">
        <f>'Energy margins'!$K$63</f>
        <v>23.058666666666667</v>
      </c>
      <c r="R21" s="679"/>
      <c r="S21" s="678">
        <f>'Energy margins'!$R$63</f>
        <v>22.138684728558513</v>
      </c>
      <c r="T21" s="679"/>
      <c r="U21" s="678">
        <f>'Energy margins'!$Y$63</f>
        <v>27.81851921368904</v>
      </c>
      <c r="V21" s="679"/>
      <c r="W21" s="678">
        <f>'Energy margins'!$AF$63</f>
        <v>26.370300889956205</v>
      </c>
      <c r="X21" s="364"/>
    </row>
    <row r="22" spans="1:24" ht="15" customHeight="1" x14ac:dyDescent="0.3">
      <c r="A22" s="364"/>
      <c r="B22" s="325"/>
      <c r="C22" s="312" t="str">
        <f>'Arable margins'!C45</f>
        <v>Main crop</v>
      </c>
      <c r="D22" s="320" t="s">
        <v>460</v>
      </c>
      <c r="E22" s="332">
        <f>'Arable margins'!$E$45</f>
        <v>670.81423508399837</v>
      </c>
      <c r="F22" s="332">
        <f>'Arable margins'!$F$45</f>
        <v>406.29877602277168</v>
      </c>
      <c r="G22" s="332">
        <f>'Arable margins'!$G$45</f>
        <v>532.65901992521071</v>
      </c>
      <c r="H22" s="332">
        <f>'Arable margins'!$H$45</f>
        <v>793.83573723279574</v>
      </c>
      <c r="I22" s="332">
        <f>'Arable margins'!$I$45</f>
        <v>528.51499999999999</v>
      </c>
      <c r="J22" s="364"/>
      <c r="K22" s="364"/>
      <c r="L22" s="364"/>
      <c r="M22" s="185"/>
      <c r="N22" s="116"/>
      <c r="O22" s="349" t="s">
        <v>471</v>
      </c>
      <c r="P22" s="697">
        <f>'Energy margins'!$J$64</f>
        <v>3242.625</v>
      </c>
      <c r="Q22" s="697">
        <f>'Energy margins'!$K$64</f>
        <v>216.17500000000001</v>
      </c>
      <c r="R22" s="697">
        <f>'Energy margins'!$Q$64</f>
        <v>3707.78</v>
      </c>
      <c r="S22" s="697">
        <f>'Energy margins'!$R$64</f>
        <v>247.18533333333335</v>
      </c>
      <c r="T22" s="697">
        <f>'Energy margins'!$X$64</f>
        <v>4492.63</v>
      </c>
      <c r="U22" s="697">
        <f>'Energy margins'!$Y$64</f>
        <v>299.50866666666667</v>
      </c>
      <c r="V22" s="697">
        <f>'Energy margins'!$AE$64</f>
        <v>5853.7300000000005</v>
      </c>
      <c r="W22" s="697">
        <f>'Energy margins'!$AF$64</f>
        <v>388.90700000000004</v>
      </c>
      <c r="X22" s="364"/>
    </row>
    <row r="23" spans="1:24" ht="15" customHeight="1" x14ac:dyDescent="0.3">
      <c r="A23" s="364"/>
      <c r="B23" s="325"/>
      <c r="C23" s="313" t="str">
        <f>'Arable margins'!C46</f>
        <v>Straw</v>
      </c>
      <c r="D23" s="320" t="s">
        <v>460</v>
      </c>
      <c r="E23" s="334">
        <f>'Arable margins'!$E$46</f>
        <v>13.65</v>
      </c>
      <c r="F23" s="334">
        <f>'Arable margins'!$F$46</f>
        <v>12.25</v>
      </c>
      <c r="G23" s="334">
        <f>'Arable margins'!$G$46</f>
        <v>9.1</v>
      </c>
      <c r="H23" s="335"/>
      <c r="I23" s="335"/>
      <c r="J23" s="364"/>
      <c r="K23" s="364"/>
      <c r="L23" s="364"/>
      <c r="M23" s="184" t="str">
        <f>'Energy margins'!B68</f>
        <v>Total costs</v>
      </c>
      <c r="N23" s="187"/>
      <c r="O23" s="117" t="s">
        <v>462</v>
      </c>
      <c r="P23" s="679"/>
      <c r="Q23" s="678">
        <f>'Energy margins'!$K$68</f>
        <v>35.197515555555562</v>
      </c>
      <c r="R23" s="679"/>
      <c r="S23" s="678">
        <f>'Energy margins'!$R$68</f>
        <v>34.29498054801423</v>
      </c>
      <c r="T23" s="679"/>
      <c r="U23" s="678">
        <f>'Energy margins'!$Y$68</f>
        <v>58.509086616885291</v>
      </c>
      <c r="V23" s="679"/>
      <c r="W23" s="678">
        <f>'Energy margins'!$AF$68</f>
        <v>35.584015256392142</v>
      </c>
      <c r="X23" s="364"/>
    </row>
    <row r="24" spans="1:24" ht="15" customHeight="1" x14ac:dyDescent="0.3">
      <c r="A24" s="364"/>
      <c r="B24" s="705"/>
      <c r="C24" s="326" t="str">
        <f>'Arable margins'!C47</f>
        <v>Total</v>
      </c>
      <c r="D24" s="331" t="s">
        <v>471</v>
      </c>
      <c r="E24" s="347">
        <f>'Arable margins'!$E$47</f>
        <v>684.46423508399835</v>
      </c>
      <c r="F24" s="347">
        <f>'Arable margins'!$F$47</f>
        <v>418.54877602277168</v>
      </c>
      <c r="G24" s="347">
        <f>'Arable margins'!$G$47</f>
        <v>541.75901992521074</v>
      </c>
      <c r="H24" s="347">
        <f>'Arable margins'!$H$47</f>
        <v>793.83573723279574</v>
      </c>
      <c r="I24" s="347">
        <f>'Arable margins'!$I$47</f>
        <v>528.51499999999999</v>
      </c>
      <c r="J24" s="364"/>
      <c r="K24" s="364"/>
      <c r="L24" s="364"/>
      <c r="M24" s="682"/>
      <c r="N24" s="188"/>
      <c r="O24" s="349" t="s">
        <v>471</v>
      </c>
      <c r="P24" s="697">
        <f>'Energy margins'!$J$69</f>
        <v>5055.03</v>
      </c>
      <c r="Q24" s="697">
        <f>'Energy margins'!$K$69</f>
        <v>329.97670833333336</v>
      </c>
      <c r="R24" s="697">
        <f>'Energy margins'!$Q$69</f>
        <v>5871.5920000000006</v>
      </c>
      <c r="S24" s="697">
        <f>'Energy margins'!$R$69</f>
        <v>382.914175</v>
      </c>
      <c r="T24" s="697">
        <f>'Energy margins'!$X$69</f>
        <v>9768.7219999999998</v>
      </c>
      <c r="U24" s="697">
        <f>'Energy margins'!$Y$69</f>
        <v>629.9393</v>
      </c>
      <c r="V24" s="697">
        <f>'Energy margins'!$AE$69</f>
        <v>8016.0120000000006</v>
      </c>
      <c r="W24" s="697">
        <f>'Energy margins'!$AF$69</f>
        <v>524.79009166666674</v>
      </c>
      <c r="X24" s="364"/>
    </row>
    <row r="25" spans="1:24" ht="15" customHeight="1" x14ac:dyDescent="0.3">
      <c r="A25" s="364"/>
      <c r="B25" s="321" t="s">
        <v>241</v>
      </c>
      <c r="C25" s="315" t="str">
        <f>'Arable margins'!C72</f>
        <v>Main crop</v>
      </c>
      <c r="D25" s="318" t="s">
        <v>462</v>
      </c>
      <c r="E25" s="337">
        <f>'Arable margins'!$E$72</f>
        <v>87.484848484848484</v>
      </c>
      <c r="F25" s="337">
        <f>'Arable margins'!$F$72</f>
        <v>103.82380952380952</v>
      </c>
      <c r="G25" s="337">
        <f>'Arable margins'!$G$72</f>
        <v>145.05428571428573</v>
      </c>
      <c r="H25" s="337">
        <f>'Arable margins'!$H$72</f>
        <v>10.782435897435898</v>
      </c>
      <c r="I25" s="337">
        <f>'Arable margins'!$I$72</f>
        <v>46.033333333333339</v>
      </c>
      <c r="J25" s="364"/>
      <c r="K25" s="364"/>
      <c r="L25" s="364"/>
      <c r="M25" s="694"/>
      <c r="N25" s="695"/>
      <c r="O25" s="695"/>
      <c r="P25" s="706"/>
      <c r="Q25" s="706"/>
      <c r="R25" s="706"/>
      <c r="S25" s="706"/>
      <c r="T25" s="706"/>
      <c r="U25" s="706"/>
      <c r="V25" s="706"/>
      <c r="W25" s="707"/>
      <c r="X25" s="364"/>
    </row>
    <row r="26" spans="1:24" ht="15" customHeight="1" x14ac:dyDescent="0.3">
      <c r="A26" s="364"/>
      <c r="B26" s="322"/>
      <c r="C26" s="315" t="str">
        <f>'Arable margins'!C73</f>
        <v>Straw</v>
      </c>
      <c r="D26" s="319" t="s">
        <v>462</v>
      </c>
      <c r="E26" s="338">
        <f>'Arable margins'!$E$73</f>
        <v>30.658974358974358</v>
      </c>
      <c r="F26" s="338">
        <f>'Arable margins'!$F$73</f>
        <v>34.162857142857142</v>
      </c>
      <c r="G26" s="338">
        <f>'Arable margins'!$G$73</f>
        <v>43.763186813186813</v>
      </c>
      <c r="H26" s="339"/>
      <c r="I26" s="339"/>
      <c r="J26" s="364"/>
      <c r="K26" s="364"/>
      <c r="L26" s="364"/>
      <c r="M26" s="184" t="s">
        <v>275</v>
      </c>
      <c r="N26" s="187"/>
      <c r="O26" s="117" t="s">
        <v>462</v>
      </c>
      <c r="P26" s="679"/>
      <c r="Q26" s="678">
        <f>Q27/'Energy margins'!$K$10</f>
        <v>19.802484444444442</v>
      </c>
      <c r="R26" s="679"/>
      <c r="S26" s="678">
        <f>S27/'Energy margins'!$R$10</f>
        <v>20.705019451985773</v>
      </c>
      <c r="T26" s="679"/>
      <c r="U26" s="678">
        <f>U27/'Energy margins'!$Y$10</f>
        <v>-3.5090866168852983</v>
      </c>
      <c r="V26" s="679"/>
      <c r="W26" s="678">
        <f>W27/'Energy margins'!$AF$10</f>
        <v>19.415984743607865</v>
      </c>
      <c r="X26" s="364"/>
    </row>
    <row r="27" spans="1:24" ht="15" customHeight="1" x14ac:dyDescent="0.3">
      <c r="A27" s="364"/>
      <c r="B27" s="322"/>
      <c r="C27" s="312" t="str">
        <f>'Arable margins'!C74</f>
        <v>Main crop</v>
      </c>
      <c r="D27" s="320" t="s">
        <v>460</v>
      </c>
      <c r="E27" s="337">
        <f>'Arable margins'!$E$74</f>
        <v>721.75</v>
      </c>
      <c r="F27" s="337">
        <f>'Arable margins'!$F$74</f>
        <v>654.08999999999992</v>
      </c>
      <c r="G27" s="337">
        <f>'Arable margins'!$G$74</f>
        <v>507.69</v>
      </c>
      <c r="H27" s="337">
        <f>'Arable margins'!$H$74</f>
        <v>841.03</v>
      </c>
      <c r="I27" s="337">
        <f>'Arable margins'!$I$74</f>
        <v>552.40000000000009</v>
      </c>
      <c r="J27" s="364"/>
      <c r="K27" s="364"/>
      <c r="L27" s="364"/>
      <c r="M27" s="682"/>
      <c r="N27" s="188"/>
      <c r="O27" s="349" t="s">
        <v>471</v>
      </c>
      <c r="P27" s="708">
        <f t="shared" ref="P27:W27" si="0">P29-SUM(P13:P14)</f>
        <v>3194.9700000000003</v>
      </c>
      <c r="Q27" s="708">
        <f t="shared" si="0"/>
        <v>185.64829166666664</v>
      </c>
      <c r="R27" s="708">
        <f t="shared" si="0"/>
        <v>3953.8829999999962</v>
      </c>
      <c r="S27" s="708">
        <f t="shared" si="0"/>
        <v>231.1780124999998</v>
      </c>
      <c r="T27" s="708">
        <f t="shared" si="0"/>
        <v>-294.1836666666677</v>
      </c>
      <c r="U27" s="708">
        <f t="shared" si="0"/>
        <v>-37.78065416666675</v>
      </c>
      <c r="V27" s="708">
        <f t="shared" si="0"/>
        <v>4962.1546666666709</v>
      </c>
      <c r="W27" s="708">
        <f t="shared" si="0"/>
        <v>286.34532500000023</v>
      </c>
      <c r="X27" s="364"/>
    </row>
    <row r="28" spans="1:24" ht="15" customHeight="1" x14ac:dyDescent="0.3">
      <c r="A28" s="364"/>
      <c r="B28" s="322"/>
      <c r="C28" s="313" t="str">
        <f>'Arable margins'!C75</f>
        <v>Straw</v>
      </c>
      <c r="D28" s="320" t="s">
        <v>460</v>
      </c>
      <c r="E28" s="338">
        <f>'Arable margins'!$E$75</f>
        <v>119.57</v>
      </c>
      <c r="F28" s="338">
        <f>'Arable margins'!$F$75</f>
        <v>119.57</v>
      </c>
      <c r="G28" s="338">
        <f>'Arable margins'!$G$75</f>
        <v>113.78428571428572</v>
      </c>
      <c r="H28" s="339"/>
      <c r="I28" s="339"/>
      <c r="J28" s="364"/>
      <c r="K28" s="364"/>
      <c r="L28" s="364"/>
      <c r="M28" s="184" t="s">
        <v>276</v>
      </c>
      <c r="N28" s="187"/>
      <c r="O28" s="117" t="s">
        <v>462</v>
      </c>
      <c r="P28" s="679"/>
      <c r="Q28" s="678">
        <f>'Energy margins'!$K$70</f>
        <v>43.269151111111107</v>
      </c>
      <c r="R28" s="679"/>
      <c r="S28" s="678">
        <f>'Energy margins'!$R$70</f>
        <v>40.408901452601526</v>
      </c>
      <c r="T28" s="679"/>
      <c r="U28" s="678">
        <f>'Energy margins'!$Y$70</f>
        <v>16.924626688054978</v>
      </c>
      <c r="V28" s="679"/>
      <c r="W28" s="678">
        <f>'Energy margins'!$AF$70</f>
        <v>34.333345952818199</v>
      </c>
      <c r="X28" s="364"/>
    </row>
    <row r="29" spans="1:24" ht="15" customHeight="1" x14ac:dyDescent="0.3">
      <c r="A29" s="364"/>
      <c r="B29" s="680"/>
      <c r="C29" s="326" t="str">
        <f>'Arable margins'!C76</f>
        <v>Total</v>
      </c>
      <c r="D29" s="331" t="s">
        <v>471</v>
      </c>
      <c r="E29" s="340">
        <f>'Arable margins'!$E$76</f>
        <v>841.31999999999994</v>
      </c>
      <c r="F29" s="340">
        <f>'Arable margins'!$F$76</f>
        <v>773.65999999999985</v>
      </c>
      <c r="G29" s="340">
        <f>'Arable margins'!$G$76</f>
        <v>621.47428571428577</v>
      </c>
      <c r="H29" s="340">
        <f>'Arable margins'!$H$76</f>
        <v>841.03</v>
      </c>
      <c r="I29" s="340">
        <f>'Arable margins'!$I$76</f>
        <v>552.40000000000009</v>
      </c>
      <c r="J29" s="364"/>
      <c r="K29" s="364"/>
      <c r="L29" s="364"/>
      <c r="M29" s="682"/>
      <c r="N29" s="188"/>
      <c r="O29" s="349" t="s">
        <v>471</v>
      </c>
      <c r="P29" s="697">
        <f>'Energy margins'!$J$71</f>
        <v>6714.97</v>
      </c>
      <c r="Q29" s="697">
        <f>'Energy margins'!$K$71</f>
        <v>405.64829166666664</v>
      </c>
      <c r="R29" s="697">
        <f>'Energy margins'!$Q$71</f>
        <v>7473.8829999999962</v>
      </c>
      <c r="S29" s="697">
        <f>'Energy margins'!$R$71</f>
        <v>451.1780124999998</v>
      </c>
      <c r="T29" s="697">
        <f>'Energy margins'!$X$71</f>
        <v>3225.8163333333323</v>
      </c>
      <c r="U29" s="697">
        <f>'Energy margins'!$Y$71</f>
        <v>182.21934583333325</v>
      </c>
      <c r="V29" s="697">
        <f>'Energy margins'!$AE$71</f>
        <v>8482.1546666666709</v>
      </c>
      <c r="W29" s="697">
        <f>'Energy margins'!$AF$71</f>
        <v>506.34532500000023</v>
      </c>
      <c r="X29" s="364"/>
    </row>
    <row r="30" spans="1:24" ht="15" customHeight="1" x14ac:dyDescent="0.3">
      <c r="A30" s="364"/>
      <c r="B30" s="324" t="str">
        <f>'Arable margins'!B79</f>
        <v>Total costs</v>
      </c>
      <c r="C30" s="327" t="str">
        <f>'Arable margins'!C79</f>
        <v>Main crop</v>
      </c>
      <c r="D30" s="318" t="s">
        <v>462</v>
      </c>
      <c r="E30" s="341">
        <f>'Arable margins'!$E$79</f>
        <v>168.79566485866647</v>
      </c>
      <c r="F30" s="341">
        <f>'Arable margins'!$F$79</f>
        <v>168.31567873377327</v>
      </c>
      <c r="G30" s="341">
        <f>'Arable margins'!$G$79</f>
        <v>297.24257712148881</v>
      </c>
      <c r="H30" s="341">
        <f>'Arable margins'!$H$79</f>
        <v>20.959817144010202</v>
      </c>
      <c r="I30" s="341">
        <f>'Arable margins'!$I$79</f>
        <v>90.076250000000002</v>
      </c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</row>
    <row r="31" spans="1:24" ht="15" customHeight="1" x14ac:dyDescent="0.3">
      <c r="A31" s="364"/>
      <c r="B31" s="325"/>
      <c r="C31" s="328" t="str">
        <f>'Arable margins'!C80</f>
        <v>Straw</v>
      </c>
      <c r="D31" s="319" t="s">
        <v>462</v>
      </c>
      <c r="E31" s="342">
        <f>'Arable margins'!$E$80</f>
        <v>34.158974358974362</v>
      </c>
      <c r="F31" s="342">
        <f>'Arable margins'!$F$80</f>
        <v>37.662857142857142</v>
      </c>
      <c r="G31" s="342">
        <f>'Arable margins'!$G$80</f>
        <v>47.263186813186813</v>
      </c>
      <c r="H31" s="343"/>
      <c r="I31" s="343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</row>
    <row r="32" spans="1:24" ht="15" customHeight="1" x14ac:dyDescent="0.3">
      <c r="A32" s="364"/>
      <c r="B32" s="325"/>
      <c r="C32" s="327" t="str">
        <f>'Arable margins'!C81</f>
        <v>Main crop</v>
      </c>
      <c r="D32" s="320" t="s">
        <v>460</v>
      </c>
      <c r="E32" s="341">
        <f>'Arable margins'!$E$81</f>
        <v>1392.5642350839985</v>
      </c>
      <c r="F32" s="341">
        <f>'Arable margins'!$F$81</f>
        <v>1060.3887760227717</v>
      </c>
      <c r="G32" s="341">
        <f>'Arable margins'!$G$81</f>
        <v>1040.3490199252108</v>
      </c>
      <c r="H32" s="341">
        <f>'Arable margins'!$H$81</f>
        <v>1634.8657372327957</v>
      </c>
      <c r="I32" s="341">
        <f>'Arable margins'!$I$81</f>
        <v>1080.915</v>
      </c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</row>
    <row r="33" spans="1:24" ht="15" customHeight="1" x14ac:dyDescent="0.3">
      <c r="A33" s="364"/>
      <c r="B33" s="325"/>
      <c r="C33" s="328" t="str">
        <f>'Arable margins'!C82</f>
        <v>Straw</v>
      </c>
      <c r="D33" s="320" t="s">
        <v>460</v>
      </c>
      <c r="E33" s="342">
        <f>'Arable margins'!$E$82</f>
        <v>133.22</v>
      </c>
      <c r="F33" s="342">
        <f>'Arable margins'!$F$82</f>
        <v>131.82</v>
      </c>
      <c r="G33" s="342">
        <f>'Arable margins'!$G$82</f>
        <v>122.88428571428571</v>
      </c>
      <c r="H33" s="317"/>
      <c r="I33" s="317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</row>
    <row r="34" spans="1:24" ht="15" customHeight="1" x14ac:dyDescent="0.3">
      <c r="A34" s="364"/>
      <c r="B34" s="329"/>
      <c r="C34" s="330" t="str">
        <f>'Arable margins'!C83</f>
        <v>Total</v>
      </c>
      <c r="D34" s="331" t="s">
        <v>471</v>
      </c>
      <c r="E34" s="344">
        <f>'Arable margins'!$E$83</f>
        <v>1525.7842350839983</v>
      </c>
      <c r="F34" s="344">
        <f>'Arable margins'!$F$83</f>
        <v>1192.2087760227714</v>
      </c>
      <c r="G34" s="344">
        <f>'Arable margins'!$G$83</f>
        <v>1163.2333056394964</v>
      </c>
      <c r="H34" s="344">
        <f>'Arable margins'!$H$83</f>
        <v>1634.8657372327957</v>
      </c>
      <c r="I34" s="344">
        <f>'Arable margins'!$I$83</f>
        <v>1080.915</v>
      </c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</row>
    <row r="35" spans="1:24" ht="15" customHeight="1" x14ac:dyDescent="0.3">
      <c r="A35" s="364"/>
      <c r="B35" s="701"/>
      <c r="C35" s="702"/>
      <c r="D35" s="703"/>
      <c r="E35" s="703"/>
      <c r="F35" s="703"/>
      <c r="G35" s="703"/>
      <c r="H35" s="703"/>
      <c r="I35" s="70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</row>
    <row r="36" spans="1:24" ht="15" customHeight="1" x14ac:dyDescent="0.3">
      <c r="A36" s="364"/>
      <c r="B36" s="322" t="s">
        <v>273</v>
      </c>
      <c r="C36" s="312" t="s">
        <v>2</v>
      </c>
      <c r="D36" s="318" t="s">
        <v>462</v>
      </c>
      <c r="E36" s="709">
        <f>E8-E30</f>
        <v>-6.7956648586664699</v>
      </c>
      <c r="F36" s="709">
        <f t="shared" ref="E36:I40" si="1">F8-F30</f>
        <v>-28.315678733773268</v>
      </c>
      <c r="G36" s="709">
        <f t="shared" si="1"/>
        <v>37.757422878511193</v>
      </c>
      <c r="H36" s="709">
        <f t="shared" si="1"/>
        <v>6.200182855989798</v>
      </c>
      <c r="I36" s="709">
        <f t="shared" si="1"/>
        <v>17.023749999999993</v>
      </c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</row>
    <row r="37" spans="1:24" ht="15" customHeight="1" x14ac:dyDescent="0.3">
      <c r="A37" s="364"/>
      <c r="B37" s="322"/>
      <c r="C37" s="316" t="s">
        <v>3</v>
      </c>
      <c r="D37" s="319" t="s">
        <v>462</v>
      </c>
      <c r="E37" s="693">
        <f t="shared" si="1"/>
        <v>30.841025641025638</v>
      </c>
      <c r="F37" s="693">
        <f t="shared" si="1"/>
        <v>32.337142857142858</v>
      </c>
      <c r="G37" s="693">
        <f t="shared" si="1"/>
        <v>-9.7631868131868131</v>
      </c>
      <c r="H37" s="693">
        <f t="shared" si="1"/>
        <v>0</v>
      </c>
      <c r="I37" s="693">
        <f t="shared" si="1"/>
        <v>0</v>
      </c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</row>
    <row r="38" spans="1:24" ht="15" customHeight="1" x14ac:dyDescent="0.3">
      <c r="A38" s="364"/>
      <c r="B38" s="322"/>
      <c r="C38" s="312" t="s">
        <v>2</v>
      </c>
      <c r="D38" s="320" t="s">
        <v>460</v>
      </c>
      <c r="E38" s="317">
        <f t="shared" si="1"/>
        <v>-56.064235083998483</v>
      </c>
      <c r="F38" s="317">
        <f t="shared" si="1"/>
        <v>-178.38877602277171</v>
      </c>
      <c r="G38" s="317">
        <f t="shared" si="1"/>
        <v>132.15098007478923</v>
      </c>
      <c r="H38" s="317">
        <f t="shared" si="1"/>
        <v>483.61426276720431</v>
      </c>
      <c r="I38" s="317">
        <f t="shared" si="1"/>
        <v>204.28499999999985</v>
      </c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</row>
    <row r="39" spans="1:24" ht="15" customHeight="1" x14ac:dyDescent="0.3">
      <c r="A39" s="364"/>
      <c r="B39" s="322"/>
      <c r="C39" s="313" t="s">
        <v>3</v>
      </c>
      <c r="D39" s="320" t="s">
        <v>460</v>
      </c>
      <c r="E39" s="317">
        <f t="shared" si="1"/>
        <v>120.28</v>
      </c>
      <c r="F39" s="317">
        <f t="shared" si="1"/>
        <v>113.18</v>
      </c>
      <c r="G39" s="317">
        <f t="shared" si="1"/>
        <v>-25.38428571428571</v>
      </c>
      <c r="H39" s="317">
        <f t="shared" si="1"/>
        <v>0</v>
      </c>
      <c r="I39" s="317">
        <f t="shared" si="1"/>
        <v>0</v>
      </c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</row>
    <row r="40" spans="1:24" ht="15" customHeight="1" x14ac:dyDescent="0.3">
      <c r="A40" s="364"/>
      <c r="B40" s="680"/>
      <c r="C40" s="329" t="s">
        <v>12</v>
      </c>
      <c r="D40" s="331" t="s">
        <v>471</v>
      </c>
      <c r="E40" s="681">
        <f t="shared" si="1"/>
        <v>64.215764916001717</v>
      </c>
      <c r="F40" s="681">
        <f t="shared" si="1"/>
        <v>-65.208776022771417</v>
      </c>
      <c r="G40" s="681">
        <f t="shared" si="1"/>
        <v>106.76669436050361</v>
      </c>
      <c r="H40" s="681">
        <f t="shared" si="1"/>
        <v>483.61426276720431</v>
      </c>
      <c r="I40" s="681">
        <f>I12-I34</f>
        <v>204.28499999999985</v>
      </c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</row>
    <row r="41" spans="1:24" x14ac:dyDescent="0.3">
      <c r="A41" s="364"/>
      <c r="B41" s="322" t="s">
        <v>274</v>
      </c>
      <c r="C41" s="312" t="str">
        <f>'Arable margins'!C86</f>
        <v>Main crop</v>
      </c>
      <c r="D41" s="318" t="s">
        <v>462</v>
      </c>
      <c r="E41" s="337">
        <f>'Arable margins'!$E$86</f>
        <v>19.871001808000187</v>
      </c>
      <c r="F41" s="332">
        <f>'Arable margins'!$F$86</f>
        <v>6.6049561868616706</v>
      </c>
      <c r="G41" s="332">
        <f>'Arable margins'!$G$86</f>
        <v>100.61456573565403</v>
      </c>
      <c r="H41" s="332">
        <f>'Arable margins'!$H$86</f>
        <v>9.0206956765026192</v>
      </c>
      <c r="I41" s="332">
        <f>'Arable margins'!$I$86</f>
        <v>35.357083333333321</v>
      </c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</row>
    <row r="42" spans="1:24" x14ac:dyDescent="0.3">
      <c r="A42" s="364"/>
      <c r="B42" s="322"/>
      <c r="C42" s="316" t="str">
        <f>'Arable margins'!C87</f>
        <v>Straw</v>
      </c>
      <c r="D42" s="319" t="s">
        <v>462</v>
      </c>
      <c r="E42" s="345">
        <f>'Arable margins'!$E$87</f>
        <v>30.841025641025638</v>
      </c>
      <c r="F42" s="333">
        <f>'Arable margins'!$F$87</f>
        <v>32.337142857142858</v>
      </c>
      <c r="G42" s="333">
        <f>'Arable margins'!$G$87</f>
        <v>-9.7631868131868131</v>
      </c>
      <c r="H42" s="336"/>
      <c r="I42" s="336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</row>
    <row r="43" spans="1:24" x14ac:dyDescent="0.3">
      <c r="A43" s="364"/>
      <c r="B43" s="322"/>
      <c r="C43" s="312" t="str">
        <f>'Arable margins'!C88</f>
        <v>Main crop</v>
      </c>
      <c r="D43" s="320" t="s">
        <v>460</v>
      </c>
      <c r="E43" s="337">
        <f>'Arable margins'!$E$88</f>
        <v>163.93576491600152</v>
      </c>
      <c r="F43" s="332">
        <f>'Arable margins'!$F$88</f>
        <v>41.611223977228292</v>
      </c>
      <c r="G43" s="332">
        <f>'Arable margins'!$G$88</f>
        <v>352.15098007478923</v>
      </c>
      <c r="H43" s="332">
        <f>'Arable margins'!$H$88</f>
        <v>703.61426276720431</v>
      </c>
      <c r="I43" s="332">
        <f>'Arable margins'!$I$88</f>
        <v>424.28499999999985</v>
      </c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</row>
    <row r="44" spans="1:24" x14ac:dyDescent="0.3">
      <c r="A44" s="364"/>
      <c r="B44" s="322"/>
      <c r="C44" s="313" t="str">
        <f>'Arable margins'!C89</f>
        <v>Straw</v>
      </c>
      <c r="D44" s="320" t="s">
        <v>460</v>
      </c>
      <c r="E44" s="338">
        <f>'Arable margins'!$E$89</f>
        <v>120.28</v>
      </c>
      <c r="F44" s="334">
        <f>'Arable margins'!$F$89</f>
        <v>113.18</v>
      </c>
      <c r="G44" s="334">
        <f>'Arable margins'!$G$89</f>
        <v>-25.38428571428571</v>
      </c>
      <c r="H44" s="335"/>
      <c r="I44" s="335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</row>
    <row r="45" spans="1:24" x14ac:dyDescent="0.3">
      <c r="A45" s="364"/>
      <c r="B45" s="680"/>
      <c r="C45" s="326" t="str">
        <f>'Arable margins'!C90</f>
        <v>Total</v>
      </c>
      <c r="D45" s="331" t="s">
        <v>471</v>
      </c>
      <c r="E45" s="340">
        <f>'Arable margins'!$E$90</f>
        <v>284.21576491600172</v>
      </c>
      <c r="F45" s="346">
        <f>'Arable margins'!$F$90</f>
        <v>154.79122397722858</v>
      </c>
      <c r="G45" s="346">
        <f>'Arable margins'!$G$90</f>
        <v>326.76669436050361</v>
      </c>
      <c r="H45" s="346">
        <f>'Arable margins'!$H$90</f>
        <v>703.61426276720431</v>
      </c>
      <c r="I45" s="346">
        <f>'Arable margins'!$I$90</f>
        <v>424.28499999999985</v>
      </c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</row>
    <row r="46" spans="1:24" x14ac:dyDescent="0.3">
      <c r="A46" s="364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</row>
    <row r="47" spans="1:24" x14ac:dyDescent="0.3">
      <c r="A47" s="364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</row>
    <row r="48" spans="1:24" x14ac:dyDescent="0.3">
      <c r="A48" s="364"/>
      <c r="B48" s="710"/>
      <c r="C48" s="365" t="s">
        <v>361</v>
      </c>
      <c r="D48" s="456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</row>
    <row r="49" spans="1:24" x14ac:dyDescent="0.3">
      <c r="A49" s="364"/>
      <c r="B49" s="711"/>
      <c r="C49" s="365" t="s">
        <v>362</v>
      </c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</row>
    <row r="50" spans="1:24" x14ac:dyDescent="0.3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</row>
    <row r="51" spans="1:24" x14ac:dyDescent="0.3">
      <c r="A51" s="364"/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</row>
  </sheetData>
  <mergeCells count="8">
    <mergeCell ref="U8:U10"/>
    <mergeCell ref="V8:V10"/>
    <mergeCell ref="W8:W10"/>
    <mergeCell ref="P8:P10"/>
    <mergeCell ref="Q8:Q10"/>
    <mergeCell ref="R8:R10"/>
    <mergeCell ref="S8:S10"/>
    <mergeCell ref="T8:T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U158"/>
  <sheetViews>
    <sheetView topLeftCell="A112" workbookViewId="0">
      <selection activeCell="T143" sqref="T143:U158"/>
    </sheetView>
  </sheetViews>
  <sheetFormatPr defaultColWidth="9" defaultRowHeight="14" x14ac:dyDescent="0.3"/>
  <cols>
    <col min="1" max="1" width="13.75" customWidth="1"/>
    <col min="2" max="2" width="9" customWidth="1"/>
  </cols>
  <sheetData>
    <row r="2" spans="2:20" ht="14.5" thickBot="1" x14ac:dyDescent="0.35"/>
    <row r="3" spans="2:20" ht="14.5" thickBot="1" x14ac:dyDescent="0.35">
      <c r="B3" s="350" t="s">
        <v>473</v>
      </c>
      <c r="C3" s="200"/>
    </row>
    <row r="6" spans="2:20" x14ac:dyDescent="0.3">
      <c r="B6" s="86" t="s">
        <v>301</v>
      </c>
      <c r="C6" s="757">
        <f>'Arable Inputs'!D9</f>
        <v>0.04</v>
      </c>
    </row>
    <row r="7" spans="2:20" x14ac:dyDescent="0.3">
      <c r="B7" s="24"/>
      <c r="C7" s="24"/>
    </row>
    <row r="9" spans="2:20" x14ac:dyDescent="0.3">
      <c r="B9" s="211" t="s">
        <v>4</v>
      </c>
      <c r="C9" s="194"/>
      <c r="D9" s="193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</row>
    <row r="10" spans="2:20" x14ac:dyDescent="0.3">
      <c r="B10" s="203"/>
      <c r="C10" s="1124"/>
      <c r="D10" s="1124"/>
      <c r="E10" s="1124"/>
      <c r="F10" s="148"/>
      <c r="G10" s="1124"/>
      <c r="H10" s="1124"/>
      <c r="I10" s="148"/>
      <c r="J10" s="148"/>
      <c r="K10" s="1125" t="s">
        <v>279</v>
      </c>
      <c r="L10" s="1126"/>
      <c r="M10" s="1126"/>
      <c r="N10" s="1126"/>
      <c r="O10" s="1127"/>
      <c r="P10" s="1125" t="s">
        <v>280</v>
      </c>
      <c r="Q10" s="1126"/>
      <c r="R10" s="1126"/>
      <c r="S10" s="1126"/>
      <c r="T10" s="1127"/>
    </row>
    <row r="11" spans="2:20" ht="51" x14ac:dyDescent="0.3">
      <c r="B11" s="204" t="s">
        <v>281</v>
      </c>
      <c r="C11" s="171" t="s">
        <v>283</v>
      </c>
      <c r="D11" s="171" t="s">
        <v>10</v>
      </c>
      <c r="E11" s="171" t="s">
        <v>284</v>
      </c>
      <c r="F11" s="205" t="s">
        <v>300</v>
      </c>
      <c r="G11" s="171" t="s">
        <v>286</v>
      </c>
      <c r="H11" s="171" t="s">
        <v>287</v>
      </c>
      <c r="I11" s="171" t="s">
        <v>288</v>
      </c>
      <c r="J11" s="171" t="s">
        <v>289</v>
      </c>
      <c r="K11" s="195" t="s">
        <v>290</v>
      </c>
      <c r="L11" s="171" t="s">
        <v>291</v>
      </c>
      <c r="M11" s="171" t="s">
        <v>315</v>
      </c>
      <c r="N11" s="171" t="s">
        <v>293</v>
      </c>
      <c r="O11" s="198" t="s">
        <v>294</v>
      </c>
      <c r="P11" s="195" t="s">
        <v>295</v>
      </c>
      <c r="Q11" s="171" t="s">
        <v>296</v>
      </c>
      <c r="R11" s="171" t="s">
        <v>316</v>
      </c>
      <c r="S11" s="171" t="s">
        <v>298</v>
      </c>
      <c r="T11" s="198" t="s">
        <v>299</v>
      </c>
    </row>
    <row r="12" spans="2:20" x14ac:dyDescent="0.3">
      <c r="B12" s="173"/>
      <c r="C12" s="201" t="s">
        <v>474</v>
      </c>
      <c r="D12" s="201" t="s">
        <v>474</v>
      </c>
      <c r="E12" s="201" t="s">
        <v>474</v>
      </c>
      <c r="F12" s="201" t="s">
        <v>474</v>
      </c>
      <c r="G12" s="201" t="s">
        <v>474</v>
      </c>
      <c r="H12" s="201" t="s">
        <v>474</v>
      </c>
      <c r="I12" s="201" t="s">
        <v>474</v>
      </c>
      <c r="J12" s="202" t="s">
        <v>455</v>
      </c>
      <c r="K12" s="201" t="s">
        <v>474</v>
      </c>
      <c r="L12" s="201" t="s">
        <v>474</v>
      </c>
      <c r="M12" s="201" t="s">
        <v>474</v>
      </c>
      <c r="N12" s="201" t="s">
        <v>474</v>
      </c>
      <c r="O12" s="202" t="s">
        <v>474</v>
      </c>
      <c r="P12" s="201" t="s">
        <v>474</v>
      </c>
      <c r="Q12" s="201" t="s">
        <v>474</v>
      </c>
      <c r="R12" s="201" t="s">
        <v>474</v>
      </c>
      <c r="S12" s="201" t="s">
        <v>474</v>
      </c>
      <c r="T12" s="202" t="s">
        <v>474</v>
      </c>
    </row>
    <row r="13" spans="2:20" x14ac:dyDescent="0.3">
      <c r="B13" s="715">
        <v>1</v>
      </c>
      <c r="C13" s="197">
        <f>'Margins summary'!$E$12</f>
        <v>1590</v>
      </c>
      <c r="D13" s="197">
        <f>'Margins summary'!$E$13</f>
        <v>220</v>
      </c>
      <c r="E13" s="197">
        <f>'Margins summary'!$E$18</f>
        <v>1810</v>
      </c>
      <c r="F13" s="197">
        <f>'Margins summary'!$E$24</f>
        <v>684.46423508399835</v>
      </c>
      <c r="G13" s="197">
        <f>'Margins summary'!$E$29</f>
        <v>841.31999999999994</v>
      </c>
      <c r="H13" s="197">
        <f>F13+G13</f>
        <v>1525.7842350839983</v>
      </c>
      <c r="I13" s="197">
        <f>C13-H13</f>
        <v>64.215764916001717</v>
      </c>
      <c r="J13" s="197">
        <f t="shared" ref="J13:J28" si="0">E13-H13</f>
        <v>284.21576491600172</v>
      </c>
      <c r="K13" s="952">
        <f>C13/(1+$C$6)^($B13-1)</f>
        <v>1590</v>
      </c>
      <c r="L13" s="953">
        <f>D13/(1+$C$6)^($B13-1)</f>
        <v>220</v>
      </c>
      <c r="M13" s="953">
        <f>H13/(1+$C$6)^($B13-1)</f>
        <v>1525.7842350839983</v>
      </c>
      <c r="N13" s="953">
        <f>K13-M13</f>
        <v>64.215764916001717</v>
      </c>
      <c r="O13" s="954">
        <f>N13+L13</f>
        <v>284.21576491600172</v>
      </c>
      <c r="P13" s="952">
        <f>K13</f>
        <v>1590</v>
      </c>
      <c r="Q13" s="953">
        <f>L13</f>
        <v>220</v>
      </c>
      <c r="R13" s="953">
        <f>M13</f>
        <v>1525.7842350839983</v>
      </c>
      <c r="S13" s="953">
        <f>N13</f>
        <v>64.215764916001717</v>
      </c>
      <c r="T13" s="954">
        <f>O13</f>
        <v>284.21576491600172</v>
      </c>
    </row>
    <row r="14" spans="2:20" x14ac:dyDescent="0.3">
      <c r="B14" s="410">
        <v>2</v>
      </c>
      <c r="C14" s="197">
        <f>'Margins summary'!$E$12</f>
        <v>1590</v>
      </c>
      <c r="D14" s="197">
        <f>'Margins summary'!$E$13</f>
        <v>220</v>
      </c>
      <c r="E14" s="197">
        <f>'Margins summary'!$E$18</f>
        <v>1810</v>
      </c>
      <c r="F14" s="197">
        <f>'Margins summary'!$E$24</f>
        <v>684.46423508399835</v>
      </c>
      <c r="G14" s="197">
        <f>'Margins summary'!$E$29</f>
        <v>841.31999999999994</v>
      </c>
      <c r="H14" s="197">
        <f t="shared" ref="H14:H28" si="1">F14+G14</f>
        <v>1525.7842350839983</v>
      </c>
      <c r="I14" s="197">
        <f t="shared" ref="I14:I28" si="2">C14-H14</f>
        <v>64.215764916001717</v>
      </c>
      <c r="J14" s="197">
        <f t="shared" si="0"/>
        <v>284.21576491600172</v>
      </c>
      <c r="K14" s="952">
        <f t="shared" ref="K14:K28" si="3">C14/(1+$C$6)^($B14-1)</f>
        <v>1528.8461538461538</v>
      </c>
      <c r="L14" s="953">
        <f t="shared" ref="L14:L28" si="4">D14/(1+$C$6)^($B14-1)</f>
        <v>211.53846153846152</v>
      </c>
      <c r="M14" s="953">
        <f t="shared" ref="M14:M28" si="5">H14/(1+$C$6)^($B14-1)</f>
        <v>1467.1002260423061</v>
      </c>
      <c r="N14" s="953">
        <f t="shared" ref="N14:N28" si="6">K14-M14</f>
        <v>61.745927803847735</v>
      </c>
      <c r="O14" s="954">
        <f t="shared" ref="O14:O28" si="7">N14+L14</f>
        <v>273.28438934230928</v>
      </c>
      <c r="P14" s="952">
        <f>P13+K14</f>
        <v>3118.8461538461538</v>
      </c>
      <c r="Q14" s="953">
        <f t="shared" ref="Q14:T28" si="8">Q13+L14</f>
        <v>431.53846153846155</v>
      </c>
      <c r="R14" s="953">
        <f t="shared" si="8"/>
        <v>2992.8844611263044</v>
      </c>
      <c r="S14" s="953">
        <f t="shared" si="8"/>
        <v>125.96169271984945</v>
      </c>
      <c r="T14" s="954">
        <f t="shared" si="8"/>
        <v>557.500154258311</v>
      </c>
    </row>
    <row r="15" spans="2:20" x14ac:dyDescent="0.3">
      <c r="B15" s="410">
        <v>3</v>
      </c>
      <c r="C15" s="197">
        <f>'Margins summary'!$E$12</f>
        <v>1590</v>
      </c>
      <c r="D15" s="197">
        <f>'Margins summary'!$E$13</f>
        <v>220</v>
      </c>
      <c r="E15" s="197">
        <f>'Margins summary'!$E$18</f>
        <v>1810</v>
      </c>
      <c r="F15" s="197">
        <f>'Margins summary'!$E$24</f>
        <v>684.46423508399835</v>
      </c>
      <c r="G15" s="197">
        <f>'Margins summary'!$E$29</f>
        <v>841.31999999999994</v>
      </c>
      <c r="H15" s="197">
        <f t="shared" si="1"/>
        <v>1525.7842350839983</v>
      </c>
      <c r="I15" s="197">
        <f t="shared" si="2"/>
        <v>64.215764916001717</v>
      </c>
      <c r="J15" s="197">
        <f t="shared" si="0"/>
        <v>284.21576491600172</v>
      </c>
      <c r="K15" s="952">
        <f t="shared" si="3"/>
        <v>1470.0443786982246</v>
      </c>
      <c r="L15" s="953">
        <f t="shared" si="4"/>
        <v>203.40236686390531</v>
      </c>
      <c r="M15" s="953">
        <f t="shared" si="5"/>
        <v>1410.673294271448</v>
      </c>
      <c r="N15" s="953">
        <f t="shared" si="6"/>
        <v>59.371084426776633</v>
      </c>
      <c r="O15" s="954">
        <f t="shared" si="7"/>
        <v>262.77345129068192</v>
      </c>
      <c r="P15" s="952">
        <f t="shared" ref="P15:P28" si="9">P14+K15</f>
        <v>4588.8905325443784</v>
      </c>
      <c r="Q15" s="953">
        <f t="shared" si="8"/>
        <v>634.94082840236683</v>
      </c>
      <c r="R15" s="953">
        <f t="shared" si="8"/>
        <v>4403.5577553977528</v>
      </c>
      <c r="S15" s="953">
        <f t="shared" si="8"/>
        <v>185.33277714662609</v>
      </c>
      <c r="T15" s="954">
        <f t="shared" si="8"/>
        <v>820.27360554899292</v>
      </c>
    </row>
    <row r="16" spans="2:20" x14ac:dyDescent="0.3">
      <c r="B16" s="410">
        <v>4</v>
      </c>
      <c r="C16" s="197">
        <f>'Margins summary'!$E$12</f>
        <v>1590</v>
      </c>
      <c r="D16" s="197">
        <f>'Margins summary'!$E$13</f>
        <v>220</v>
      </c>
      <c r="E16" s="197">
        <f>'Margins summary'!$E$18</f>
        <v>1810</v>
      </c>
      <c r="F16" s="197">
        <f>'Margins summary'!$E$24</f>
        <v>684.46423508399835</v>
      </c>
      <c r="G16" s="197">
        <f>'Margins summary'!$E$29</f>
        <v>841.31999999999994</v>
      </c>
      <c r="H16" s="197">
        <f t="shared" si="1"/>
        <v>1525.7842350839983</v>
      </c>
      <c r="I16" s="197">
        <f t="shared" si="2"/>
        <v>64.215764916001717</v>
      </c>
      <c r="J16" s="197">
        <f t="shared" si="0"/>
        <v>284.21576491600172</v>
      </c>
      <c r="K16" s="952">
        <f t="shared" si="3"/>
        <v>1413.5042102867546</v>
      </c>
      <c r="L16" s="953">
        <f t="shared" si="4"/>
        <v>195.57919890760127</v>
      </c>
      <c r="M16" s="953">
        <f t="shared" si="5"/>
        <v>1356.4166291071615</v>
      </c>
      <c r="N16" s="953">
        <f t="shared" si="6"/>
        <v>57.087581179593144</v>
      </c>
      <c r="O16" s="954">
        <f t="shared" si="7"/>
        <v>252.66678008719441</v>
      </c>
      <c r="P16" s="952">
        <f t="shared" si="9"/>
        <v>6002.394742831133</v>
      </c>
      <c r="Q16" s="953">
        <f t="shared" si="8"/>
        <v>830.5200273099681</v>
      </c>
      <c r="R16" s="953">
        <f t="shared" si="8"/>
        <v>5759.9743845049143</v>
      </c>
      <c r="S16" s="953">
        <f t="shared" si="8"/>
        <v>242.42035832621923</v>
      </c>
      <c r="T16" s="954">
        <f t="shared" si="8"/>
        <v>1072.9403856361873</v>
      </c>
    </row>
    <row r="17" spans="2:20" x14ac:dyDescent="0.3">
      <c r="B17" s="410">
        <v>5</v>
      </c>
      <c r="C17" s="197">
        <f>'Margins summary'!$E$12</f>
        <v>1590</v>
      </c>
      <c r="D17" s="197">
        <f>'Margins summary'!$E$13</f>
        <v>220</v>
      </c>
      <c r="E17" s="197">
        <f>'Margins summary'!$E$18</f>
        <v>1810</v>
      </c>
      <c r="F17" s="197">
        <f>'Margins summary'!$E$24</f>
        <v>684.46423508399835</v>
      </c>
      <c r="G17" s="197">
        <f>'Margins summary'!$E$29</f>
        <v>841.31999999999994</v>
      </c>
      <c r="H17" s="197">
        <f t="shared" si="1"/>
        <v>1525.7842350839983</v>
      </c>
      <c r="I17" s="197">
        <f t="shared" si="2"/>
        <v>64.215764916001717</v>
      </c>
      <c r="J17" s="197">
        <f t="shared" si="0"/>
        <v>284.21576491600172</v>
      </c>
      <c r="K17" s="952">
        <f t="shared" si="3"/>
        <v>1359.1386637372639</v>
      </c>
      <c r="L17" s="953">
        <f t="shared" si="4"/>
        <v>188.05692202653967</v>
      </c>
      <c r="M17" s="953">
        <f t="shared" si="5"/>
        <v>1304.246758756886</v>
      </c>
      <c r="N17" s="953">
        <f t="shared" si="6"/>
        <v>54.891904980377831</v>
      </c>
      <c r="O17" s="954">
        <f t="shared" si="7"/>
        <v>242.9488270069175</v>
      </c>
      <c r="P17" s="952">
        <f t="shared" si="9"/>
        <v>7361.5334065683965</v>
      </c>
      <c r="Q17" s="953">
        <f t="shared" si="8"/>
        <v>1018.5769493365078</v>
      </c>
      <c r="R17" s="953">
        <f t="shared" si="8"/>
        <v>7064.2211432618005</v>
      </c>
      <c r="S17" s="953">
        <f t="shared" si="8"/>
        <v>297.31226330659706</v>
      </c>
      <c r="T17" s="954">
        <f t="shared" si="8"/>
        <v>1315.8892126431049</v>
      </c>
    </row>
    <row r="18" spans="2:20" x14ac:dyDescent="0.3">
      <c r="B18" s="410">
        <v>6</v>
      </c>
      <c r="C18" s="197">
        <f>'Margins summary'!$E$12</f>
        <v>1590</v>
      </c>
      <c r="D18" s="197">
        <f>'Margins summary'!$E$13</f>
        <v>220</v>
      </c>
      <c r="E18" s="197">
        <f>'Margins summary'!$E$18</f>
        <v>1810</v>
      </c>
      <c r="F18" s="197">
        <f>'Margins summary'!$E$24</f>
        <v>684.46423508399835</v>
      </c>
      <c r="G18" s="197">
        <f>'Margins summary'!$E$29</f>
        <v>841.31999999999994</v>
      </c>
      <c r="H18" s="197">
        <f t="shared" si="1"/>
        <v>1525.7842350839983</v>
      </c>
      <c r="I18" s="197">
        <f t="shared" si="2"/>
        <v>64.215764916001717</v>
      </c>
      <c r="J18" s="197">
        <f t="shared" si="0"/>
        <v>284.21576491600172</v>
      </c>
      <c r="K18" s="952">
        <f t="shared" si="3"/>
        <v>1306.864099747369</v>
      </c>
      <c r="L18" s="953">
        <f t="shared" si="4"/>
        <v>180.82396348705734</v>
      </c>
      <c r="M18" s="953">
        <f t="shared" si="5"/>
        <v>1254.083421881621</v>
      </c>
      <c r="N18" s="953">
        <f t="shared" si="6"/>
        <v>52.780677865747975</v>
      </c>
      <c r="O18" s="954">
        <f t="shared" si="7"/>
        <v>233.60464135280532</v>
      </c>
      <c r="P18" s="952">
        <f t="shared" si="9"/>
        <v>8668.397506315765</v>
      </c>
      <c r="Q18" s="953">
        <f t="shared" si="8"/>
        <v>1199.4009128235652</v>
      </c>
      <c r="R18" s="953">
        <f t="shared" si="8"/>
        <v>8318.3045651434222</v>
      </c>
      <c r="S18" s="953">
        <f t="shared" si="8"/>
        <v>350.09294117234504</v>
      </c>
      <c r="T18" s="954">
        <f t="shared" si="8"/>
        <v>1549.4938539959103</v>
      </c>
    </row>
    <row r="19" spans="2:20" x14ac:dyDescent="0.3">
      <c r="B19" s="410">
        <v>7</v>
      </c>
      <c r="C19" s="197">
        <f>'Margins summary'!$E$12</f>
        <v>1590</v>
      </c>
      <c r="D19" s="197">
        <f>'Margins summary'!$E$13</f>
        <v>220</v>
      </c>
      <c r="E19" s="197">
        <f>'Margins summary'!$E$18</f>
        <v>1810</v>
      </c>
      <c r="F19" s="197">
        <f>'Margins summary'!$E$24</f>
        <v>684.46423508399835</v>
      </c>
      <c r="G19" s="197">
        <f>'Margins summary'!$E$29</f>
        <v>841.31999999999994</v>
      </c>
      <c r="H19" s="197">
        <f t="shared" si="1"/>
        <v>1525.7842350839983</v>
      </c>
      <c r="I19" s="197">
        <f t="shared" si="2"/>
        <v>64.215764916001717</v>
      </c>
      <c r="J19" s="197">
        <f t="shared" si="0"/>
        <v>284.21576491600172</v>
      </c>
      <c r="K19" s="952">
        <f t="shared" si="3"/>
        <v>1256.6000959109317</v>
      </c>
      <c r="L19" s="953">
        <f t="shared" si="4"/>
        <v>173.86919566063204</v>
      </c>
      <c r="M19" s="953">
        <f t="shared" si="5"/>
        <v>1205.8494441169432</v>
      </c>
      <c r="N19" s="953">
        <f t="shared" si="6"/>
        <v>50.750651793988482</v>
      </c>
      <c r="O19" s="954">
        <f t="shared" si="7"/>
        <v>224.61984745462053</v>
      </c>
      <c r="P19" s="952">
        <f t="shared" si="9"/>
        <v>9924.9976022266965</v>
      </c>
      <c r="Q19" s="953">
        <f t="shared" si="8"/>
        <v>1373.2701084841974</v>
      </c>
      <c r="R19" s="953">
        <f t="shared" si="8"/>
        <v>9524.1540092603645</v>
      </c>
      <c r="S19" s="953">
        <f t="shared" si="8"/>
        <v>400.84359296633352</v>
      </c>
      <c r="T19" s="954">
        <f t="shared" si="8"/>
        <v>1774.1137014505307</v>
      </c>
    </row>
    <row r="20" spans="2:20" x14ac:dyDescent="0.3">
      <c r="B20" s="410">
        <v>8</v>
      </c>
      <c r="C20" s="197">
        <f>'Margins summary'!$E$12</f>
        <v>1590</v>
      </c>
      <c r="D20" s="197">
        <f>'Margins summary'!$E$13</f>
        <v>220</v>
      </c>
      <c r="E20" s="197">
        <f>'Margins summary'!$E$18</f>
        <v>1810</v>
      </c>
      <c r="F20" s="197">
        <f>'Margins summary'!$E$24</f>
        <v>684.46423508399835</v>
      </c>
      <c r="G20" s="197">
        <f>'Margins summary'!$E$29</f>
        <v>841.31999999999994</v>
      </c>
      <c r="H20" s="197">
        <f t="shared" si="1"/>
        <v>1525.7842350839983</v>
      </c>
      <c r="I20" s="197">
        <f t="shared" si="2"/>
        <v>64.215764916001717</v>
      </c>
      <c r="J20" s="197">
        <f t="shared" si="0"/>
        <v>284.21576491600172</v>
      </c>
      <c r="K20" s="952">
        <f t="shared" si="3"/>
        <v>1208.2693229912807</v>
      </c>
      <c r="L20" s="953">
        <f t="shared" si="4"/>
        <v>167.18191890445391</v>
      </c>
      <c r="M20" s="953">
        <f t="shared" si="5"/>
        <v>1159.4706193432148</v>
      </c>
      <c r="N20" s="953">
        <f t="shared" si="6"/>
        <v>48.798703648065839</v>
      </c>
      <c r="O20" s="954">
        <f t="shared" si="7"/>
        <v>215.98062255251975</v>
      </c>
      <c r="P20" s="952">
        <f t="shared" si="9"/>
        <v>11133.266925217977</v>
      </c>
      <c r="Q20" s="953">
        <f t="shared" si="8"/>
        <v>1540.4520273886512</v>
      </c>
      <c r="R20" s="953">
        <f t="shared" si="8"/>
        <v>10683.624628603578</v>
      </c>
      <c r="S20" s="953">
        <f t="shared" si="8"/>
        <v>449.64229661439936</v>
      </c>
      <c r="T20" s="954">
        <f t="shared" si="8"/>
        <v>1990.0943240030504</v>
      </c>
    </row>
    <row r="21" spans="2:20" x14ac:dyDescent="0.3">
      <c r="B21" s="410">
        <v>9</v>
      </c>
      <c r="C21" s="197">
        <f>'Margins summary'!$E$12</f>
        <v>1590</v>
      </c>
      <c r="D21" s="197">
        <f>'Margins summary'!$E$13</f>
        <v>220</v>
      </c>
      <c r="E21" s="197">
        <f>'Margins summary'!$E$18</f>
        <v>1810</v>
      </c>
      <c r="F21" s="197">
        <f>'Margins summary'!$E$24</f>
        <v>684.46423508399835</v>
      </c>
      <c r="G21" s="197">
        <f>'Margins summary'!$E$29</f>
        <v>841.31999999999994</v>
      </c>
      <c r="H21" s="197">
        <f t="shared" si="1"/>
        <v>1525.7842350839983</v>
      </c>
      <c r="I21" s="197">
        <f t="shared" si="2"/>
        <v>64.215764916001717</v>
      </c>
      <c r="J21" s="197">
        <f t="shared" si="0"/>
        <v>284.21576491600172</v>
      </c>
      <c r="K21" s="952">
        <f t="shared" si="3"/>
        <v>1161.7974259531543</v>
      </c>
      <c r="L21" s="953">
        <f t="shared" si="4"/>
        <v>160.75184510043644</v>
      </c>
      <c r="M21" s="953">
        <f t="shared" si="5"/>
        <v>1114.8755955223216</v>
      </c>
      <c r="N21" s="953">
        <f t="shared" si="6"/>
        <v>46.921830430832642</v>
      </c>
      <c r="O21" s="954">
        <f t="shared" si="7"/>
        <v>207.67367553126908</v>
      </c>
      <c r="P21" s="952">
        <f t="shared" si="9"/>
        <v>12295.064351171131</v>
      </c>
      <c r="Q21" s="953">
        <f t="shared" si="8"/>
        <v>1701.2038724890876</v>
      </c>
      <c r="R21" s="953">
        <f t="shared" si="8"/>
        <v>11798.500224125901</v>
      </c>
      <c r="S21" s="953">
        <f t="shared" si="8"/>
        <v>496.564127045232</v>
      </c>
      <c r="T21" s="954">
        <f t="shared" si="8"/>
        <v>2197.7679995343196</v>
      </c>
    </row>
    <row r="22" spans="2:20" x14ac:dyDescent="0.3">
      <c r="B22" s="410">
        <v>10</v>
      </c>
      <c r="C22" s="197">
        <f>'Margins summary'!$E$12</f>
        <v>1590</v>
      </c>
      <c r="D22" s="197">
        <f>'Margins summary'!$E$13</f>
        <v>220</v>
      </c>
      <c r="E22" s="197">
        <f>'Margins summary'!$E$18</f>
        <v>1810</v>
      </c>
      <c r="F22" s="197">
        <f>'Margins summary'!$E$24</f>
        <v>684.46423508399835</v>
      </c>
      <c r="G22" s="197">
        <f>'Margins summary'!$E$29</f>
        <v>841.31999999999994</v>
      </c>
      <c r="H22" s="197">
        <f t="shared" si="1"/>
        <v>1525.7842350839983</v>
      </c>
      <c r="I22" s="197">
        <f t="shared" si="2"/>
        <v>64.215764916001717</v>
      </c>
      <c r="J22" s="197">
        <f t="shared" si="0"/>
        <v>284.21576491600172</v>
      </c>
      <c r="K22" s="952">
        <f t="shared" si="3"/>
        <v>1117.1129095703404</v>
      </c>
      <c r="L22" s="953">
        <f t="shared" si="4"/>
        <v>154.5690818273427</v>
      </c>
      <c r="M22" s="953">
        <f t="shared" si="5"/>
        <v>1071.9957649253092</v>
      </c>
      <c r="N22" s="953">
        <f t="shared" si="6"/>
        <v>45.117144645031203</v>
      </c>
      <c r="O22" s="954">
        <f t="shared" si="7"/>
        <v>199.6862264723739</v>
      </c>
      <c r="P22" s="952">
        <f t="shared" si="9"/>
        <v>13412.177260741471</v>
      </c>
      <c r="Q22" s="953">
        <f t="shared" si="8"/>
        <v>1855.7729543164303</v>
      </c>
      <c r="R22" s="953">
        <f t="shared" si="8"/>
        <v>12870.495989051211</v>
      </c>
      <c r="S22" s="953">
        <f t="shared" si="8"/>
        <v>541.6812716902632</v>
      </c>
      <c r="T22" s="954">
        <f t="shared" si="8"/>
        <v>2397.4542260066937</v>
      </c>
    </row>
    <row r="23" spans="2:20" x14ac:dyDescent="0.3">
      <c r="B23" s="410">
        <v>11</v>
      </c>
      <c r="C23" s="197">
        <f>'Margins summary'!$E$12</f>
        <v>1590</v>
      </c>
      <c r="D23" s="197">
        <f>'Margins summary'!$E$13</f>
        <v>220</v>
      </c>
      <c r="E23" s="197">
        <f>'Margins summary'!$E$18</f>
        <v>1810</v>
      </c>
      <c r="F23" s="197">
        <f>'Margins summary'!$E$24</f>
        <v>684.46423508399835</v>
      </c>
      <c r="G23" s="197">
        <f>'Margins summary'!$E$29</f>
        <v>841.31999999999994</v>
      </c>
      <c r="H23" s="197">
        <f t="shared" si="1"/>
        <v>1525.7842350839983</v>
      </c>
      <c r="I23" s="197">
        <f t="shared" si="2"/>
        <v>64.215764916001717</v>
      </c>
      <c r="J23" s="197">
        <f t="shared" si="0"/>
        <v>284.21576491600172</v>
      </c>
      <c r="K23" s="952">
        <f t="shared" si="3"/>
        <v>1074.1470284330196</v>
      </c>
      <c r="L23" s="953">
        <f t="shared" si="4"/>
        <v>148.62411714167567</v>
      </c>
      <c r="M23" s="953">
        <f t="shared" si="5"/>
        <v>1030.7651585820281</v>
      </c>
      <c r="N23" s="953">
        <f t="shared" si="6"/>
        <v>43.381869850991507</v>
      </c>
      <c r="O23" s="954">
        <f t="shared" si="7"/>
        <v>192.00598699266718</v>
      </c>
      <c r="P23" s="952">
        <f t="shared" si="9"/>
        <v>14486.32428917449</v>
      </c>
      <c r="Q23" s="953">
        <f t="shared" si="8"/>
        <v>2004.397071458106</v>
      </c>
      <c r="R23" s="953">
        <f t="shared" si="8"/>
        <v>13901.261147633239</v>
      </c>
      <c r="S23" s="953">
        <f t="shared" si="8"/>
        <v>585.06314154125471</v>
      </c>
      <c r="T23" s="954">
        <f t="shared" si="8"/>
        <v>2589.4602129993609</v>
      </c>
    </row>
    <row r="24" spans="2:20" x14ac:dyDescent="0.3">
      <c r="B24" s="410">
        <v>12</v>
      </c>
      <c r="C24" s="197">
        <f>'Margins summary'!$E$12</f>
        <v>1590</v>
      </c>
      <c r="D24" s="197">
        <f>'Margins summary'!$E$13</f>
        <v>220</v>
      </c>
      <c r="E24" s="197">
        <f>'Margins summary'!$E$18</f>
        <v>1810</v>
      </c>
      <c r="F24" s="197">
        <f>'Margins summary'!$E$24</f>
        <v>684.46423508399835</v>
      </c>
      <c r="G24" s="197">
        <f>'Margins summary'!$E$29</f>
        <v>841.31999999999994</v>
      </c>
      <c r="H24" s="197">
        <f t="shared" si="1"/>
        <v>1525.7842350839983</v>
      </c>
      <c r="I24" s="197">
        <f t="shared" si="2"/>
        <v>64.215764916001717</v>
      </c>
      <c r="J24" s="197">
        <f t="shared" si="0"/>
        <v>284.21576491600172</v>
      </c>
      <c r="K24" s="952">
        <f t="shared" si="3"/>
        <v>1032.8336811855959</v>
      </c>
      <c r="L24" s="953">
        <f t="shared" si="4"/>
        <v>142.90780494391893</v>
      </c>
      <c r="M24" s="953">
        <f t="shared" si="5"/>
        <v>991.12034479041176</v>
      </c>
      <c r="N24" s="953">
        <f t="shared" si="6"/>
        <v>41.713336395184115</v>
      </c>
      <c r="O24" s="954">
        <f t="shared" si="7"/>
        <v>184.62114133910305</v>
      </c>
      <c r="P24" s="952">
        <f t="shared" si="9"/>
        <v>15519.157970360086</v>
      </c>
      <c r="Q24" s="953">
        <f t="shared" si="8"/>
        <v>2147.304876402025</v>
      </c>
      <c r="R24" s="953">
        <f t="shared" si="8"/>
        <v>14892.38149242365</v>
      </c>
      <c r="S24" s="953">
        <f t="shared" si="8"/>
        <v>626.77647793643882</v>
      </c>
      <c r="T24" s="954">
        <f t="shared" si="8"/>
        <v>2774.0813543384638</v>
      </c>
    </row>
    <row r="25" spans="2:20" x14ac:dyDescent="0.3">
      <c r="B25" s="410">
        <v>13</v>
      </c>
      <c r="C25" s="197">
        <f>'Margins summary'!$E$12</f>
        <v>1590</v>
      </c>
      <c r="D25" s="197">
        <f>'Margins summary'!$E$13</f>
        <v>220</v>
      </c>
      <c r="E25" s="197">
        <f>'Margins summary'!$E$18</f>
        <v>1810</v>
      </c>
      <c r="F25" s="197">
        <f>'Margins summary'!$E$24</f>
        <v>684.46423508399835</v>
      </c>
      <c r="G25" s="197">
        <f>'Margins summary'!$E$29</f>
        <v>841.31999999999994</v>
      </c>
      <c r="H25" s="197">
        <f t="shared" si="1"/>
        <v>1525.7842350839983</v>
      </c>
      <c r="I25" s="197">
        <f t="shared" si="2"/>
        <v>64.215764916001717</v>
      </c>
      <c r="J25" s="197">
        <f t="shared" si="0"/>
        <v>284.21576491600172</v>
      </c>
      <c r="K25" s="952">
        <f t="shared" si="3"/>
        <v>993.10930883230355</v>
      </c>
      <c r="L25" s="953">
        <f t="shared" si="4"/>
        <v>137.41135090761432</v>
      </c>
      <c r="M25" s="953">
        <f t="shared" si="5"/>
        <v>953.00033152924186</v>
      </c>
      <c r="N25" s="953">
        <f t="shared" si="6"/>
        <v>40.108977303061693</v>
      </c>
      <c r="O25" s="954">
        <f t="shared" si="7"/>
        <v>177.52032821067601</v>
      </c>
      <c r="P25" s="952">
        <f t="shared" si="9"/>
        <v>16512.267279192391</v>
      </c>
      <c r="Q25" s="953">
        <f t="shared" si="8"/>
        <v>2284.7162273096392</v>
      </c>
      <c r="R25" s="953">
        <f t="shared" si="8"/>
        <v>15845.381823952892</v>
      </c>
      <c r="S25" s="953">
        <f t="shared" si="8"/>
        <v>666.88545523950052</v>
      </c>
      <c r="T25" s="954">
        <f t="shared" si="8"/>
        <v>2951.6016825491397</v>
      </c>
    </row>
    <row r="26" spans="2:20" x14ac:dyDescent="0.3">
      <c r="B26" s="410">
        <v>14</v>
      </c>
      <c r="C26" s="197">
        <f>'Margins summary'!$E$12</f>
        <v>1590</v>
      </c>
      <c r="D26" s="197">
        <f>'Margins summary'!$E$13</f>
        <v>220</v>
      </c>
      <c r="E26" s="197">
        <f>'Margins summary'!$E$18</f>
        <v>1810</v>
      </c>
      <c r="F26" s="197">
        <f>'Margins summary'!$E$24</f>
        <v>684.46423508399835</v>
      </c>
      <c r="G26" s="197">
        <f>'Margins summary'!$E$29</f>
        <v>841.31999999999994</v>
      </c>
      <c r="H26" s="197">
        <f t="shared" si="1"/>
        <v>1525.7842350839983</v>
      </c>
      <c r="I26" s="197">
        <f t="shared" si="2"/>
        <v>64.215764916001717</v>
      </c>
      <c r="J26" s="197">
        <f t="shared" si="0"/>
        <v>284.21576491600172</v>
      </c>
      <c r="K26" s="952">
        <f t="shared" si="3"/>
        <v>954.912796954138</v>
      </c>
      <c r="L26" s="953">
        <f t="shared" si="4"/>
        <v>132.12629894962916</v>
      </c>
      <c r="M26" s="953">
        <f t="shared" si="5"/>
        <v>916.34647262427097</v>
      </c>
      <c r="N26" s="953">
        <f t="shared" si="6"/>
        <v>38.56632432986703</v>
      </c>
      <c r="O26" s="954">
        <f t="shared" si="7"/>
        <v>170.69262327949619</v>
      </c>
      <c r="P26" s="952">
        <f t="shared" si="9"/>
        <v>17467.180076146527</v>
      </c>
      <c r="Q26" s="953">
        <f t="shared" si="8"/>
        <v>2416.8425262592682</v>
      </c>
      <c r="R26" s="953">
        <f t="shared" si="8"/>
        <v>16761.728296577163</v>
      </c>
      <c r="S26" s="953">
        <f t="shared" si="8"/>
        <v>705.45177956936755</v>
      </c>
      <c r="T26" s="954">
        <f t="shared" si="8"/>
        <v>3122.294305828636</v>
      </c>
    </row>
    <row r="27" spans="2:20" x14ac:dyDescent="0.3">
      <c r="B27" s="410">
        <v>15</v>
      </c>
      <c r="C27" s="197">
        <f>'Margins summary'!$E$12</f>
        <v>1590</v>
      </c>
      <c r="D27" s="197">
        <f>'Margins summary'!$E$13</f>
        <v>220</v>
      </c>
      <c r="E27" s="197">
        <f>'Margins summary'!$E$18</f>
        <v>1810</v>
      </c>
      <c r="F27" s="197">
        <f>'Margins summary'!$E$24</f>
        <v>684.46423508399835</v>
      </c>
      <c r="G27" s="197">
        <f>'Margins summary'!$E$29</f>
        <v>841.31999999999994</v>
      </c>
      <c r="H27" s="197">
        <f t="shared" si="1"/>
        <v>1525.7842350839983</v>
      </c>
      <c r="I27" s="197">
        <f t="shared" si="2"/>
        <v>64.215764916001717</v>
      </c>
      <c r="J27" s="197">
        <f t="shared" si="0"/>
        <v>284.21576491600172</v>
      </c>
      <c r="K27" s="952">
        <f t="shared" si="3"/>
        <v>918.18538168667124</v>
      </c>
      <c r="L27" s="953">
        <f t="shared" si="4"/>
        <v>127.04451822079727</v>
      </c>
      <c r="M27" s="953">
        <f t="shared" si="5"/>
        <v>881.10237752333751</v>
      </c>
      <c r="N27" s="953">
        <f t="shared" si="6"/>
        <v>37.083004163333726</v>
      </c>
      <c r="O27" s="954">
        <f t="shared" si="7"/>
        <v>164.127522384131</v>
      </c>
      <c r="P27" s="952">
        <f t="shared" si="9"/>
        <v>18385.365457833199</v>
      </c>
      <c r="Q27" s="953">
        <f t="shared" si="8"/>
        <v>2543.8870444800655</v>
      </c>
      <c r="R27" s="953">
        <f t="shared" si="8"/>
        <v>17642.8306741005</v>
      </c>
      <c r="S27" s="953">
        <f t="shared" si="8"/>
        <v>742.53478373270127</v>
      </c>
      <c r="T27" s="954">
        <f t="shared" si="8"/>
        <v>3286.4218282127667</v>
      </c>
    </row>
    <row r="28" spans="2:20" x14ac:dyDescent="0.3">
      <c r="B28" s="551">
        <v>16</v>
      </c>
      <c r="C28" s="207">
        <f>'Margins summary'!$E$12</f>
        <v>1590</v>
      </c>
      <c r="D28" s="207">
        <f>'Margins summary'!$E$13</f>
        <v>220</v>
      </c>
      <c r="E28" s="207">
        <f>'Margins summary'!$E$18</f>
        <v>1810</v>
      </c>
      <c r="F28" s="207">
        <f>'Margins summary'!$E$24</f>
        <v>684.46423508399835</v>
      </c>
      <c r="G28" s="207">
        <f>'Margins summary'!$E$29</f>
        <v>841.31999999999994</v>
      </c>
      <c r="H28" s="207">
        <f t="shared" si="1"/>
        <v>1525.7842350839983</v>
      </c>
      <c r="I28" s="207">
        <f t="shared" si="2"/>
        <v>64.215764916001717</v>
      </c>
      <c r="J28" s="207">
        <f t="shared" si="0"/>
        <v>284.21576491600172</v>
      </c>
      <c r="K28" s="955">
        <f t="shared" si="3"/>
        <v>882.87055931410691</v>
      </c>
      <c r="L28" s="956">
        <f t="shared" si="4"/>
        <v>122.15819059692046</v>
      </c>
      <c r="M28" s="956">
        <f t="shared" si="5"/>
        <v>847.21382454167065</v>
      </c>
      <c r="N28" s="956">
        <f t="shared" si="6"/>
        <v>35.656734772436266</v>
      </c>
      <c r="O28" s="957">
        <f t="shared" si="7"/>
        <v>157.81492536935673</v>
      </c>
      <c r="P28" s="955">
        <f t="shared" si="9"/>
        <v>19268.236017147305</v>
      </c>
      <c r="Q28" s="956">
        <f t="shared" si="8"/>
        <v>2666.045235076986</v>
      </c>
      <c r="R28" s="956">
        <f t="shared" si="8"/>
        <v>18490.044498642172</v>
      </c>
      <c r="S28" s="956">
        <f t="shared" si="8"/>
        <v>778.19151850513754</v>
      </c>
      <c r="T28" s="957">
        <f t="shared" si="8"/>
        <v>3444.2367535821236</v>
      </c>
    </row>
    <row r="35" spans="2:20" x14ac:dyDescent="0.3">
      <c r="B35" s="211" t="s">
        <v>5</v>
      </c>
      <c r="C35" s="194"/>
      <c r="D35" s="193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</row>
    <row r="36" spans="2:20" x14ac:dyDescent="0.3">
      <c r="B36" s="203"/>
      <c r="C36" s="1124"/>
      <c r="D36" s="1124"/>
      <c r="E36" s="1124"/>
      <c r="F36" s="148"/>
      <c r="G36" s="1124"/>
      <c r="H36" s="1124"/>
      <c r="I36" s="148"/>
      <c r="J36" s="148"/>
      <c r="K36" s="1125" t="s">
        <v>279</v>
      </c>
      <c r="L36" s="1126"/>
      <c r="M36" s="1126"/>
      <c r="N36" s="1126"/>
      <c r="O36" s="1127"/>
      <c r="P36" s="1125" t="s">
        <v>280</v>
      </c>
      <c r="Q36" s="1126"/>
      <c r="R36" s="1126"/>
      <c r="S36" s="1126"/>
      <c r="T36" s="1127"/>
    </row>
    <row r="37" spans="2:20" ht="51" x14ac:dyDescent="0.3">
      <c r="B37" s="204" t="s">
        <v>281</v>
      </c>
      <c r="C37" s="171" t="s">
        <v>283</v>
      </c>
      <c r="D37" s="171" t="s">
        <v>10</v>
      </c>
      <c r="E37" s="171" t="s">
        <v>284</v>
      </c>
      <c r="F37" s="205" t="s">
        <v>300</v>
      </c>
      <c r="G37" s="171" t="s">
        <v>286</v>
      </c>
      <c r="H37" s="171" t="s">
        <v>287</v>
      </c>
      <c r="I37" s="171" t="s">
        <v>288</v>
      </c>
      <c r="J37" s="171" t="s">
        <v>289</v>
      </c>
      <c r="K37" s="195" t="s">
        <v>290</v>
      </c>
      <c r="L37" s="171" t="s">
        <v>291</v>
      </c>
      <c r="M37" s="171" t="s">
        <v>315</v>
      </c>
      <c r="N37" s="171" t="s">
        <v>293</v>
      </c>
      <c r="O37" s="198" t="s">
        <v>294</v>
      </c>
      <c r="P37" s="195" t="s">
        <v>295</v>
      </c>
      <c r="Q37" s="171" t="s">
        <v>296</v>
      </c>
      <c r="R37" s="171" t="s">
        <v>316</v>
      </c>
      <c r="S37" s="171" t="s">
        <v>298</v>
      </c>
      <c r="T37" s="198" t="s">
        <v>299</v>
      </c>
    </row>
    <row r="38" spans="2:20" x14ac:dyDescent="0.3">
      <c r="B38" s="173"/>
      <c r="C38" s="201" t="s">
        <v>474</v>
      </c>
      <c r="D38" s="201" t="s">
        <v>474</v>
      </c>
      <c r="E38" s="201" t="s">
        <v>474</v>
      </c>
      <c r="F38" s="201" t="s">
        <v>474</v>
      </c>
      <c r="G38" s="201" t="s">
        <v>474</v>
      </c>
      <c r="H38" s="201" t="s">
        <v>474</v>
      </c>
      <c r="I38" s="201" t="s">
        <v>474</v>
      </c>
      <c r="J38" s="202" t="s">
        <v>455</v>
      </c>
      <c r="K38" s="201" t="s">
        <v>474</v>
      </c>
      <c r="L38" s="201" t="s">
        <v>474</v>
      </c>
      <c r="M38" s="201" t="s">
        <v>474</v>
      </c>
      <c r="N38" s="201" t="s">
        <v>474</v>
      </c>
      <c r="O38" s="202" t="s">
        <v>474</v>
      </c>
      <c r="P38" s="201" t="s">
        <v>474</v>
      </c>
      <c r="Q38" s="201" t="s">
        <v>474</v>
      </c>
      <c r="R38" s="201" t="s">
        <v>474</v>
      </c>
      <c r="S38" s="201" t="s">
        <v>474</v>
      </c>
      <c r="T38" s="202" t="s">
        <v>474</v>
      </c>
    </row>
    <row r="39" spans="2:20" x14ac:dyDescent="0.3">
      <c r="B39" s="715">
        <v>1</v>
      </c>
      <c r="C39" s="197">
        <f>'Margins summary'!$F$12</f>
        <v>1127</v>
      </c>
      <c r="D39" s="197">
        <f>'Margins summary'!$F$13</f>
        <v>220</v>
      </c>
      <c r="E39" s="197">
        <f>'Margins summary'!$F$18</f>
        <v>1347</v>
      </c>
      <c r="F39" s="197">
        <f>'Margins summary'!$F$24</f>
        <v>418.54877602277168</v>
      </c>
      <c r="G39" s="197">
        <f>'Margins summary'!$F$29</f>
        <v>773.65999999999985</v>
      </c>
      <c r="H39" s="197">
        <f>F39+G39</f>
        <v>1192.2087760227714</v>
      </c>
      <c r="I39" s="197">
        <f>C39-H39</f>
        <v>-65.208776022771417</v>
      </c>
      <c r="J39" s="197">
        <f t="shared" ref="J39:J54" si="10">E39-H39</f>
        <v>154.79122397722858</v>
      </c>
      <c r="K39" s="952">
        <f>C39/(1+$C$6)^($B39-1)</f>
        <v>1127</v>
      </c>
      <c r="L39" s="958">
        <f>D39/(1+$C$6)^($B39-1)</f>
        <v>220</v>
      </c>
      <c r="M39" s="953">
        <f>H39/(1+$C$6)^($B39-1)</f>
        <v>1192.2087760227714</v>
      </c>
      <c r="N39" s="953">
        <f>K39-M39</f>
        <v>-65.208776022771417</v>
      </c>
      <c r="O39" s="954">
        <f>N39+L39</f>
        <v>154.79122397722858</v>
      </c>
      <c r="P39" s="952">
        <f>K39</f>
        <v>1127</v>
      </c>
      <c r="Q39" s="953">
        <f>L39</f>
        <v>220</v>
      </c>
      <c r="R39" s="953">
        <f>M39</f>
        <v>1192.2087760227714</v>
      </c>
      <c r="S39" s="953">
        <f>N39</f>
        <v>-65.208776022771417</v>
      </c>
      <c r="T39" s="954">
        <f>O39</f>
        <v>154.79122397722858</v>
      </c>
    </row>
    <row r="40" spans="2:20" x14ac:dyDescent="0.3">
      <c r="B40" s="410">
        <v>2</v>
      </c>
      <c r="C40" s="197">
        <f>'Margins summary'!$F$12</f>
        <v>1127</v>
      </c>
      <c r="D40" s="197">
        <f>'Margins summary'!$F$13</f>
        <v>220</v>
      </c>
      <c r="E40" s="197">
        <f>'Margins summary'!$F$18</f>
        <v>1347</v>
      </c>
      <c r="F40" s="197">
        <f>'Margins summary'!$F$24</f>
        <v>418.54877602277168</v>
      </c>
      <c r="G40" s="197">
        <f>'Margins summary'!$F$29</f>
        <v>773.65999999999985</v>
      </c>
      <c r="H40" s="197">
        <f t="shared" ref="H40:H54" si="11">F40+G40</f>
        <v>1192.2087760227714</v>
      </c>
      <c r="I40" s="197">
        <f t="shared" ref="I40:I54" si="12">C40-H40</f>
        <v>-65.208776022771417</v>
      </c>
      <c r="J40" s="197">
        <f t="shared" si="10"/>
        <v>154.79122397722858</v>
      </c>
      <c r="K40" s="952">
        <f t="shared" ref="K40:K54" si="13">C40/(1+$C$6)^($B40-1)</f>
        <v>1083.6538461538462</v>
      </c>
      <c r="L40" s="953">
        <f t="shared" ref="L40:L54" si="14">D40/(1+$C$6)^($B40-1)</f>
        <v>211.53846153846152</v>
      </c>
      <c r="M40" s="953">
        <f t="shared" ref="M40:M54" si="15">H40/(1+$C$6)^($B40-1)</f>
        <v>1146.3545923295878</v>
      </c>
      <c r="N40" s="953">
        <f t="shared" ref="N40:N54" si="16">K40-M40</f>
        <v>-62.700746175741642</v>
      </c>
      <c r="O40" s="954">
        <f t="shared" ref="O40:O54" si="17">N40+L40</f>
        <v>148.83771536271988</v>
      </c>
      <c r="P40" s="952">
        <f>P39+K40</f>
        <v>2210.6538461538462</v>
      </c>
      <c r="Q40" s="953">
        <f t="shared" ref="Q40:Q54" si="18">Q39+L40</f>
        <v>431.53846153846155</v>
      </c>
      <c r="R40" s="953">
        <f t="shared" ref="R40:R54" si="19">R39+M40</f>
        <v>2338.5633683523592</v>
      </c>
      <c r="S40" s="953">
        <f t="shared" ref="S40:S54" si="20">S39+N40</f>
        <v>-127.90952219851306</v>
      </c>
      <c r="T40" s="954">
        <f t="shared" ref="T40:T54" si="21">T39+O40</f>
        <v>303.62893933994849</v>
      </c>
    </row>
    <row r="41" spans="2:20" x14ac:dyDescent="0.3">
      <c r="B41" s="410">
        <v>3</v>
      </c>
      <c r="C41" s="197">
        <f>'Margins summary'!$F$12</f>
        <v>1127</v>
      </c>
      <c r="D41" s="197">
        <f>'Margins summary'!$F$13</f>
        <v>220</v>
      </c>
      <c r="E41" s="197">
        <f>'Margins summary'!$F$18</f>
        <v>1347</v>
      </c>
      <c r="F41" s="197">
        <f>'Margins summary'!$F$24</f>
        <v>418.54877602277168</v>
      </c>
      <c r="G41" s="197">
        <f>'Margins summary'!$F$29</f>
        <v>773.65999999999985</v>
      </c>
      <c r="H41" s="197">
        <f t="shared" si="11"/>
        <v>1192.2087760227714</v>
      </c>
      <c r="I41" s="197">
        <f t="shared" si="12"/>
        <v>-65.208776022771417</v>
      </c>
      <c r="J41" s="197">
        <f t="shared" si="10"/>
        <v>154.79122397722858</v>
      </c>
      <c r="K41" s="952">
        <f t="shared" si="13"/>
        <v>1041.9748520710059</v>
      </c>
      <c r="L41" s="953">
        <f t="shared" si="14"/>
        <v>203.40236686390531</v>
      </c>
      <c r="M41" s="953">
        <f t="shared" si="15"/>
        <v>1102.264031086142</v>
      </c>
      <c r="N41" s="953">
        <f t="shared" si="16"/>
        <v>-60.289179015136142</v>
      </c>
      <c r="O41" s="954">
        <f t="shared" si="17"/>
        <v>143.11318784876917</v>
      </c>
      <c r="P41" s="952">
        <f t="shared" ref="P41:P54" si="22">P40+K41</f>
        <v>3252.6286982248521</v>
      </c>
      <c r="Q41" s="953">
        <f t="shared" si="18"/>
        <v>634.94082840236683</v>
      </c>
      <c r="R41" s="953">
        <f t="shared" si="19"/>
        <v>3440.8273994385013</v>
      </c>
      <c r="S41" s="953">
        <f t="shared" si="20"/>
        <v>-188.1987012136492</v>
      </c>
      <c r="T41" s="954">
        <f t="shared" si="21"/>
        <v>446.74212718871763</v>
      </c>
    </row>
    <row r="42" spans="2:20" x14ac:dyDescent="0.3">
      <c r="B42" s="410">
        <v>4</v>
      </c>
      <c r="C42" s="197">
        <f>'Margins summary'!$F$12</f>
        <v>1127</v>
      </c>
      <c r="D42" s="197">
        <f>'Margins summary'!$F$13</f>
        <v>220</v>
      </c>
      <c r="E42" s="197">
        <f>'Margins summary'!$F$18</f>
        <v>1347</v>
      </c>
      <c r="F42" s="197">
        <f>'Margins summary'!$F$24</f>
        <v>418.54877602277168</v>
      </c>
      <c r="G42" s="197">
        <f>'Margins summary'!$F$29</f>
        <v>773.65999999999985</v>
      </c>
      <c r="H42" s="197">
        <f t="shared" si="11"/>
        <v>1192.2087760227714</v>
      </c>
      <c r="I42" s="197">
        <f t="shared" si="12"/>
        <v>-65.208776022771417</v>
      </c>
      <c r="J42" s="197">
        <f t="shared" si="10"/>
        <v>154.79122397722858</v>
      </c>
      <c r="K42" s="952">
        <f t="shared" si="13"/>
        <v>1001.898896222121</v>
      </c>
      <c r="L42" s="953">
        <f t="shared" si="14"/>
        <v>195.57919890760127</v>
      </c>
      <c r="M42" s="953">
        <f t="shared" si="15"/>
        <v>1059.8692606597519</v>
      </c>
      <c r="N42" s="953">
        <f t="shared" si="16"/>
        <v>-57.970364437630906</v>
      </c>
      <c r="O42" s="954">
        <f t="shared" si="17"/>
        <v>137.60883446997036</v>
      </c>
      <c r="P42" s="952">
        <f t="shared" si="22"/>
        <v>4254.5275944469731</v>
      </c>
      <c r="Q42" s="953">
        <f t="shared" si="18"/>
        <v>830.5200273099681</v>
      </c>
      <c r="R42" s="953">
        <f t="shared" si="19"/>
        <v>4500.6966600982532</v>
      </c>
      <c r="S42" s="953">
        <f t="shared" si="20"/>
        <v>-246.16906565128011</v>
      </c>
      <c r="T42" s="954">
        <f t="shared" si="21"/>
        <v>584.35096165868799</v>
      </c>
    </row>
    <row r="43" spans="2:20" x14ac:dyDescent="0.3">
      <c r="B43" s="410">
        <v>5</v>
      </c>
      <c r="C43" s="197">
        <f>'Margins summary'!$F$12</f>
        <v>1127</v>
      </c>
      <c r="D43" s="197">
        <f>'Margins summary'!$F$13</f>
        <v>220</v>
      </c>
      <c r="E43" s="197">
        <f>'Margins summary'!$F$18</f>
        <v>1347</v>
      </c>
      <c r="F43" s="197">
        <f>'Margins summary'!$F$24</f>
        <v>418.54877602277168</v>
      </c>
      <c r="G43" s="197">
        <f>'Margins summary'!$F$29</f>
        <v>773.65999999999985</v>
      </c>
      <c r="H43" s="197">
        <f t="shared" si="11"/>
        <v>1192.2087760227714</v>
      </c>
      <c r="I43" s="197">
        <f t="shared" si="12"/>
        <v>-65.208776022771417</v>
      </c>
      <c r="J43" s="197">
        <f t="shared" si="10"/>
        <v>154.79122397722858</v>
      </c>
      <c r="K43" s="952">
        <f t="shared" si="13"/>
        <v>963.36432329050081</v>
      </c>
      <c r="L43" s="953">
        <f t="shared" si="14"/>
        <v>188.05692202653967</v>
      </c>
      <c r="M43" s="953">
        <f t="shared" si="15"/>
        <v>1019.1050583266846</v>
      </c>
      <c r="N43" s="953">
        <f t="shared" si="16"/>
        <v>-55.740735036183764</v>
      </c>
      <c r="O43" s="954">
        <f t="shared" si="17"/>
        <v>132.3161869903559</v>
      </c>
      <c r="P43" s="952">
        <f t="shared" si="22"/>
        <v>5217.8919177374737</v>
      </c>
      <c r="Q43" s="953">
        <f t="shared" si="18"/>
        <v>1018.5769493365078</v>
      </c>
      <c r="R43" s="953">
        <f t="shared" si="19"/>
        <v>5519.8017184249375</v>
      </c>
      <c r="S43" s="953">
        <f t="shared" si="20"/>
        <v>-301.90980068746387</v>
      </c>
      <c r="T43" s="954">
        <f t="shared" si="21"/>
        <v>716.66714864904384</v>
      </c>
    </row>
    <row r="44" spans="2:20" x14ac:dyDescent="0.3">
      <c r="B44" s="410">
        <v>6</v>
      </c>
      <c r="C44" s="197">
        <f>'Margins summary'!$F$12</f>
        <v>1127</v>
      </c>
      <c r="D44" s="197">
        <f>'Margins summary'!$F$13</f>
        <v>220</v>
      </c>
      <c r="E44" s="197">
        <f>'Margins summary'!$F$18</f>
        <v>1347</v>
      </c>
      <c r="F44" s="197">
        <f>'Margins summary'!$F$24</f>
        <v>418.54877602277168</v>
      </c>
      <c r="G44" s="197">
        <f>'Margins summary'!$F$29</f>
        <v>773.65999999999985</v>
      </c>
      <c r="H44" s="197">
        <f t="shared" si="11"/>
        <v>1192.2087760227714</v>
      </c>
      <c r="I44" s="197">
        <f t="shared" si="12"/>
        <v>-65.208776022771417</v>
      </c>
      <c r="J44" s="197">
        <f t="shared" si="10"/>
        <v>154.79122397722858</v>
      </c>
      <c r="K44" s="952">
        <f t="shared" si="13"/>
        <v>926.31184931778921</v>
      </c>
      <c r="L44" s="953">
        <f t="shared" si="14"/>
        <v>180.82396348705734</v>
      </c>
      <c r="M44" s="953">
        <f t="shared" si="15"/>
        <v>979.90870992950431</v>
      </c>
      <c r="N44" s="953">
        <f t="shared" si="16"/>
        <v>-53.596860611715101</v>
      </c>
      <c r="O44" s="954">
        <f t="shared" si="17"/>
        <v>127.22710287534224</v>
      </c>
      <c r="P44" s="952">
        <f t="shared" si="22"/>
        <v>6144.2037670552627</v>
      </c>
      <c r="Q44" s="953">
        <f t="shared" si="18"/>
        <v>1199.4009128235652</v>
      </c>
      <c r="R44" s="953">
        <f t="shared" si="19"/>
        <v>6499.7104283544413</v>
      </c>
      <c r="S44" s="953">
        <f t="shared" si="20"/>
        <v>-355.50666129917897</v>
      </c>
      <c r="T44" s="954">
        <f t="shared" si="21"/>
        <v>843.89425152438605</v>
      </c>
    </row>
    <row r="45" spans="2:20" x14ac:dyDescent="0.3">
      <c r="B45" s="410">
        <v>7</v>
      </c>
      <c r="C45" s="197">
        <f>'Margins summary'!$F$12</f>
        <v>1127</v>
      </c>
      <c r="D45" s="197">
        <f>'Margins summary'!$F$13</f>
        <v>220</v>
      </c>
      <c r="E45" s="197">
        <f>'Margins summary'!$F$18</f>
        <v>1347</v>
      </c>
      <c r="F45" s="197">
        <f>'Margins summary'!$F$24</f>
        <v>418.54877602277168</v>
      </c>
      <c r="G45" s="197">
        <f>'Margins summary'!$F$29</f>
        <v>773.65999999999985</v>
      </c>
      <c r="H45" s="197">
        <f t="shared" si="11"/>
        <v>1192.2087760227714</v>
      </c>
      <c r="I45" s="197">
        <f t="shared" si="12"/>
        <v>-65.208776022771417</v>
      </c>
      <c r="J45" s="197">
        <f t="shared" si="10"/>
        <v>154.79122397722858</v>
      </c>
      <c r="K45" s="952">
        <f t="shared" si="13"/>
        <v>890.68447049787426</v>
      </c>
      <c r="L45" s="953">
        <f t="shared" si="14"/>
        <v>173.86919566063204</v>
      </c>
      <c r="M45" s="953">
        <f t="shared" si="15"/>
        <v>942.21991339375415</v>
      </c>
      <c r="N45" s="953">
        <f t="shared" si="16"/>
        <v>-51.535442895879896</v>
      </c>
      <c r="O45" s="954">
        <f t="shared" si="17"/>
        <v>122.33375276475215</v>
      </c>
      <c r="P45" s="952">
        <f t="shared" si="22"/>
        <v>7034.8882375531366</v>
      </c>
      <c r="Q45" s="953">
        <f t="shared" si="18"/>
        <v>1373.2701084841974</v>
      </c>
      <c r="R45" s="953">
        <f t="shared" si="19"/>
        <v>7441.9303417481951</v>
      </c>
      <c r="S45" s="953">
        <f t="shared" si="20"/>
        <v>-407.04210419505887</v>
      </c>
      <c r="T45" s="954">
        <f t="shared" si="21"/>
        <v>966.2280042891382</v>
      </c>
    </row>
    <row r="46" spans="2:20" x14ac:dyDescent="0.3">
      <c r="B46" s="410">
        <v>8</v>
      </c>
      <c r="C46" s="197">
        <f>'Margins summary'!$F$12</f>
        <v>1127</v>
      </c>
      <c r="D46" s="197">
        <f>'Margins summary'!$F$13</f>
        <v>220</v>
      </c>
      <c r="E46" s="197">
        <f>'Margins summary'!$F$18</f>
        <v>1347</v>
      </c>
      <c r="F46" s="197">
        <f>'Margins summary'!$F$24</f>
        <v>418.54877602277168</v>
      </c>
      <c r="G46" s="197">
        <f>'Margins summary'!$F$29</f>
        <v>773.65999999999985</v>
      </c>
      <c r="H46" s="197">
        <f t="shared" si="11"/>
        <v>1192.2087760227714</v>
      </c>
      <c r="I46" s="197">
        <f t="shared" si="12"/>
        <v>-65.208776022771417</v>
      </c>
      <c r="J46" s="197">
        <f t="shared" si="10"/>
        <v>154.79122397722858</v>
      </c>
      <c r="K46" s="952">
        <f t="shared" si="13"/>
        <v>856.42737547872525</v>
      </c>
      <c r="L46" s="953">
        <f t="shared" si="14"/>
        <v>167.18191890445391</v>
      </c>
      <c r="M46" s="953">
        <f t="shared" si="15"/>
        <v>905.98068595553286</v>
      </c>
      <c r="N46" s="953">
        <f t="shared" si="16"/>
        <v>-49.55331047680761</v>
      </c>
      <c r="O46" s="954">
        <f t="shared" si="17"/>
        <v>117.6286084276463</v>
      </c>
      <c r="P46" s="952">
        <f t="shared" si="22"/>
        <v>7891.3156130318621</v>
      </c>
      <c r="Q46" s="953">
        <f t="shared" si="18"/>
        <v>1540.4520273886512</v>
      </c>
      <c r="R46" s="953">
        <f t="shared" si="19"/>
        <v>8347.9110277037289</v>
      </c>
      <c r="S46" s="953">
        <f t="shared" si="20"/>
        <v>-456.59541467186648</v>
      </c>
      <c r="T46" s="954">
        <f t="shared" si="21"/>
        <v>1083.8566127167844</v>
      </c>
    </row>
    <row r="47" spans="2:20" x14ac:dyDescent="0.3">
      <c r="B47" s="410">
        <v>9</v>
      </c>
      <c r="C47" s="197">
        <f>'Margins summary'!$F$12</f>
        <v>1127</v>
      </c>
      <c r="D47" s="197">
        <f>'Margins summary'!$F$13</f>
        <v>220</v>
      </c>
      <c r="E47" s="197">
        <f>'Margins summary'!$F$18</f>
        <v>1347</v>
      </c>
      <c r="F47" s="197">
        <f>'Margins summary'!$F$24</f>
        <v>418.54877602277168</v>
      </c>
      <c r="G47" s="197">
        <f>'Margins summary'!$F$29</f>
        <v>773.65999999999985</v>
      </c>
      <c r="H47" s="197">
        <f t="shared" si="11"/>
        <v>1192.2087760227714</v>
      </c>
      <c r="I47" s="197">
        <f t="shared" si="12"/>
        <v>-65.208776022771417</v>
      </c>
      <c r="J47" s="197">
        <f t="shared" si="10"/>
        <v>154.79122397722858</v>
      </c>
      <c r="K47" s="952">
        <f t="shared" si="13"/>
        <v>823.48786103723569</v>
      </c>
      <c r="L47" s="953">
        <f t="shared" si="14"/>
        <v>160.75184510043644</v>
      </c>
      <c r="M47" s="953">
        <f t="shared" si="15"/>
        <v>871.13527495724304</v>
      </c>
      <c r="N47" s="953">
        <f t="shared" si="16"/>
        <v>-47.647413920007352</v>
      </c>
      <c r="O47" s="954">
        <f t="shared" si="17"/>
        <v>113.10443118042909</v>
      </c>
      <c r="P47" s="952">
        <f t="shared" si="22"/>
        <v>8714.8034740690982</v>
      </c>
      <c r="Q47" s="953">
        <f t="shared" si="18"/>
        <v>1701.2038724890876</v>
      </c>
      <c r="R47" s="953">
        <f t="shared" si="19"/>
        <v>9219.0463026609723</v>
      </c>
      <c r="S47" s="953">
        <f t="shared" si="20"/>
        <v>-504.24282859187383</v>
      </c>
      <c r="T47" s="954">
        <f t="shared" si="21"/>
        <v>1196.9610438972136</v>
      </c>
    </row>
    <row r="48" spans="2:20" x14ac:dyDescent="0.3">
      <c r="B48" s="410">
        <v>10</v>
      </c>
      <c r="C48" s="197">
        <f>'Margins summary'!$F$12</f>
        <v>1127</v>
      </c>
      <c r="D48" s="197">
        <f>'Margins summary'!$F$13</f>
        <v>220</v>
      </c>
      <c r="E48" s="197">
        <f>'Margins summary'!$F$18</f>
        <v>1347</v>
      </c>
      <c r="F48" s="197">
        <f>'Margins summary'!$F$24</f>
        <v>418.54877602277168</v>
      </c>
      <c r="G48" s="197">
        <f>'Margins summary'!$F$29</f>
        <v>773.65999999999985</v>
      </c>
      <c r="H48" s="197">
        <f t="shared" si="11"/>
        <v>1192.2087760227714</v>
      </c>
      <c r="I48" s="197">
        <f t="shared" si="12"/>
        <v>-65.208776022771417</v>
      </c>
      <c r="J48" s="197">
        <f t="shared" si="10"/>
        <v>154.79122397722858</v>
      </c>
      <c r="K48" s="952">
        <f t="shared" si="13"/>
        <v>791.81525099734199</v>
      </c>
      <c r="L48" s="953">
        <f t="shared" si="14"/>
        <v>154.5690818273427</v>
      </c>
      <c r="M48" s="953">
        <f t="shared" si="15"/>
        <v>837.63007207427199</v>
      </c>
      <c r="N48" s="953">
        <f t="shared" si="16"/>
        <v>-45.814821076930002</v>
      </c>
      <c r="O48" s="954">
        <f t="shared" si="17"/>
        <v>108.7542607504127</v>
      </c>
      <c r="P48" s="952">
        <f t="shared" si="22"/>
        <v>9506.6187250664407</v>
      </c>
      <c r="Q48" s="953">
        <f t="shared" si="18"/>
        <v>1855.7729543164303</v>
      </c>
      <c r="R48" s="953">
        <f t="shared" si="19"/>
        <v>10056.676374735245</v>
      </c>
      <c r="S48" s="953">
        <f t="shared" si="20"/>
        <v>-550.05764966880383</v>
      </c>
      <c r="T48" s="954">
        <f t="shared" si="21"/>
        <v>1305.7153046476262</v>
      </c>
    </row>
    <row r="49" spans="2:20" x14ac:dyDescent="0.3">
      <c r="B49" s="410">
        <v>11</v>
      </c>
      <c r="C49" s="197">
        <f>'Margins summary'!$F$12</f>
        <v>1127</v>
      </c>
      <c r="D49" s="197">
        <f>'Margins summary'!$F$13</f>
        <v>220</v>
      </c>
      <c r="E49" s="197">
        <f>'Margins summary'!$F$18</f>
        <v>1347</v>
      </c>
      <c r="F49" s="197">
        <f>'Margins summary'!$F$24</f>
        <v>418.54877602277168</v>
      </c>
      <c r="G49" s="197">
        <f>'Margins summary'!$F$29</f>
        <v>773.65999999999985</v>
      </c>
      <c r="H49" s="197">
        <f t="shared" si="11"/>
        <v>1192.2087760227714</v>
      </c>
      <c r="I49" s="197">
        <f t="shared" si="12"/>
        <v>-65.208776022771417</v>
      </c>
      <c r="J49" s="197">
        <f t="shared" si="10"/>
        <v>154.79122397722858</v>
      </c>
      <c r="K49" s="952">
        <f t="shared" si="13"/>
        <v>761.36081826667498</v>
      </c>
      <c r="L49" s="953">
        <f t="shared" si="14"/>
        <v>148.62411714167567</v>
      </c>
      <c r="M49" s="953">
        <f t="shared" si="15"/>
        <v>805.41353084064622</v>
      </c>
      <c r="N49" s="953">
        <f t="shared" si="16"/>
        <v>-44.052712573971235</v>
      </c>
      <c r="O49" s="954">
        <f t="shared" si="17"/>
        <v>104.57140456770443</v>
      </c>
      <c r="P49" s="952">
        <f t="shared" si="22"/>
        <v>10267.979543333116</v>
      </c>
      <c r="Q49" s="953">
        <f t="shared" si="18"/>
        <v>2004.397071458106</v>
      </c>
      <c r="R49" s="953">
        <f t="shared" si="19"/>
        <v>10862.089905575891</v>
      </c>
      <c r="S49" s="953">
        <f t="shared" si="20"/>
        <v>-594.11036224277507</v>
      </c>
      <c r="T49" s="954">
        <f t="shared" si="21"/>
        <v>1410.2867092153306</v>
      </c>
    </row>
    <row r="50" spans="2:20" x14ac:dyDescent="0.3">
      <c r="B50" s="410">
        <v>12</v>
      </c>
      <c r="C50" s="197">
        <f>'Margins summary'!$F$12</f>
        <v>1127</v>
      </c>
      <c r="D50" s="197">
        <f>'Margins summary'!$F$13</f>
        <v>220</v>
      </c>
      <c r="E50" s="197">
        <f>'Margins summary'!$F$18</f>
        <v>1347</v>
      </c>
      <c r="F50" s="197">
        <f>'Margins summary'!$F$24</f>
        <v>418.54877602277168</v>
      </c>
      <c r="G50" s="197">
        <f>'Margins summary'!$F$29</f>
        <v>773.65999999999985</v>
      </c>
      <c r="H50" s="197">
        <f t="shared" si="11"/>
        <v>1192.2087760227714</v>
      </c>
      <c r="I50" s="197">
        <f t="shared" si="12"/>
        <v>-65.208776022771417</v>
      </c>
      <c r="J50" s="197">
        <f t="shared" si="10"/>
        <v>154.79122397722858</v>
      </c>
      <c r="K50" s="952">
        <f t="shared" si="13"/>
        <v>732.07770987180288</v>
      </c>
      <c r="L50" s="953">
        <f t="shared" si="14"/>
        <v>142.90780494391893</v>
      </c>
      <c r="M50" s="953">
        <f t="shared" si="15"/>
        <v>774.43608734677525</v>
      </c>
      <c r="N50" s="953">
        <f t="shared" si="16"/>
        <v>-42.358377474972372</v>
      </c>
      <c r="O50" s="954">
        <f t="shared" si="17"/>
        <v>100.54942746894656</v>
      </c>
      <c r="P50" s="952">
        <f t="shared" si="22"/>
        <v>11000.057253204919</v>
      </c>
      <c r="Q50" s="953">
        <f t="shared" si="18"/>
        <v>2147.304876402025</v>
      </c>
      <c r="R50" s="953">
        <f t="shared" si="19"/>
        <v>11636.525992922667</v>
      </c>
      <c r="S50" s="953">
        <f t="shared" si="20"/>
        <v>-636.46873971774744</v>
      </c>
      <c r="T50" s="954">
        <f t="shared" si="21"/>
        <v>1510.8361366842771</v>
      </c>
    </row>
    <row r="51" spans="2:20" x14ac:dyDescent="0.3">
      <c r="B51" s="410">
        <v>13</v>
      </c>
      <c r="C51" s="197">
        <f>'Margins summary'!$F$12</f>
        <v>1127</v>
      </c>
      <c r="D51" s="197">
        <f>'Margins summary'!$F$13</f>
        <v>220</v>
      </c>
      <c r="E51" s="197">
        <f>'Margins summary'!$F$18</f>
        <v>1347</v>
      </c>
      <c r="F51" s="197">
        <f>'Margins summary'!$F$24</f>
        <v>418.54877602277168</v>
      </c>
      <c r="G51" s="197">
        <f>'Margins summary'!$F$29</f>
        <v>773.65999999999985</v>
      </c>
      <c r="H51" s="197">
        <f t="shared" si="11"/>
        <v>1192.2087760227714</v>
      </c>
      <c r="I51" s="197">
        <f t="shared" si="12"/>
        <v>-65.208776022771417</v>
      </c>
      <c r="J51" s="197">
        <f t="shared" si="10"/>
        <v>154.79122397722858</v>
      </c>
      <c r="K51" s="952">
        <f t="shared" si="13"/>
        <v>703.92087487673336</v>
      </c>
      <c r="L51" s="953">
        <f t="shared" si="14"/>
        <v>137.41135090761432</v>
      </c>
      <c r="M51" s="953">
        <f t="shared" si="15"/>
        <v>744.65008398728378</v>
      </c>
      <c r="N51" s="953">
        <f t="shared" si="16"/>
        <v>-40.729209110550414</v>
      </c>
      <c r="O51" s="954">
        <f t="shared" si="17"/>
        <v>96.682141797063906</v>
      </c>
      <c r="P51" s="952">
        <f t="shared" si="22"/>
        <v>11703.978128081653</v>
      </c>
      <c r="Q51" s="953">
        <f t="shared" si="18"/>
        <v>2284.7162273096392</v>
      </c>
      <c r="R51" s="953">
        <f t="shared" si="19"/>
        <v>12381.176076909951</v>
      </c>
      <c r="S51" s="953">
        <f t="shared" si="20"/>
        <v>-677.19794882829785</v>
      </c>
      <c r="T51" s="954">
        <f t="shared" si="21"/>
        <v>1607.518278481341</v>
      </c>
    </row>
    <row r="52" spans="2:20" x14ac:dyDescent="0.3">
      <c r="B52" s="410">
        <v>14</v>
      </c>
      <c r="C52" s="197">
        <f>'Margins summary'!$F$12</f>
        <v>1127</v>
      </c>
      <c r="D52" s="197">
        <f>'Margins summary'!$F$13</f>
        <v>220</v>
      </c>
      <c r="E52" s="197">
        <f>'Margins summary'!$F$18</f>
        <v>1347</v>
      </c>
      <c r="F52" s="197">
        <f>'Margins summary'!$F$24</f>
        <v>418.54877602277168</v>
      </c>
      <c r="G52" s="197">
        <f>'Margins summary'!$F$29</f>
        <v>773.65999999999985</v>
      </c>
      <c r="H52" s="197">
        <f t="shared" si="11"/>
        <v>1192.2087760227714</v>
      </c>
      <c r="I52" s="197">
        <f t="shared" si="12"/>
        <v>-65.208776022771417</v>
      </c>
      <c r="J52" s="197">
        <f t="shared" si="10"/>
        <v>154.79122397722858</v>
      </c>
      <c r="K52" s="952">
        <f t="shared" si="13"/>
        <v>676.84699507378207</v>
      </c>
      <c r="L52" s="953">
        <f t="shared" si="14"/>
        <v>132.12629894962916</v>
      </c>
      <c r="M52" s="953">
        <f t="shared" si="15"/>
        <v>716.00969614161897</v>
      </c>
      <c r="N52" s="953">
        <f t="shared" si="16"/>
        <v>-39.162701067836906</v>
      </c>
      <c r="O52" s="954">
        <f t="shared" si="17"/>
        <v>92.963597881792253</v>
      </c>
      <c r="P52" s="952">
        <f t="shared" si="22"/>
        <v>12380.825123155435</v>
      </c>
      <c r="Q52" s="953">
        <f t="shared" si="18"/>
        <v>2416.8425262592682</v>
      </c>
      <c r="R52" s="953">
        <f t="shared" si="19"/>
        <v>13097.185773051569</v>
      </c>
      <c r="S52" s="953">
        <f t="shared" si="20"/>
        <v>-716.36064989613476</v>
      </c>
      <c r="T52" s="954">
        <f t="shared" si="21"/>
        <v>1700.4818763631333</v>
      </c>
    </row>
    <row r="53" spans="2:20" x14ac:dyDescent="0.3">
      <c r="B53" s="410">
        <v>15</v>
      </c>
      <c r="C53" s="197">
        <f>'Margins summary'!$F$12</f>
        <v>1127</v>
      </c>
      <c r="D53" s="197">
        <f>'Margins summary'!$F$13</f>
        <v>220</v>
      </c>
      <c r="E53" s="197">
        <f>'Margins summary'!$F$18</f>
        <v>1347</v>
      </c>
      <c r="F53" s="197">
        <f>'Margins summary'!$F$24</f>
        <v>418.54877602277168</v>
      </c>
      <c r="G53" s="197">
        <f>'Margins summary'!$F$29</f>
        <v>773.65999999999985</v>
      </c>
      <c r="H53" s="197">
        <f t="shared" si="11"/>
        <v>1192.2087760227714</v>
      </c>
      <c r="I53" s="197">
        <f t="shared" si="12"/>
        <v>-65.208776022771417</v>
      </c>
      <c r="J53" s="197">
        <f t="shared" si="10"/>
        <v>154.79122397722858</v>
      </c>
      <c r="K53" s="952">
        <f t="shared" si="13"/>
        <v>650.81441834017517</v>
      </c>
      <c r="L53" s="953">
        <f t="shared" si="14"/>
        <v>127.04451822079727</v>
      </c>
      <c r="M53" s="953">
        <f t="shared" si="15"/>
        <v>688.47086167463362</v>
      </c>
      <c r="N53" s="953">
        <f t="shared" si="16"/>
        <v>-37.656443334458459</v>
      </c>
      <c r="O53" s="954">
        <f t="shared" si="17"/>
        <v>89.388074886338813</v>
      </c>
      <c r="P53" s="952">
        <f t="shared" si="22"/>
        <v>13031.63954149561</v>
      </c>
      <c r="Q53" s="953">
        <f t="shared" si="18"/>
        <v>2543.8870444800655</v>
      </c>
      <c r="R53" s="953">
        <f t="shared" si="19"/>
        <v>13785.656634726203</v>
      </c>
      <c r="S53" s="953">
        <f t="shared" si="20"/>
        <v>-754.01709323059322</v>
      </c>
      <c r="T53" s="954">
        <f t="shared" si="21"/>
        <v>1789.8699512494723</v>
      </c>
    </row>
    <row r="54" spans="2:20" x14ac:dyDescent="0.3">
      <c r="B54" s="551">
        <v>16</v>
      </c>
      <c r="C54" s="207">
        <f>'Margins summary'!$F$12</f>
        <v>1127</v>
      </c>
      <c r="D54" s="207">
        <f>'Margins summary'!$F$13</f>
        <v>220</v>
      </c>
      <c r="E54" s="207">
        <f>'Margins summary'!$F$18</f>
        <v>1347</v>
      </c>
      <c r="F54" s="207">
        <f>'Margins summary'!$F$24</f>
        <v>418.54877602277168</v>
      </c>
      <c r="G54" s="207">
        <f>'Margins summary'!$F$29</f>
        <v>773.65999999999985</v>
      </c>
      <c r="H54" s="207">
        <f t="shared" si="11"/>
        <v>1192.2087760227714</v>
      </c>
      <c r="I54" s="207">
        <f t="shared" si="12"/>
        <v>-65.208776022771417</v>
      </c>
      <c r="J54" s="207">
        <f t="shared" si="10"/>
        <v>154.79122397722858</v>
      </c>
      <c r="K54" s="955">
        <f t="shared" si="13"/>
        <v>625.78309455786075</v>
      </c>
      <c r="L54" s="956">
        <f t="shared" si="14"/>
        <v>122.15819059692046</v>
      </c>
      <c r="M54" s="956">
        <f t="shared" si="15"/>
        <v>661.99121314868614</v>
      </c>
      <c r="N54" s="956">
        <f t="shared" si="16"/>
        <v>-36.208118590825393</v>
      </c>
      <c r="O54" s="957">
        <f t="shared" si="17"/>
        <v>85.95007200609507</v>
      </c>
      <c r="P54" s="955">
        <f t="shared" si="22"/>
        <v>13657.42263605347</v>
      </c>
      <c r="Q54" s="956">
        <f t="shared" si="18"/>
        <v>2666.045235076986</v>
      </c>
      <c r="R54" s="956">
        <f t="shared" si="19"/>
        <v>14447.647847874889</v>
      </c>
      <c r="S54" s="956">
        <f t="shared" si="20"/>
        <v>-790.22521182141861</v>
      </c>
      <c r="T54" s="957">
        <f t="shared" si="21"/>
        <v>1875.8200232555673</v>
      </c>
    </row>
    <row r="61" spans="2:20" x14ac:dyDescent="0.3">
      <c r="B61" s="211" t="s">
        <v>6</v>
      </c>
      <c r="C61" s="194"/>
      <c r="D61" s="193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</row>
    <row r="62" spans="2:20" x14ac:dyDescent="0.3">
      <c r="B62" s="203"/>
      <c r="C62" s="1124"/>
      <c r="D62" s="1124"/>
      <c r="E62" s="1124"/>
      <c r="F62" s="148"/>
      <c r="G62" s="1124"/>
      <c r="H62" s="1124"/>
      <c r="I62" s="148"/>
      <c r="J62" s="148"/>
      <c r="K62" s="1125" t="s">
        <v>279</v>
      </c>
      <c r="L62" s="1126"/>
      <c r="M62" s="1126"/>
      <c r="N62" s="1126"/>
      <c r="O62" s="1127"/>
      <c r="P62" s="1125" t="s">
        <v>280</v>
      </c>
      <c r="Q62" s="1126"/>
      <c r="R62" s="1126"/>
      <c r="S62" s="1126"/>
      <c r="T62" s="1127"/>
    </row>
    <row r="63" spans="2:20" ht="51" x14ac:dyDescent="0.3">
      <c r="B63" s="204" t="s">
        <v>281</v>
      </c>
      <c r="C63" s="171" t="s">
        <v>283</v>
      </c>
      <c r="D63" s="171" t="s">
        <v>10</v>
      </c>
      <c r="E63" s="171" t="s">
        <v>284</v>
      </c>
      <c r="F63" s="205" t="s">
        <v>300</v>
      </c>
      <c r="G63" s="171" t="s">
        <v>286</v>
      </c>
      <c r="H63" s="171" t="s">
        <v>287</v>
      </c>
      <c r="I63" s="171" t="s">
        <v>288</v>
      </c>
      <c r="J63" s="171" t="s">
        <v>289</v>
      </c>
      <c r="K63" s="195" t="s">
        <v>290</v>
      </c>
      <c r="L63" s="171" t="s">
        <v>291</v>
      </c>
      <c r="M63" s="171" t="s">
        <v>292</v>
      </c>
      <c r="N63" s="171" t="s">
        <v>293</v>
      </c>
      <c r="O63" s="198" t="s">
        <v>294</v>
      </c>
      <c r="P63" s="195" t="s">
        <v>295</v>
      </c>
      <c r="Q63" s="171" t="s">
        <v>296</v>
      </c>
      <c r="R63" s="171" t="s">
        <v>297</v>
      </c>
      <c r="S63" s="171" t="s">
        <v>298</v>
      </c>
      <c r="T63" s="198" t="s">
        <v>299</v>
      </c>
    </row>
    <row r="64" spans="2:20" x14ac:dyDescent="0.3">
      <c r="B64" s="173"/>
      <c r="C64" s="201" t="s">
        <v>474</v>
      </c>
      <c r="D64" s="201" t="s">
        <v>474</v>
      </c>
      <c r="E64" s="201" t="s">
        <v>474</v>
      </c>
      <c r="F64" s="201" t="s">
        <v>474</v>
      </c>
      <c r="G64" s="201" t="s">
        <v>474</v>
      </c>
      <c r="H64" s="201" t="s">
        <v>474</v>
      </c>
      <c r="I64" s="201" t="s">
        <v>474</v>
      </c>
      <c r="J64" s="202" t="s">
        <v>455</v>
      </c>
      <c r="K64" s="201" t="s">
        <v>474</v>
      </c>
      <c r="L64" s="201" t="s">
        <v>474</v>
      </c>
      <c r="M64" s="201" t="s">
        <v>474</v>
      </c>
      <c r="N64" s="201" t="s">
        <v>474</v>
      </c>
      <c r="O64" s="202" t="s">
        <v>474</v>
      </c>
      <c r="P64" s="201" t="s">
        <v>474</v>
      </c>
      <c r="Q64" s="201" t="s">
        <v>474</v>
      </c>
      <c r="R64" s="201" t="s">
        <v>474</v>
      </c>
      <c r="S64" s="201" t="s">
        <v>474</v>
      </c>
      <c r="T64" s="202" t="s">
        <v>474</v>
      </c>
    </row>
    <row r="65" spans="2:20" x14ac:dyDescent="0.3">
      <c r="B65" s="715">
        <v>1</v>
      </c>
      <c r="C65" s="197">
        <f>'Margins summary'!$G$12</f>
        <v>1270</v>
      </c>
      <c r="D65" s="197">
        <f>'Margins summary'!$G$13</f>
        <v>220</v>
      </c>
      <c r="E65" s="197">
        <f>'Margins summary'!$G$18</f>
        <v>1490</v>
      </c>
      <c r="F65" s="197">
        <f>'Margins summary'!$G$24</f>
        <v>541.75901992521074</v>
      </c>
      <c r="G65" s="197">
        <f>'Margins summary'!$G$29</f>
        <v>621.47428571428577</v>
      </c>
      <c r="H65" s="197">
        <f>F65+G65</f>
        <v>1163.2333056394964</v>
      </c>
      <c r="I65" s="197">
        <f>C65-H65</f>
        <v>106.76669436050361</v>
      </c>
      <c r="J65" s="197">
        <f t="shared" ref="J65:J80" si="23">E65-H65</f>
        <v>326.76669436050361</v>
      </c>
      <c r="K65" s="952">
        <f>C65/(1+$C$6)^($B65-1)</f>
        <v>1270</v>
      </c>
      <c r="L65" s="958">
        <f>D65/(1+$C$6)^($B65-1)</f>
        <v>220</v>
      </c>
      <c r="M65" s="953">
        <f>H65/(1+$C$6)^($B65-1)</f>
        <v>1163.2333056394964</v>
      </c>
      <c r="N65" s="953">
        <f>K65-M65</f>
        <v>106.76669436050361</v>
      </c>
      <c r="O65" s="954">
        <f>N65+L65</f>
        <v>326.76669436050361</v>
      </c>
      <c r="P65" s="952">
        <f>K65</f>
        <v>1270</v>
      </c>
      <c r="Q65" s="953">
        <f>L65</f>
        <v>220</v>
      </c>
      <c r="R65" s="953">
        <f>M65</f>
        <v>1163.2333056394964</v>
      </c>
      <c r="S65" s="953">
        <f>N65</f>
        <v>106.76669436050361</v>
      </c>
      <c r="T65" s="954">
        <f>O65</f>
        <v>326.76669436050361</v>
      </c>
    </row>
    <row r="66" spans="2:20" x14ac:dyDescent="0.3">
      <c r="B66" s="410">
        <v>2</v>
      </c>
      <c r="C66" s="197">
        <f>'Margins summary'!$G$12</f>
        <v>1270</v>
      </c>
      <c r="D66" s="197">
        <f>'Margins summary'!$G$13</f>
        <v>220</v>
      </c>
      <c r="E66" s="197">
        <f>'Margins summary'!$G$18</f>
        <v>1490</v>
      </c>
      <c r="F66" s="197">
        <f>'Margins summary'!$G$24</f>
        <v>541.75901992521074</v>
      </c>
      <c r="G66" s="197">
        <f>'Margins summary'!$G$29</f>
        <v>621.47428571428577</v>
      </c>
      <c r="H66" s="197">
        <f t="shared" ref="H66:H80" si="24">F66+G66</f>
        <v>1163.2333056394964</v>
      </c>
      <c r="I66" s="197">
        <f t="shared" ref="I66:I80" si="25">C66-H66</f>
        <v>106.76669436050361</v>
      </c>
      <c r="J66" s="197">
        <f t="shared" si="23"/>
        <v>326.76669436050361</v>
      </c>
      <c r="K66" s="952">
        <f t="shared" ref="K66:K80" si="26">C66/(1+$C$6)^($B66-1)</f>
        <v>1221.1538461538462</v>
      </c>
      <c r="L66" s="953">
        <f t="shared" ref="L66:L80" si="27">D66/(1+$C$6)^($B66-1)</f>
        <v>211.53846153846152</v>
      </c>
      <c r="M66" s="953">
        <f t="shared" ref="M66:M80" si="28">H66/(1+$C$6)^($B66-1)</f>
        <v>1118.4935631149003</v>
      </c>
      <c r="N66" s="953">
        <f t="shared" ref="N66:N80" si="29">K66-M66</f>
        <v>102.66028303894586</v>
      </c>
      <c r="O66" s="954">
        <f t="shared" ref="O66:O80" si="30">N66+L66</f>
        <v>314.19874457740741</v>
      </c>
      <c r="P66" s="952">
        <f>P65+K66</f>
        <v>2491.1538461538462</v>
      </c>
      <c r="Q66" s="953">
        <f t="shared" ref="Q66:Q80" si="31">Q65+L66</f>
        <v>431.53846153846155</v>
      </c>
      <c r="R66" s="953">
        <f t="shared" ref="R66:R80" si="32">R65+M66</f>
        <v>2281.7268687543965</v>
      </c>
      <c r="S66" s="953">
        <f t="shared" ref="S66:S80" si="33">S65+N66</f>
        <v>209.42697739944947</v>
      </c>
      <c r="T66" s="954">
        <f t="shared" ref="T66:T80" si="34">T65+O66</f>
        <v>640.96543893791102</v>
      </c>
    </row>
    <row r="67" spans="2:20" x14ac:dyDescent="0.3">
      <c r="B67" s="410">
        <v>3</v>
      </c>
      <c r="C67" s="197">
        <f>'Margins summary'!$G$12</f>
        <v>1270</v>
      </c>
      <c r="D67" s="197">
        <f>'Margins summary'!$G$13</f>
        <v>220</v>
      </c>
      <c r="E67" s="197">
        <f>'Margins summary'!$G$18</f>
        <v>1490</v>
      </c>
      <c r="F67" s="197">
        <f>'Margins summary'!$G$24</f>
        <v>541.75901992521074</v>
      </c>
      <c r="G67" s="197">
        <f>'Margins summary'!$G$29</f>
        <v>621.47428571428577</v>
      </c>
      <c r="H67" s="197">
        <f t="shared" si="24"/>
        <v>1163.2333056394964</v>
      </c>
      <c r="I67" s="197">
        <f t="shared" si="25"/>
        <v>106.76669436050361</v>
      </c>
      <c r="J67" s="197">
        <f t="shared" si="23"/>
        <v>326.76669436050361</v>
      </c>
      <c r="K67" s="952">
        <f t="shared" si="26"/>
        <v>1174.1863905325442</v>
      </c>
      <c r="L67" s="953">
        <f t="shared" si="27"/>
        <v>203.40236686390531</v>
      </c>
      <c r="M67" s="953">
        <f t="shared" si="28"/>
        <v>1075.4745799181733</v>
      </c>
      <c r="N67" s="953">
        <f t="shared" si="29"/>
        <v>98.711810614370961</v>
      </c>
      <c r="O67" s="954">
        <f t="shared" si="30"/>
        <v>302.11417747827625</v>
      </c>
      <c r="P67" s="952">
        <f t="shared" ref="P67:P80" si="35">P66+K67</f>
        <v>3665.3402366863902</v>
      </c>
      <c r="Q67" s="953">
        <f t="shared" si="31"/>
        <v>634.94082840236683</v>
      </c>
      <c r="R67" s="953">
        <f t="shared" si="32"/>
        <v>3357.2014486725698</v>
      </c>
      <c r="S67" s="953">
        <f t="shared" si="33"/>
        <v>308.13878801382043</v>
      </c>
      <c r="T67" s="954">
        <f t="shared" si="34"/>
        <v>943.07961641618726</v>
      </c>
    </row>
    <row r="68" spans="2:20" x14ac:dyDescent="0.3">
      <c r="B68" s="410">
        <v>4</v>
      </c>
      <c r="C68" s="197">
        <f>'Margins summary'!$G$12</f>
        <v>1270</v>
      </c>
      <c r="D68" s="197">
        <f>'Margins summary'!$G$13</f>
        <v>220</v>
      </c>
      <c r="E68" s="197">
        <f>'Margins summary'!$G$18</f>
        <v>1490</v>
      </c>
      <c r="F68" s="197">
        <f>'Margins summary'!$G$24</f>
        <v>541.75901992521074</v>
      </c>
      <c r="G68" s="197">
        <f>'Margins summary'!$G$29</f>
        <v>621.47428571428577</v>
      </c>
      <c r="H68" s="197">
        <f t="shared" si="24"/>
        <v>1163.2333056394964</v>
      </c>
      <c r="I68" s="197">
        <f t="shared" si="25"/>
        <v>106.76669436050361</v>
      </c>
      <c r="J68" s="197">
        <f t="shared" si="23"/>
        <v>326.76669436050361</v>
      </c>
      <c r="K68" s="952">
        <f t="shared" si="26"/>
        <v>1129.0253755120618</v>
      </c>
      <c r="L68" s="953">
        <f t="shared" si="27"/>
        <v>195.57919890760127</v>
      </c>
      <c r="M68" s="953">
        <f t="shared" si="28"/>
        <v>1034.1101729982436</v>
      </c>
      <c r="N68" s="953">
        <f t="shared" si="29"/>
        <v>94.915202513818258</v>
      </c>
      <c r="O68" s="954">
        <f t="shared" si="30"/>
        <v>290.49440142141952</v>
      </c>
      <c r="P68" s="952">
        <f t="shared" si="35"/>
        <v>4794.3656121984523</v>
      </c>
      <c r="Q68" s="953">
        <f t="shared" si="31"/>
        <v>830.5200273099681</v>
      </c>
      <c r="R68" s="953">
        <f t="shared" si="32"/>
        <v>4391.3116216708131</v>
      </c>
      <c r="S68" s="953">
        <f t="shared" si="33"/>
        <v>403.05399052763869</v>
      </c>
      <c r="T68" s="954">
        <f t="shared" si="34"/>
        <v>1233.5740178376068</v>
      </c>
    </row>
    <row r="69" spans="2:20" x14ac:dyDescent="0.3">
      <c r="B69" s="410">
        <v>5</v>
      </c>
      <c r="C69" s="197">
        <f>'Margins summary'!$G$12</f>
        <v>1270</v>
      </c>
      <c r="D69" s="197">
        <f>'Margins summary'!$G$13</f>
        <v>220</v>
      </c>
      <c r="E69" s="197">
        <f>'Margins summary'!$G$18</f>
        <v>1490</v>
      </c>
      <c r="F69" s="197">
        <f>'Margins summary'!$G$24</f>
        <v>541.75901992521074</v>
      </c>
      <c r="G69" s="197">
        <f>'Margins summary'!$G$29</f>
        <v>621.47428571428577</v>
      </c>
      <c r="H69" s="197">
        <f t="shared" si="24"/>
        <v>1163.2333056394964</v>
      </c>
      <c r="I69" s="197">
        <f t="shared" si="25"/>
        <v>106.76669436050361</v>
      </c>
      <c r="J69" s="197">
        <f t="shared" si="23"/>
        <v>326.76669436050361</v>
      </c>
      <c r="K69" s="952">
        <f t="shared" si="26"/>
        <v>1085.6013226077516</v>
      </c>
      <c r="L69" s="953">
        <f t="shared" si="27"/>
        <v>188.05692202653967</v>
      </c>
      <c r="M69" s="953">
        <f t="shared" si="28"/>
        <v>994.33670480600335</v>
      </c>
      <c r="N69" s="953">
        <f t="shared" si="29"/>
        <v>91.264617801748273</v>
      </c>
      <c r="O69" s="954">
        <f t="shared" si="30"/>
        <v>279.32153982828794</v>
      </c>
      <c r="P69" s="952">
        <f t="shared" si="35"/>
        <v>5879.9669348062034</v>
      </c>
      <c r="Q69" s="953">
        <f t="shared" si="31"/>
        <v>1018.5769493365078</v>
      </c>
      <c r="R69" s="953">
        <f t="shared" si="32"/>
        <v>5385.6483264768167</v>
      </c>
      <c r="S69" s="953">
        <f t="shared" si="33"/>
        <v>494.31860832938696</v>
      </c>
      <c r="T69" s="954">
        <f t="shared" si="34"/>
        <v>1512.8955576658948</v>
      </c>
    </row>
    <row r="70" spans="2:20" x14ac:dyDescent="0.3">
      <c r="B70" s="410">
        <v>6</v>
      </c>
      <c r="C70" s="197">
        <f>'Margins summary'!$G$12</f>
        <v>1270</v>
      </c>
      <c r="D70" s="197">
        <f>'Margins summary'!$G$13</f>
        <v>220</v>
      </c>
      <c r="E70" s="197">
        <f>'Margins summary'!$G$18</f>
        <v>1490</v>
      </c>
      <c r="F70" s="197">
        <f>'Margins summary'!$G$24</f>
        <v>541.75901992521074</v>
      </c>
      <c r="G70" s="197">
        <f>'Margins summary'!$G$29</f>
        <v>621.47428571428577</v>
      </c>
      <c r="H70" s="197">
        <f t="shared" si="24"/>
        <v>1163.2333056394964</v>
      </c>
      <c r="I70" s="197">
        <f t="shared" si="25"/>
        <v>106.76669436050361</v>
      </c>
      <c r="J70" s="197">
        <f t="shared" si="23"/>
        <v>326.76669436050361</v>
      </c>
      <c r="K70" s="952">
        <f t="shared" si="26"/>
        <v>1043.8474255843764</v>
      </c>
      <c r="L70" s="953">
        <f t="shared" si="27"/>
        <v>180.82396348705734</v>
      </c>
      <c r="M70" s="953">
        <f t="shared" si="28"/>
        <v>956.09298539038775</v>
      </c>
      <c r="N70" s="953">
        <f t="shared" si="29"/>
        <v>87.754440193988671</v>
      </c>
      <c r="O70" s="954">
        <f t="shared" si="30"/>
        <v>268.57840368104598</v>
      </c>
      <c r="P70" s="952">
        <f t="shared" si="35"/>
        <v>6923.8143603905801</v>
      </c>
      <c r="Q70" s="953">
        <f t="shared" si="31"/>
        <v>1199.4009128235652</v>
      </c>
      <c r="R70" s="953">
        <f t="shared" si="32"/>
        <v>6341.7413118672048</v>
      </c>
      <c r="S70" s="953">
        <f t="shared" si="33"/>
        <v>582.07304852337563</v>
      </c>
      <c r="T70" s="954">
        <f t="shared" si="34"/>
        <v>1781.4739613469408</v>
      </c>
    </row>
    <row r="71" spans="2:20" x14ac:dyDescent="0.3">
      <c r="B71" s="410">
        <v>7</v>
      </c>
      <c r="C71" s="197">
        <f>'Margins summary'!$G$12</f>
        <v>1270</v>
      </c>
      <c r="D71" s="197">
        <f>'Margins summary'!$G$13</f>
        <v>220</v>
      </c>
      <c r="E71" s="197">
        <f>'Margins summary'!$G$18</f>
        <v>1490</v>
      </c>
      <c r="F71" s="197">
        <f>'Margins summary'!$G$24</f>
        <v>541.75901992521074</v>
      </c>
      <c r="G71" s="197">
        <f>'Margins summary'!$G$29</f>
        <v>621.47428571428577</v>
      </c>
      <c r="H71" s="197">
        <f t="shared" si="24"/>
        <v>1163.2333056394964</v>
      </c>
      <c r="I71" s="197">
        <f t="shared" si="25"/>
        <v>106.76669436050361</v>
      </c>
      <c r="J71" s="197">
        <f t="shared" si="23"/>
        <v>326.76669436050361</v>
      </c>
      <c r="K71" s="952">
        <f t="shared" si="26"/>
        <v>1003.6994476772851</v>
      </c>
      <c r="L71" s="953">
        <f t="shared" si="27"/>
        <v>173.86919566063204</v>
      </c>
      <c r="M71" s="953">
        <f t="shared" si="28"/>
        <v>919.32017825998821</v>
      </c>
      <c r="N71" s="953">
        <f t="shared" si="29"/>
        <v>84.379269417296882</v>
      </c>
      <c r="O71" s="954">
        <f t="shared" si="30"/>
        <v>258.24846507792893</v>
      </c>
      <c r="P71" s="952">
        <f t="shared" si="35"/>
        <v>7927.5138080678653</v>
      </c>
      <c r="Q71" s="953">
        <f t="shared" si="31"/>
        <v>1373.2701084841974</v>
      </c>
      <c r="R71" s="953">
        <f t="shared" si="32"/>
        <v>7261.0614901271929</v>
      </c>
      <c r="S71" s="953">
        <f t="shared" si="33"/>
        <v>666.45231794067251</v>
      </c>
      <c r="T71" s="954">
        <f t="shared" si="34"/>
        <v>2039.7224264248698</v>
      </c>
    </row>
    <row r="72" spans="2:20" x14ac:dyDescent="0.3">
      <c r="B72" s="410">
        <v>8</v>
      </c>
      <c r="C72" s="197">
        <f>'Margins summary'!$G$12</f>
        <v>1270</v>
      </c>
      <c r="D72" s="197">
        <f>'Margins summary'!$G$13</f>
        <v>220</v>
      </c>
      <c r="E72" s="197">
        <f>'Margins summary'!$G$18</f>
        <v>1490</v>
      </c>
      <c r="F72" s="197">
        <f>'Margins summary'!$G$24</f>
        <v>541.75901992521074</v>
      </c>
      <c r="G72" s="197">
        <f>'Margins summary'!$G$29</f>
        <v>621.47428571428577</v>
      </c>
      <c r="H72" s="197">
        <f t="shared" si="24"/>
        <v>1163.2333056394964</v>
      </c>
      <c r="I72" s="197">
        <f t="shared" si="25"/>
        <v>106.76669436050361</v>
      </c>
      <c r="J72" s="197">
        <f t="shared" si="23"/>
        <v>326.76669436050361</v>
      </c>
      <c r="K72" s="952">
        <f t="shared" si="26"/>
        <v>965.09562276662029</v>
      </c>
      <c r="L72" s="953">
        <f t="shared" si="27"/>
        <v>167.18191890445391</v>
      </c>
      <c r="M72" s="953">
        <f t="shared" si="28"/>
        <v>883.96170986537334</v>
      </c>
      <c r="N72" s="953">
        <f t="shared" si="29"/>
        <v>81.133912901246958</v>
      </c>
      <c r="O72" s="954">
        <f t="shared" si="30"/>
        <v>248.31583180570087</v>
      </c>
      <c r="P72" s="952">
        <f t="shared" si="35"/>
        <v>8892.6094308344855</v>
      </c>
      <c r="Q72" s="953">
        <f t="shared" si="31"/>
        <v>1540.4520273886512</v>
      </c>
      <c r="R72" s="953">
        <f t="shared" si="32"/>
        <v>8145.0231999925663</v>
      </c>
      <c r="S72" s="953">
        <f t="shared" si="33"/>
        <v>747.58623084191947</v>
      </c>
      <c r="T72" s="954">
        <f t="shared" si="34"/>
        <v>2288.0382582305706</v>
      </c>
    </row>
    <row r="73" spans="2:20" x14ac:dyDescent="0.3">
      <c r="B73" s="410">
        <v>9</v>
      </c>
      <c r="C73" s="197">
        <f>'Margins summary'!$G$12</f>
        <v>1270</v>
      </c>
      <c r="D73" s="197">
        <f>'Margins summary'!$G$13</f>
        <v>220</v>
      </c>
      <c r="E73" s="197">
        <f>'Margins summary'!$G$18</f>
        <v>1490</v>
      </c>
      <c r="F73" s="197">
        <f>'Margins summary'!$G$24</f>
        <v>541.75901992521074</v>
      </c>
      <c r="G73" s="197">
        <f>'Margins summary'!$G$29</f>
        <v>621.47428571428577</v>
      </c>
      <c r="H73" s="197">
        <f t="shared" si="24"/>
        <v>1163.2333056394964</v>
      </c>
      <c r="I73" s="197">
        <f t="shared" si="25"/>
        <v>106.76669436050361</v>
      </c>
      <c r="J73" s="197">
        <f t="shared" si="23"/>
        <v>326.76669436050361</v>
      </c>
      <c r="K73" s="952">
        <f t="shared" si="26"/>
        <v>927.97656035251941</v>
      </c>
      <c r="L73" s="953">
        <f t="shared" si="27"/>
        <v>160.75184510043644</v>
      </c>
      <c r="M73" s="953">
        <f t="shared" si="28"/>
        <v>849.96318256285883</v>
      </c>
      <c r="N73" s="953">
        <f t="shared" si="29"/>
        <v>78.013377789660581</v>
      </c>
      <c r="O73" s="954">
        <f t="shared" si="30"/>
        <v>238.76522289009702</v>
      </c>
      <c r="P73" s="952">
        <f t="shared" si="35"/>
        <v>9820.5859911870048</v>
      </c>
      <c r="Q73" s="953">
        <f t="shared" si="31"/>
        <v>1701.2038724890876</v>
      </c>
      <c r="R73" s="953">
        <f t="shared" si="32"/>
        <v>8994.9863825554257</v>
      </c>
      <c r="S73" s="953">
        <f t="shared" si="33"/>
        <v>825.59960863158005</v>
      </c>
      <c r="T73" s="954">
        <f t="shared" si="34"/>
        <v>2526.8034811206676</v>
      </c>
    </row>
    <row r="74" spans="2:20" x14ac:dyDescent="0.3">
      <c r="B74" s="410">
        <v>10</v>
      </c>
      <c r="C74" s="197">
        <f>'Margins summary'!$G$12</f>
        <v>1270</v>
      </c>
      <c r="D74" s="197">
        <f>'Margins summary'!$G$13</f>
        <v>220</v>
      </c>
      <c r="E74" s="197">
        <f>'Margins summary'!$G$18</f>
        <v>1490</v>
      </c>
      <c r="F74" s="197">
        <f>'Margins summary'!$G$24</f>
        <v>541.75901992521074</v>
      </c>
      <c r="G74" s="197">
        <f>'Margins summary'!$G$29</f>
        <v>621.47428571428577</v>
      </c>
      <c r="H74" s="197">
        <f t="shared" si="24"/>
        <v>1163.2333056394964</v>
      </c>
      <c r="I74" s="197">
        <f t="shared" si="25"/>
        <v>106.76669436050361</v>
      </c>
      <c r="J74" s="197">
        <f t="shared" si="23"/>
        <v>326.76669436050361</v>
      </c>
      <c r="K74" s="952">
        <f t="shared" si="26"/>
        <v>892.28515418511472</v>
      </c>
      <c r="L74" s="953">
        <f t="shared" si="27"/>
        <v>154.5690818273427</v>
      </c>
      <c r="M74" s="953">
        <f t="shared" si="28"/>
        <v>817.27229092582581</v>
      </c>
      <c r="N74" s="953">
        <f t="shared" si="29"/>
        <v>75.012863259288906</v>
      </c>
      <c r="O74" s="954">
        <f t="shared" si="30"/>
        <v>229.58194508663161</v>
      </c>
      <c r="P74" s="952">
        <f t="shared" si="35"/>
        <v>10712.871145372119</v>
      </c>
      <c r="Q74" s="953">
        <f t="shared" si="31"/>
        <v>1855.7729543164303</v>
      </c>
      <c r="R74" s="953">
        <f t="shared" si="32"/>
        <v>9812.2586734812521</v>
      </c>
      <c r="S74" s="953">
        <f t="shared" si="33"/>
        <v>900.61247189086896</v>
      </c>
      <c r="T74" s="954">
        <f t="shared" si="34"/>
        <v>2756.3854262072991</v>
      </c>
    </row>
    <row r="75" spans="2:20" x14ac:dyDescent="0.3">
      <c r="B75" s="410">
        <v>11</v>
      </c>
      <c r="C75" s="197">
        <f>'Margins summary'!$G$12</f>
        <v>1270</v>
      </c>
      <c r="D75" s="197">
        <f>'Margins summary'!$G$13</f>
        <v>220</v>
      </c>
      <c r="E75" s="197">
        <f>'Margins summary'!$G$18</f>
        <v>1490</v>
      </c>
      <c r="F75" s="197">
        <f>'Margins summary'!$G$24</f>
        <v>541.75901992521074</v>
      </c>
      <c r="G75" s="197">
        <f>'Margins summary'!$G$29</f>
        <v>621.47428571428577</v>
      </c>
      <c r="H75" s="197">
        <f t="shared" si="24"/>
        <v>1163.2333056394964</v>
      </c>
      <c r="I75" s="197">
        <f t="shared" si="25"/>
        <v>106.76669436050361</v>
      </c>
      <c r="J75" s="197">
        <f t="shared" si="23"/>
        <v>326.76669436050361</v>
      </c>
      <c r="K75" s="952">
        <f t="shared" si="26"/>
        <v>857.96649440876422</v>
      </c>
      <c r="L75" s="953">
        <f t="shared" si="27"/>
        <v>148.62411714167567</v>
      </c>
      <c r="M75" s="953">
        <f t="shared" si="28"/>
        <v>785.8387412748325</v>
      </c>
      <c r="N75" s="953">
        <f t="shared" si="29"/>
        <v>72.127753133931719</v>
      </c>
      <c r="O75" s="954">
        <f t="shared" si="30"/>
        <v>220.75187027560739</v>
      </c>
      <c r="P75" s="952">
        <f t="shared" si="35"/>
        <v>11570.837639780882</v>
      </c>
      <c r="Q75" s="953">
        <f t="shared" si="31"/>
        <v>2004.397071458106</v>
      </c>
      <c r="R75" s="953">
        <f t="shared" si="32"/>
        <v>10598.097414756085</v>
      </c>
      <c r="S75" s="953">
        <f t="shared" si="33"/>
        <v>972.74022502480068</v>
      </c>
      <c r="T75" s="954">
        <f t="shared" si="34"/>
        <v>2977.1372964829065</v>
      </c>
    </row>
    <row r="76" spans="2:20" x14ac:dyDescent="0.3">
      <c r="B76" s="410">
        <v>12</v>
      </c>
      <c r="C76" s="197">
        <f>'Margins summary'!$G$12</f>
        <v>1270</v>
      </c>
      <c r="D76" s="197">
        <f>'Margins summary'!$G$13</f>
        <v>220</v>
      </c>
      <c r="E76" s="197">
        <f>'Margins summary'!$G$18</f>
        <v>1490</v>
      </c>
      <c r="F76" s="197">
        <f>'Margins summary'!$G$24</f>
        <v>541.75901992521074</v>
      </c>
      <c r="G76" s="197">
        <f>'Margins summary'!$G$29</f>
        <v>621.47428571428577</v>
      </c>
      <c r="H76" s="197">
        <f t="shared" si="24"/>
        <v>1163.2333056394964</v>
      </c>
      <c r="I76" s="197">
        <f t="shared" si="25"/>
        <v>106.76669436050361</v>
      </c>
      <c r="J76" s="197">
        <f t="shared" si="23"/>
        <v>326.76669436050361</v>
      </c>
      <c r="K76" s="952">
        <f t="shared" si="26"/>
        <v>824.96778308535022</v>
      </c>
      <c r="L76" s="953">
        <f t="shared" si="27"/>
        <v>142.90780494391893</v>
      </c>
      <c r="M76" s="953">
        <f t="shared" si="28"/>
        <v>755.61417430272354</v>
      </c>
      <c r="N76" s="953">
        <f t="shared" si="29"/>
        <v>69.353608782626679</v>
      </c>
      <c r="O76" s="954">
        <f t="shared" si="30"/>
        <v>212.26141372654561</v>
      </c>
      <c r="P76" s="952">
        <f t="shared" si="35"/>
        <v>12395.805422866233</v>
      </c>
      <c r="Q76" s="953">
        <f t="shared" si="31"/>
        <v>2147.304876402025</v>
      </c>
      <c r="R76" s="953">
        <f t="shared" si="32"/>
        <v>11353.711589058808</v>
      </c>
      <c r="S76" s="953">
        <f t="shared" si="33"/>
        <v>1042.0938338074275</v>
      </c>
      <c r="T76" s="954">
        <f t="shared" si="34"/>
        <v>3189.398710209452</v>
      </c>
    </row>
    <row r="77" spans="2:20" x14ac:dyDescent="0.3">
      <c r="B77" s="410">
        <v>13</v>
      </c>
      <c r="C77" s="197">
        <f>'Margins summary'!$G$12</f>
        <v>1270</v>
      </c>
      <c r="D77" s="197">
        <f>'Margins summary'!$G$13</f>
        <v>220</v>
      </c>
      <c r="E77" s="197">
        <f>'Margins summary'!$G$18</f>
        <v>1490</v>
      </c>
      <c r="F77" s="197">
        <f>'Margins summary'!$G$24</f>
        <v>541.75901992521074</v>
      </c>
      <c r="G77" s="197">
        <f>'Margins summary'!$G$29</f>
        <v>621.47428571428577</v>
      </c>
      <c r="H77" s="197">
        <f t="shared" si="24"/>
        <v>1163.2333056394964</v>
      </c>
      <c r="I77" s="197">
        <f t="shared" si="25"/>
        <v>106.76669436050361</v>
      </c>
      <c r="J77" s="197">
        <f t="shared" si="23"/>
        <v>326.76669436050361</v>
      </c>
      <c r="K77" s="952">
        <f t="shared" si="26"/>
        <v>793.23825296668269</v>
      </c>
      <c r="L77" s="953">
        <f t="shared" si="27"/>
        <v>137.41135090761432</v>
      </c>
      <c r="M77" s="953">
        <f t="shared" si="28"/>
        <v>726.55209067569558</v>
      </c>
      <c r="N77" s="953">
        <f t="shared" si="29"/>
        <v>66.686162290987113</v>
      </c>
      <c r="O77" s="954">
        <f t="shared" si="30"/>
        <v>204.09751319860143</v>
      </c>
      <c r="P77" s="952">
        <f t="shared" si="35"/>
        <v>13189.043675832916</v>
      </c>
      <c r="Q77" s="953">
        <f t="shared" si="31"/>
        <v>2284.7162273096392</v>
      </c>
      <c r="R77" s="953">
        <f t="shared" si="32"/>
        <v>12080.263679734504</v>
      </c>
      <c r="S77" s="953">
        <f t="shared" si="33"/>
        <v>1108.7799960984146</v>
      </c>
      <c r="T77" s="954">
        <f t="shared" si="34"/>
        <v>3393.4962234080535</v>
      </c>
    </row>
    <row r="78" spans="2:20" x14ac:dyDescent="0.3">
      <c r="B78" s="410">
        <v>14</v>
      </c>
      <c r="C78" s="197">
        <f>'Margins summary'!$G$12</f>
        <v>1270</v>
      </c>
      <c r="D78" s="197">
        <f>'Margins summary'!$G$13</f>
        <v>220</v>
      </c>
      <c r="E78" s="197">
        <f>'Margins summary'!$G$18</f>
        <v>1490</v>
      </c>
      <c r="F78" s="197">
        <f>'Margins summary'!$G$24</f>
        <v>541.75901992521074</v>
      </c>
      <c r="G78" s="197">
        <f>'Margins summary'!$G$29</f>
        <v>621.47428571428577</v>
      </c>
      <c r="H78" s="197">
        <f t="shared" si="24"/>
        <v>1163.2333056394964</v>
      </c>
      <c r="I78" s="197">
        <f t="shared" si="25"/>
        <v>106.76669436050361</v>
      </c>
      <c r="J78" s="197">
        <f t="shared" si="23"/>
        <v>326.76669436050361</v>
      </c>
      <c r="K78" s="952">
        <f t="shared" si="26"/>
        <v>762.72908939104104</v>
      </c>
      <c r="L78" s="953">
        <f t="shared" si="27"/>
        <v>132.12629894962916</v>
      </c>
      <c r="M78" s="953">
        <f t="shared" si="28"/>
        <v>698.60777949586111</v>
      </c>
      <c r="N78" s="953">
        <f t="shared" si="29"/>
        <v>64.121309895179934</v>
      </c>
      <c r="O78" s="954">
        <f t="shared" si="30"/>
        <v>196.24760884480909</v>
      </c>
      <c r="P78" s="952">
        <f t="shared" si="35"/>
        <v>13951.772765223957</v>
      </c>
      <c r="Q78" s="953">
        <f t="shared" si="31"/>
        <v>2416.8425262592682</v>
      </c>
      <c r="R78" s="953">
        <f t="shared" si="32"/>
        <v>12778.871459230366</v>
      </c>
      <c r="S78" s="953">
        <f t="shared" si="33"/>
        <v>1172.9013059935946</v>
      </c>
      <c r="T78" s="954">
        <f t="shared" si="34"/>
        <v>3589.7438322528628</v>
      </c>
    </row>
    <row r="79" spans="2:20" x14ac:dyDescent="0.3">
      <c r="B79" s="410">
        <v>15</v>
      </c>
      <c r="C79" s="197">
        <f>'Margins summary'!$G$12</f>
        <v>1270</v>
      </c>
      <c r="D79" s="197">
        <f>'Margins summary'!$G$13</f>
        <v>220</v>
      </c>
      <c r="E79" s="197">
        <f>'Margins summary'!$G$18</f>
        <v>1490</v>
      </c>
      <c r="F79" s="197">
        <f>'Margins summary'!$G$24</f>
        <v>541.75901992521074</v>
      </c>
      <c r="G79" s="197">
        <f>'Margins summary'!$G$29</f>
        <v>621.47428571428577</v>
      </c>
      <c r="H79" s="197">
        <f t="shared" si="24"/>
        <v>1163.2333056394964</v>
      </c>
      <c r="I79" s="197">
        <f t="shared" si="25"/>
        <v>106.76669436050361</v>
      </c>
      <c r="J79" s="197">
        <f t="shared" si="23"/>
        <v>326.76669436050361</v>
      </c>
      <c r="K79" s="952">
        <f t="shared" si="26"/>
        <v>733.3933551836933</v>
      </c>
      <c r="L79" s="953">
        <f t="shared" si="27"/>
        <v>127.04451822079727</v>
      </c>
      <c r="M79" s="953">
        <f t="shared" si="28"/>
        <v>671.73824951525114</v>
      </c>
      <c r="N79" s="953">
        <f t="shared" si="29"/>
        <v>61.655105668442161</v>
      </c>
      <c r="O79" s="954">
        <f t="shared" si="30"/>
        <v>188.69962388923943</v>
      </c>
      <c r="P79" s="952">
        <f t="shared" si="35"/>
        <v>14685.16612040765</v>
      </c>
      <c r="Q79" s="953">
        <f t="shared" si="31"/>
        <v>2543.8870444800655</v>
      </c>
      <c r="R79" s="953">
        <f t="shared" si="32"/>
        <v>13450.609708745616</v>
      </c>
      <c r="S79" s="953">
        <f t="shared" si="33"/>
        <v>1234.5564116620367</v>
      </c>
      <c r="T79" s="954">
        <f t="shared" si="34"/>
        <v>3778.4434561421021</v>
      </c>
    </row>
    <row r="80" spans="2:20" x14ac:dyDescent="0.3">
      <c r="B80" s="551">
        <v>16</v>
      </c>
      <c r="C80" s="207">
        <f>'Margins summary'!$G$12</f>
        <v>1270</v>
      </c>
      <c r="D80" s="207">
        <f>'Margins summary'!$G$13</f>
        <v>220</v>
      </c>
      <c r="E80" s="207">
        <f>'Margins summary'!$G$18</f>
        <v>1490</v>
      </c>
      <c r="F80" s="207">
        <f>'Margins summary'!$G$24</f>
        <v>541.75901992521074</v>
      </c>
      <c r="G80" s="207">
        <f>'Margins summary'!$G$29</f>
        <v>621.47428571428577</v>
      </c>
      <c r="H80" s="207">
        <f t="shared" si="24"/>
        <v>1163.2333056394964</v>
      </c>
      <c r="I80" s="207">
        <f t="shared" si="25"/>
        <v>106.76669436050361</v>
      </c>
      <c r="J80" s="207">
        <f t="shared" si="23"/>
        <v>326.76669436050361</v>
      </c>
      <c r="K80" s="955">
        <f t="shared" si="26"/>
        <v>705.18591844585899</v>
      </c>
      <c r="L80" s="956">
        <f t="shared" si="27"/>
        <v>122.15819059692046</v>
      </c>
      <c r="M80" s="956">
        <f t="shared" si="28"/>
        <v>645.90216299543374</v>
      </c>
      <c r="N80" s="956">
        <f t="shared" si="29"/>
        <v>59.283755450425247</v>
      </c>
      <c r="O80" s="957">
        <f t="shared" si="30"/>
        <v>181.44194604734571</v>
      </c>
      <c r="P80" s="955">
        <f t="shared" si="35"/>
        <v>15390.352038853509</v>
      </c>
      <c r="Q80" s="956">
        <f t="shared" si="31"/>
        <v>2666.045235076986</v>
      </c>
      <c r="R80" s="956">
        <f t="shared" si="32"/>
        <v>14096.51187174105</v>
      </c>
      <c r="S80" s="956">
        <f t="shared" si="33"/>
        <v>1293.840167112462</v>
      </c>
      <c r="T80" s="957">
        <f t="shared" si="34"/>
        <v>3959.8854021894476</v>
      </c>
    </row>
    <row r="87" spans="2:20" x14ac:dyDescent="0.3">
      <c r="B87" s="212" t="s">
        <v>7</v>
      </c>
      <c r="C87" s="194"/>
      <c r="D87" s="193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</row>
    <row r="88" spans="2:20" x14ac:dyDescent="0.3">
      <c r="B88" s="203"/>
      <c r="C88" s="1124"/>
      <c r="D88" s="1124"/>
      <c r="E88" s="1124"/>
      <c r="F88" s="148"/>
      <c r="G88" s="1124"/>
      <c r="H88" s="1124"/>
      <c r="I88" s="148"/>
      <c r="J88" s="148"/>
      <c r="K88" s="1125" t="s">
        <v>279</v>
      </c>
      <c r="L88" s="1126"/>
      <c r="M88" s="1126"/>
      <c r="N88" s="1126"/>
      <c r="O88" s="1127"/>
      <c r="P88" s="1125" t="s">
        <v>280</v>
      </c>
      <c r="Q88" s="1126"/>
      <c r="R88" s="1126"/>
      <c r="S88" s="1126"/>
      <c r="T88" s="1127"/>
    </row>
    <row r="89" spans="2:20" ht="51" x14ac:dyDescent="0.3">
      <c r="B89" s="204" t="s">
        <v>281</v>
      </c>
      <c r="C89" s="171" t="s">
        <v>283</v>
      </c>
      <c r="D89" s="171" t="s">
        <v>10</v>
      </c>
      <c r="E89" s="171" t="s">
        <v>284</v>
      </c>
      <c r="F89" s="205" t="s">
        <v>300</v>
      </c>
      <c r="G89" s="171" t="s">
        <v>286</v>
      </c>
      <c r="H89" s="171" t="s">
        <v>287</v>
      </c>
      <c r="I89" s="171" t="s">
        <v>288</v>
      </c>
      <c r="J89" s="171" t="s">
        <v>289</v>
      </c>
      <c r="K89" s="195" t="s">
        <v>290</v>
      </c>
      <c r="L89" s="171" t="s">
        <v>291</v>
      </c>
      <c r="M89" s="171" t="s">
        <v>292</v>
      </c>
      <c r="N89" s="171" t="s">
        <v>293</v>
      </c>
      <c r="O89" s="198" t="s">
        <v>294</v>
      </c>
      <c r="P89" s="195" t="s">
        <v>295</v>
      </c>
      <c r="Q89" s="171" t="s">
        <v>296</v>
      </c>
      <c r="R89" s="171" t="s">
        <v>297</v>
      </c>
      <c r="S89" s="171" t="s">
        <v>298</v>
      </c>
      <c r="T89" s="198" t="s">
        <v>299</v>
      </c>
    </row>
    <row r="90" spans="2:20" x14ac:dyDescent="0.3">
      <c r="B90" s="173"/>
      <c r="C90" s="201" t="s">
        <v>474</v>
      </c>
      <c r="D90" s="201" t="s">
        <v>474</v>
      </c>
      <c r="E90" s="201" t="s">
        <v>474</v>
      </c>
      <c r="F90" s="201" t="s">
        <v>474</v>
      </c>
      <c r="G90" s="201" t="s">
        <v>474</v>
      </c>
      <c r="H90" s="201" t="s">
        <v>474</v>
      </c>
      <c r="I90" s="201" t="s">
        <v>474</v>
      </c>
      <c r="J90" s="202" t="s">
        <v>455</v>
      </c>
      <c r="K90" s="201" t="s">
        <v>474</v>
      </c>
      <c r="L90" s="201" t="s">
        <v>474</v>
      </c>
      <c r="M90" s="201" t="s">
        <v>474</v>
      </c>
      <c r="N90" s="201" t="s">
        <v>474</v>
      </c>
      <c r="O90" s="202" t="s">
        <v>474</v>
      </c>
      <c r="P90" s="201" t="s">
        <v>474</v>
      </c>
      <c r="Q90" s="201" t="s">
        <v>474</v>
      </c>
      <c r="R90" s="201" t="s">
        <v>474</v>
      </c>
      <c r="S90" s="201" t="s">
        <v>474</v>
      </c>
      <c r="T90" s="202" t="s">
        <v>474</v>
      </c>
    </row>
    <row r="91" spans="2:20" x14ac:dyDescent="0.3">
      <c r="B91" s="715">
        <v>1</v>
      </c>
      <c r="C91" s="197">
        <f>'Margins summary'!$H$12</f>
        <v>2118.48</v>
      </c>
      <c r="D91" s="197">
        <f>'Margins summary'!$H$13</f>
        <v>220</v>
      </c>
      <c r="E91" s="197">
        <f>'Margins summary'!$H$18</f>
        <v>2338.48</v>
      </c>
      <c r="F91" s="197">
        <f>'Margins summary'!$H$24</f>
        <v>793.83573723279574</v>
      </c>
      <c r="G91" s="197">
        <f>'Margins summary'!$H$29</f>
        <v>841.03</v>
      </c>
      <c r="H91" s="197">
        <f>F91+G91</f>
        <v>1634.8657372327957</v>
      </c>
      <c r="I91" s="197">
        <f>C91-H91</f>
        <v>483.61426276720431</v>
      </c>
      <c r="J91" s="197">
        <f t="shared" ref="J91:J106" si="36">E91-H91</f>
        <v>703.61426276720431</v>
      </c>
      <c r="K91" s="952">
        <f>C91/(1+$C$6)^($B91-1)</f>
        <v>2118.48</v>
      </c>
      <c r="L91" s="953">
        <f>D91/(1+$C$6)^($B91-1)</f>
        <v>220</v>
      </c>
      <c r="M91" s="953">
        <f>H91/(1+$C$6)^($B91-1)</f>
        <v>1634.8657372327957</v>
      </c>
      <c r="N91" s="953">
        <f>K91-M91</f>
        <v>483.61426276720431</v>
      </c>
      <c r="O91" s="954">
        <f>N91+L91</f>
        <v>703.61426276720431</v>
      </c>
      <c r="P91" s="952">
        <f>K91</f>
        <v>2118.48</v>
      </c>
      <c r="Q91" s="953">
        <f>L91</f>
        <v>220</v>
      </c>
      <c r="R91" s="953">
        <f>M91</f>
        <v>1634.8657372327957</v>
      </c>
      <c r="S91" s="953">
        <f>N91</f>
        <v>483.61426276720431</v>
      </c>
      <c r="T91" s="954">
        <f>O91</f>
        <v>703.61426276720431</v>
      </c>
    </row>
    <row r="92" spans="2:20" x14ac:dyDescent="0.3">
      <c r="B92" s="410">
        <v>2</v>
      </c>
      <c r="C92" s="197">
        <f>'Margins summary'!$H$12</f>
        <v>2118.48</v>
      </c>
      <c r="D92" s="197">
        <f>'Margins summary'!$H$13</f>
        <v>220</v>
      </c>
      <c r="E92" s="197">
        <f>'Margins summary'!$H$18</f>
        <v>2338.48</v>
      </c>
      <c r="F92" s="197">
        <f>'Margins summary'!$H$24</f>
        <v>793.83573723279574</v>
      </c>
      <c r="G92" s="197">
        <f>'Margins summary'!$H$29</f>
        <v>841.03</v>
      </c>
      <c r="H92" s="197">
        <f t="shared" ref="H92:H106" si="37">F92+G92</f>
        <v>1634.8657372327957</v>
      </c>
      <c r="I92" s="197">
        <f t="shared" ref="I92:I106" si="38">C92-H92</f>
        <v>483.61426276720431</v>
      </c>
      <c r="J92" s="197">
        <f t="shared" si="36"/>
        <v>703.61426276720431</v>
      </c>
      <c r="K92" s="952">
        <f t="shared" ref="K92:K106" si="39">C92/(1+$C$6)^($B92-1)</f>
        <v>2037</v>
      </c>
      <c r="L92" s="953">
        <f t="shared" ref="L92:L106" si="40">D92/(1+$C$6)^($B92-1)</f>
        <v>211.53846153846152</v>
      </c>
      <c r="M92" s="953">
        <f t="shared" ref="M92:M106" si="41">H92/(1+$C$6)^($B92-1)</f>
        <v>1571.986285800765</v>
      </c>
      <c r="N92" s="953">
        <f t="shared" ref="N92:N106" si="42">K92-M92</f>
        <v>465.01371419923498</v>
      </c>
      <c r="O92" s="954">
        <f t="shared" ref="O92:O106" si="43">N92+L92</f>
        <v>676.55217573769653</v>
      </c>
      <c r="P92" s="952">
        <f>P91+K92</f>
        <v>4155.4799999999996</v>
      </c>
      <c r="Q92" s="953">
        <f t="shared" ref="Q92:Q106" si="44">Q91+L92</f>
        <v>431.53846153846155</v>
      </c>
      <c r="R92" s="953">
        <f t="shared" ref="R92:R105" si="45">R91+M92</f>
        <v>3206.8520230335607</v>
      </c>
      <c r="S92" s="953">
        <f t="shared" ref="S92:S106" si="46">S91+N92</f>
        <v>948.62797696643929</v>
      </c>
      <c r="T92" s="954">
        <f t="shared" ref="T92:T106" si="47">T91+O92</f>
        <v>1380.1664385049007</v>
      </c>
    </row>
    <row r="93" spans="2:20" x14ac:dyDescent="0.3">
      <c r="B93" s="410">
        <v>3</v>
      </c>
      <c r="C93" s="197">
        <f>'Margins summary'!$H$12</f>
        <v>2118.48</v>
      </c>
      <c r="D93" s="197">
        <f>'Margins summary'!$H$13</f>
        <v>220</v>
      </c>
      <c r="E93" s="197">
        <f>'Margins summary'!$H$18</f>
        <v>2338.48</v>
      </c>
      <c r="F93" s="197">
        <f>'Margins summary'!$H$24</f>
        <v>793.83573723279574</v>
      </c>
      <c r="G93" s="197">
        <f>'Margins summary'!$H$29</f>
        <v>841.03</v>
      </c>
      <c r="H93" s="197">
        <f t="shared" si="37"/>
        <v>1634.8657372327957</v>
      </c>
      <c r="I93" s="197">
        <f t="shared" si="38"/>
        <v>483.61426276720431</v>
      </c>
      <c r="J93" s="197">
        <f t="shared" si="36"/>
        <v>703.61426276720431</v>
      </c>
      <c r="K93" s="952">
        <f t="shared" si="39"/>
        <v>1958.653846153846</v>
      </c>
      <c r="L93" s="953">
        <f t="shared" si="40"/>
        <v>203.40236686390531</v>
      </c>
      <c r="M93" s="953">
        <f t="shared" si="41"/>
        <v>1511.5252748084279</v>
      </c>
      <c r="N93" s="953">
        <f t="shared" si="42"/>
        <v>447.1285713454181</v>
      </c>
      <c r="O93" s="954">
        <f t="shared" si="43"/>
        <v>650.53093820932338</v>
      </c>
      <c r="P93" s="952">
        <f t="shared" ref="P93:P106" si="48">P92+K93</f>
        <v>6114.1338461538453</v>
      </c>
      <c r="Q93" s="953">
        <f t="shared" si="44"/>
        <v>634.94082840236683</v>
      </c>
      <c r="R93" s="953">
        <f t="shared" si="45"/>
        <v>4718.3772978419884</v>
      </c>
      <c r="S93" s="953">
        <f t="shared" si="46"/>
        <v>1395.7565483118574</v>
      </c>
      <c r="T93" s="954">
        <f t="shared" si="47"/>
        <v>2030.697376714224</v>
      </c>
    </row>
    <row r="94" spans="2:20" x14ac:dyDescent="0.3">
      <c r="B94" s="410">
        <v>4</v>
      </c>
      <c r="C94" s="197">
        <f>'Margins summary'!$H$12</f>
        <v>2118.48</v>
      </c>
      <c r="D94" s="197">
        <f>'Margins summary'!$H$13</f>
        <v>220</v>
      </c>
      <c r="E94" s="197">
        <f>'Margins summary'!$H$18</f>
        <v>2338.48</v>
      </c>
      <c r="F94" s="197">
        <f>'Margins summary'!$H$24</f>
        <v>793.83573723279574</v>
      </c>
      <c r="G94" s="197">
        <f>'Margins summary'!$H$29</f>
        <v>841.03</v>
      </c>
      <c r="H94" s="197">
        <f t="shared" si="37"/>
        <v>1634.8657372327957</v>
      </c>
      <c r="I94" s="197">
        <f t="shared" si="38"/>
        <v>483.61426276720431</v>
      </c>
      <c r="J94" s="197">
        <f t="shared" si="36"/>
        <v>703.61426276720431</v>
      </c>
      <c r="K94" s="952">
        <f t="shared" si="39"/>
        <v>1883.3210059171597</v>
      </c>
      <c r="L94" s="953">
        <f t="shared" si="40"/>
        <v>195.57919890760127</v>
      </c>
      <c r="M94" s="953">
        <f t="shared" si="41"/>
        <v>1453.389687315796</v>
      </c>
      <c r="N94" s="953">
        <f t="shared" si="42"/>
        <v>429.93131860136373</v>
      </c>
      <c r="O94" s="954">
        <f t="shared" si="43"/>
        <v>625.51051750896499</v>
      </c>
      <c r="P94" s="952">
        <f t="shared" si="48"/>
        <v>7997.454852071005</v>
      </c>
      <c r="Q94" s="953">
        <f t="shared" si="44"/>
        <v>830.5200273099681</v>
      </c>
      <c r="R94" s="953">
        <f t="shared" si="45"/>
        <v>6171.7669851577848</v>
      </c>
      <c r="S94" s="953">
        <f t="shared" si="46"/>
        <v>1825.6878669132211</v>
      </c>
      <c r="T94" s="954">
        <f t="shared" si="47"/>
        <v>2656.2078942231892</v>
      </c>
    </row>
    <row r="95" spans="2:20" x14ac:dyDescent="0.3">
      <c r="B95" s="410">
        <v>5</v>
      </c>
      <c r="C95" s="197">
        <f>'Margins summary'!$H$12</f>
        <v>2118.48</v>
      </c>
      <c r="D95" s="197">
        <f>'Margins summary'!$H$13</f>
        <v>220</v>
      </c>
      <c r="E95" s="197">
        <f>'Margins summary'!$H$18</f>
        <v>2338.48</v>
      </c>
      <c r="F95" s="197">
        <f>'Margins summary'!$H$24</f>
        <v>793.83573723279574</v>
      </c>
      <c r="G95" s="197">
        <f>'Margins summary'!$H$29</f>
        <v>841.03</v>
      </c>
      <c r="H95" s="197">
        <f t="shared" si="37"/>
        <v>1634.8657372327957</v>
      </c>
      <c r="I95" s="197">
        <f t="shared" si="38"/>
        <v>483.61426276720431</v>
      </c>
      <c r="J95" s="197">
        <f t="shared" si="36"/>
        <v>703.61426276720431</v>
      </c>
      <c r="K95" s="952">
        <f t="shared" si="39"/>
        <v>1810.8855826126533</v>
      </c>
      <c r="L95" s="953">
        <f t="shared" si="40"/>
        <v>188.05692202653967</v>
      </c>
      <c r="M95" s="953">
        <f t="shared" si="41"/>
        <v>1397.4900839574959</v>
      </c>
      <c r="N95" s="953">
        <f t="shared" si="42"/>
        <v>413.39549865515733</v>
      </c>
      <c r="O95" s="954">
        <f t="shared" si="43"/>
        <v>601.45242068169705</v>
      </c>
      <c r="P95" s="952">
        <f t="shared" si="48"/>
        <v>9808.3404346836578</v>
      </c>
      <c r="Q95" s="953">
        <f t="shared" si="44"/>
        <v>1018.5769493365078</v>
      </c>
      <c r="R95" s="953">
        <f t="shared" si="45"/>
        <v>7569.2570691152805</v>
      </c>
      <c r="S95" s="953">
        <f t="shared" si="46"/>
        <v>2239.0833655683782</v>
      </c>
      <c r="T95" s="954">
        <f t="shared" si="47"/>
        <v>3257.660314904886</v>
      </c>
    </row>
    <row r="96" spans="2:20" x14ac:dyDescent="0.3">
      <c r="B96" s="410">
        <v>6</v>
      </c>
      <c r="C96" s="197">
        <f>'Margins summary'!$H$12</f>
        <v>2118.48</v>
      </c>
      <c r="D96" s="197">
        <f>'Margins summary'!$H$13</f>
        <v>220</v>
      </c>
      <c r="E96" s="197">
        <f>'Margins summary'!$H$18</f>
        <v>2338.48</v>
      </c>
      <c r="F96" s="197">
        <f>'Margins summary'!$H$24</f>
        <v>793.83573723279574</v>
      </c>
      <c r="G96" s="197">
        <f>'Margins summary'!$H$29</f>
        <v>841.03</v>
      </c>
      <c r="H96" s="197">
        <f t="shared" si="37"/>
        <v>1634.8657372327957</v>
      </c>
      <c r="I96" s="197">
        <f t="shared" si="38"/>
        <v>483.61426276720431</v>
      </c>
      <c r="J96" s="197">
        <f t="shared" si="36"/>
        <v>703.61426276720431</v>
      </c>
      <c r="K96" s="952">
        <f t="shared" si="39"/>
        <v>1741.236137127551</v>
      </c>
      <c r="L96" s="953">
        <f t="shared" si="40"/>
        <v>180.82396348705734</v>
      </c>
      <c r="M96" s="953">
        <f t="shared" si="41"/>
        <v>1343.7404653437461</v>
      </c>
      <c r="N96" s="953">
        <f t="shared" si="42"/>
        <v>397.49567178380494</v>
      </c>
      <c r="O96" s="954">
        <f t="shared" si="43"/>
        <v>578.31963527086225</v>
      </c>
      <c r="P96" s="952">
        <f t="shared" si="48"/>
        <v>11549.576571811209</v>
      </c>
      <c r="Q96" s="953">
        <f t="shared" si="44"/>
        <v>1199.4009128235652</v>
      </c>
      <c r="R96" s="953">
        <f t="shared" si="45"/>
        <v>8912.9975344590275</v>
      </c>
      <c r="S96" s="953">
        <f t="shared" si="46"/>
        <v>2636.5790373521831</v>
      </c>
      <c r="T96" s="954">
        <f t="shared" si="47"/>
        <v>3835.9799501757484</v>
      </c>
    </row>
    <row r="97" spans="2:20" x14ac:dyDescent="0.3">
      <c r="B97" s="410">
        <v>7</v>
      </c>
      <c r="C97" s="197">
        <f>'Margins summary'!$H$12</f>
        <v>2118.48</v>
      </c>
      <c r="D97" s="197">
        <f>'Margins summary'!$H$13</f>
        <v>220</v>
      </c>
      <c r="E97" s="197">
        <f>'Margins summary'!$H$18</f>
        <v>2338.48</v>
      </c>
      <c r="F97" s="197">
        <f>'Margins summary'!$H$24</f>
        <v>793.83573723279574</v>
      </c>
      <c r="G97" s="197">
        <f>'Margins summary'!$H$29</f>
        <v>841.03</v>
      </c>
      <c r="H97" s="197">
        <f t="shared" si="37"/>
        <v>1634.8657372327957</v>
      </c>
      <c r="I97" s="197">
        <f t="shared" si="38"/>
        <v>483.61426276720431</v>
      </c>
      <c r="J97" s="197">
        <f t="shared" si="36"/>
        <v>703.61426276720431</v>
      </c>
      <c r="K97" s="952">
        <f t="shared" si="39"/>
        <v>1674.2655164687992</v>
      </c>
      <c r="L97" s="953">
        <f t="shared" si="40"/>
        <v>173.86919566063204</v>
      </c>
      <c r="M97" s="953">
        <f t="shared" si="41"/>
        <v>1292.0581397536021</v>
      </c>
      <c r="N97" s="953">
        <f t="shared" si="42"/>
        <v>382.20737671519714</v>
      </c>
      <c r="O97" s="954">
        <f t="shared" si="43"/>
        <v>556.07657237582919</v>
      </c>
      <c r="P97" s="952">
        <f t="shared" si="48"/>
        <v>13223.842088280007</v>
      </c>
      <c r="Q97" s="953">
        <f t="shared" si="44"/>
        <v>1373.2701084841974</v>
      </c>
      <c r="R97" s="953">
        <f t="shared" si="45"/>
        <v>10205.05567421263</v>
      </c>
      <c r="S97" s="953">
        <f t="shared" si="46"/>
        <v>3018.7864140673801</v>
      </c>
      <c r="T97" s="954">
        <f t="shared" si="47"/>
        <v>4392.0565225515775</v>
      </c>
    </row>
    <row r="98" spans="2:20" x14ac:dyDescent="0.3">
      <c r="B98" s="410">
        <v>8</v>
      </c>
      <c r="C98" s="197">
        <f>'Margins summary'!$H$12</f>
        <v>2118.48</v>
      </c>
      <c r="D98" s="197">
        <f>'Margins summary'!$H$13</f>
        <v>220</v>
      </c>
      <c r="E98" s="197">
        <f>'Margins summary'!$H$18</f>
        <v>2338.48</v>
      </c>
      <c r="F98" s="197">
        <f>'Margins summary'!$H$24</f>
        <v>793.83573723279574</v>
      </c>
      <c r="G98" s="197">
        <f>'Margins summary'!$H$29</f>
        <v>841.03</v>
      </c>
      <c r="H98" s="197">
        <f t="shared" si="37"/>
        <v>1634.8657372327957</v>
      </c>
      <c r="I98" s="197">
        <f t="shared" si="38"/>
        <v>483.61426276720431</v>
      </c>
      <c r="J98" s="197">
        <f t="shared" si="36"/>
        <v>703.61426276720431</v>
      </c>
      <c r="K98" s="952">
        <f t="shared" si="39"/>
        <v>1609.8706889123071</v>
      </c>
      <c r="L98" s="953">
        <f t="shared" si="40"/>
        <v>167.18191890445391</v>
      </c>
      <c r="M98" s="953">
        <f t="shared" si="41"/>
        <v>1242.3635959169251</v>
      </c>
      <c r="N98" s="953">
        <f t="shared" si="42"/>
        <v>367.50709299538198</v>
      </c>
      <c r="O98" s="954">
        <f t="shared" si="43"/>
        <v>534.68901189983592</v>
      </c>
      <c r="P98" s="952">
        <f t="shared" si="48"/>
        <v>14833.712777192315</v>
      </c>
      <c r="Q98" s="953">
        <f t="shared" si="44"/>
        <v>1540.4520273886512</v>
      </c>
      <c r="R98" s="953">
        <f t="shared" si="45"/>
        <v>11447.419270129554</v>
      </c>
      <c r="S98" s="953">
        <f t="shared" si="46"/>
        <v>3386.2935070627618</v>
      </c>
      <c r="T98" s="954">
        <f t="shared" si="47"/>
        <v>4926.7455344514137</v>
      </c>
    </row>
    <row r="99" spans="2:20" x14ac:dyDescent="0.3">
      <c r="B99" s="410">
        <v>9</v>
      </c>
      <c r="C99" s="197">
        <f>'Margins summary'!$H$12</f>
        <v>2118.48</v>
      </c>
      <c r="D99" s="197">
        <f>'Margins summary'!$H$13</f>
        <v>220</v>
      </c>
      <c r="E99" s="197">
        <f>'Margins summary'!$H$18</f>
        <v>2338.48</v>
      </c>
      <c r="F99" s="197">
        <f>'Margins summary'!$H$24</f>
        <v>793.83573723279574</v>
      </c>
      <c r="G99" s="197">
        <f>'Margins summary'!$H$29</f>
        <v>841.03</v>
      </c>
      <c r="H99" s="197">
        <f t="shared" si="37"/>
        <v>1634.8657372327957</v>
      </c>
      <c r="I99" s="197">
        <f t="shared" si="38"/>
        <v>483.61426276720431</v>
      </c>
      <c r="J99" s="197">
        <f t="shared" si="36"/>
        <v>703.61426276720431</v>
      </c>
      <c r="K99" s="952">
        <f t="shared" si="39"/>
        <v>1547.9525854926026</v>
      </c>
      <c r="L99" s="953">
        <f t="shared" si="40"/>
        <v>160.75184510043644</v>
      </c>
      <c r="M99" s="953">
        <f t="shared" si="41"/>
        <v>1194.5803806893509</v>
      </c>
      <c r="N99" s="953">
        <f t="shared" si="42"/>
        <v>353.37220480325163</v>
      </c>
      <c r="O99" s="954">
        <f t="shared" si="43"/>
        <v>514.12404990368805</v>
      </c>
      <c r="P99" s="952">
        <f t="shared" si="48"/>
        <v>16381.665362684918</v>
      </c>
      <c r="Q99" s="953">
        <f t="shared" si="44"/>
        <v>1701.2038724890876</v>
      </c>
      <c r="R99" s="953">
        <f t="shared" si="45"/>
        <v>12641.999650818905</v>
      </c>
      <c r="S99" s="953">
        <f t="shared" si="46"/>
        <v>3739.6657118660132</v>
      </c>
      <c r="T99" s="954">
        <f t="shared" si="47"/>
        <v>5440.8695843551013</v>
      </c>
    </row>
    <row r="100" spans="2:20" x14ac:dyDescent="0.3">
      <c r="B100" s="410">
        <v>10</v>
      </c>
      <c r="C100" s="197">
        <f>'Margins summary'!$H$12</f>
        <v>2118.48</v>
      </c>
      <c r="D100" s="197">
        <f>'Margins summary'!$H$13</f>
        <v>220</v>
      </c>
      <c r="E100" s="197">
        <f>'Margins summary'!$H$18</f>
        <v>2338.48</v>
      </c>
      <c r="F100" s="197">
        <f>'Margins summary'!$H$24</f>
        <v>793.83573723279574</v>
      </c>
      <c r="G100" s="197">
        <f>'Margins summary'!$H$29</f>
        <v>841.03</v>
      </c>
      <c r="H100" s="197">
        <f t="shared" si="37"/>
        <v>1634.8657372327957</v>
      </c>
      <c r="I100" s="197">
        <f t="shared" si="38"/>
        <v>483.61426276720431</v>
      </c>
      <c r="J100" s="197">
        <f t="shared" si="36"/>
        <v>703.61426276720431</v>
      </c>
      <c r="K100" s="952">
        <f t="shared" si="39"/>
        <v>1488.4159475890408</v>
      </c>
      <c r="L100" s="953">
        <f t="shared" si="40"/>
        <v>154.5690818273427</v>
      </c>
      <c r="M100" s="953">
        <f t="shared" si="41"/>
        <v>1148.6349814320681</v>
      </c>
      <c r="N100" s="953">
        <f t="shared" si="42"/>
        <v>339.78096615697268</v>
      </c>
      <c r="O100" s="954">
        <f t="shared" si="43"/>
        <v>494.35004798431538</v>
      </c>
      <c r="P100" s="952">
        <f t="shared" si="48"/>
        <v>17870.081310273959</v>
      </c>
      <c r="Q100" s="953">
        <f t="shared" si="44"/>
        <v>1855.7729543164303</v>
      </c>
      <c r="R100" s="953">
        <f t="shared" si="45"/>
        <v>13790.634632250973</v>
      </c>
      <c r="S100" s="953">
        <f t="shared" si="46"/>
        <v>4079.4466780229859</v>
      </c>
      <c r="T100" s="954">
        <f t="shared" si="47"/>
        <v>5935.2196323394164</v>
      </c>
    </row>
    <row r="101" spans="2:20" x14ac:dyDescent="0.3">
      <c r="B101" s="410">
        <v>11</v>
      </c>
      <c r="C101" s="197">
        <f>'Margins summary'!$H$12</f>
        <v>2118.48</v>
      </c>
      <c r="D101" s="197">
        <f>'Margins summary'!$H$13</f>
        <v>220</v>
      </c>
      <c r="E101" s="197">
        <f>'Margins summary'!$H$18</f>
        <v>2338.48</v>
      </c>
      <c r="F101" s="197">
        <f>'Margins summary'!$H$24</f>
        <v>793.83573723279574</v>
      </c>
      <c r="G101" s="197">
        <f>'Margins summary'!$H$29</f>
        <v>841.03</v>
      </c>
      <c r="H101" s="197">
        <f t="shared" si="37"/>
        <v>1634.8657372327957</v>
      </c>
      <c r="I101" s="197">
        <f t="shared" si="38"/>
        <v>483.61426276720431</v>
      </c>
      <c r="J101" s="197">
        <f t="shared" si="36"/>
        <v>703.61426276720431</v>
      </c>
      <c r="K101" s="952">
        <f t="shared" si="39"/>
        <v>1431.1691803740778</v>
      </c>
      <c r="L101" s="953">
        <f t="shared" si="40"/>
        <v>148.62411714167567</v>
      </c>
      <c r="M101" s="953">
        <f t="shared" si="41"/>
        <v>1104.45671291545</v>
      </c>
      <c r="N101" s="953">
        <f t="shared" si="42"/>
        <v>326.71246745862777</v>
      </c>
      <c r="O101" s="954">
        <f t="shared" si="43"/>
        <v>475.33658460030347</v>
      </c>
      <c r="P101" s="952">
        <f t="shared" si="48"/>
        <v>19301.250490648039</v>
      </c>
      <c r="Q101" s="953">
        <f t="shared" si="44"/>
        <v>2004.397071458106</v>
      </c>
      <c r="R101" s="953">
        <f t="shared" si="45"/>
        <v>14895.091345166422</v>
      </c>
      <c r="S101" s="953">
        <f t="shared" si="46"/>
        <v>4406.1591454816135</v>
      </c>
      <c r="T101" s="954">
        <f t="shared" si="47"/>
        <v>6410.5562169397199</v>
      </c>
    </row>
    <row r="102" spans="2:20" x14ac:dyDescent="0.3">
      <c r="B102" s="410">
        <v>12</v>
      </c>
      <c r="C102" s="197">
        <f>'Margins summary'!$H$12</f>
        <v>2118.48</v>
      </c>
      <c r="D102" s="197">
        <f>'Margins summary'!$H$13</f>
        <v>220</v>
      </c>
      <c r="E102" s="197">
        <f>'Margins summary'!$H$18</f>
        <v>2338.48</v>
      </c>
      <c r="F102" s="197">
        <f>'Margins summary'!$H$24</f>
        <v>793.83573723279574</v>
      </c>
      <c r="G102" s="197">
        <f>'Margins summary'!$H$29</f>
        <v>841.03</v>
      </c>
      <c r="H102" s="197">
        <f t="shared" si="37"/>
        <v>1634.8657372327957</v>
      </c>
      <c r="I102" s="197">
        <f t="shared" si="38"/>
        <v>483.61426276720431</v>
      </c>
      <c r="J102" s="197">
        <f t="shared" si="36"/>
        <v>703.61426276720431</v>
      </c>
      <c r="K102" s="952">
        <f t="shared" si="39"/>
        <v>1376.1242118981518</v>
      </c>
      <c r="L102" s="953">
        <f t="shared" si="40"/>
        <v>142.90780494391893</v>
      </c>
      <c r="M102" s="953">
        <f t="shared" si="41"/>
        <v>1061.9776085725482</v>
      </c>
      <c r="N102" s="953">
        <f t="shared" si="42"/>
        <v>314.14660332560356</v>
      </c>
      <c r="O102" s="954">
        <f t="shared" si="43"/>
        <v>457.05440826952247</v>
      </c>
      <c r="P102" s="952">
        <f t="shared" si="48"/>
        <v>20677.374702546193</v>
      </c>
      <c r="Q102" s="953">
        <f t="shared" si="44"/>
        <v>2147.304876402025</v>
      </c>
      <c r="R102" s="953">
        <f t="shared" si="45"/>
        <v>15957.06895373897</v>
      </c>
      <c r="S102" s="953">
        <f t="shared" si="46"/>
        <v>4720.3057488072172</v>
      </c>
      <c r="T102" s="954">
        <f t="shared" si="47"/>
        <v>6867.6106252092422</v>
      </c>
    </row>
    <row r="103" spans="2:20" x14ac:dyDescent="0.3">
      <c r="B103" s="410">
        <v>13</v>
      </c>
      <c r="C103" s="197">
        <f>'Margins summary'!$H$12</f>
        <v>2118.48</v>
      </c>
      <c r="D103" s="197">
        <f>'Margins summary'!$H$13</f>
        <v>220</v>
      </c>
      <c r="E103" s="197">
        <f>'Margins summary'!$H$18</f>
        <v>2338.48</v>
      </c>
      <c r="F103" s="197">
        <f>'Margins summary'!$H$24</f>
        <v>793.83573723279574</v>
      </c>
      <c r="G103" s="197">
        <f>'Margins summary'!$H$29</f>
        <v>841.03</v>
      </c>
      <c r="H103" s="197">
        <f t="shared" si="37"/>
        <v>1634.8657372327957</v>
      </c>
      <c r="I103" s="197">
        <f t="shared" si="38"/>
        <v>483.61426276720431</v>
      </c>
      <c r="J103" s="197">
        <f t="shared" si="36"/>
        <v>703.61426276720431</v>
      </c>
      <c r="K103" s="952">
        <f t="shared" si="39"/>
        <v>1323.1963575943764</v>
      </c>
      <c r="L103" s="953">
        <f t="shared" si="40"/>
        <v>137.41135090761432</v>
      </c>
      <c r="M103" s="953">
        <f t="shared" si="41"/>
        <v>1021.1323159351423</v>
      </c>
      <c r="N103" s="953">
        <f t="shared" si="42"/>
        <v>302.06404165923414</v>
      </c>
      <c r="O103" s="954">
        <f t="shared" si="43"/>
        <v>439.47539256684843</v>
      </c>
      <c r="P103" s="952">
        <f t="shared" si="48"/>
        <v>22000.57106014057</v>
      </c>
      <c r="Q103" s="953">
        <f t="shared" si="44"/>
        <v>2284.7162273096392</v>
      </c>
      <c r="R103" s="953">
        <f t="shared" si="45"/>
        <v>16978.201269674111</v>
      </c>
      <c r="S103" s="953">
        <f t="shared" si="46"/>
        <v>5022.3697904664514</v>
      </c>
      <c r="T103" s="954">
        <f t="shared" si="47"/>
        <v>7307.0860177760906</v>
      </c>
    </row>
    <row r="104" spans="2:20" x14ac:dyDescent="0.3">
      <c r="B104" s="410">
        <v>14</v>
      </c>
      <c r="C104" s="197">
        <f>'Margins summary'!$H$12</f>
        <v>2118.48</v>
      </c>
      <c r="D104" s="197">
        <f>'Margins summary'!$H$13</f>
        <v>220</v>
      </c>
      <c r="E104" s="197">
        <f>'Margins summary'!$H$18</f>
        <v>2338.48</v>
      </c>
      <c r="F104" s="197">
        <f>'Margins summary'!$H$24</f>
        <v>793.83573723279574</v>
      </c>
      <c r="G104" s="197">
        <f>'Margins summary'!$H$29</f>
        <v>841.03</v>
      </c>
      <c r="H104" s="197">
        <f t="shared" si="37"/>
        <v>1634.8657372327957</v>
      </c>
      <c r="I104" s="197">
        <f t="shared" si="38"/>
        <v>483.61426276720431</v>
      </c>
      <c r="J104" s="197">
        <f t="shared" si="36"/>
        <v>703.61426276720431</v>
      </c>
      <c r="K104" s="952">
        <f t="shared" si="39"/>
        <v>1272.3041899945927</v>
      </c>
      <c r="L104" s="953">
        <f t="shared" si="40"/>
        <v>132.12629894962916</v>
      </c>
      <c r="M104" s="953">
        <f t="shared" si="41"/>
        <v>981.85799609148296</v>
      </c>
      <c r="N104" s="953">
        <f t="shared" si="42"/>
        <v>290.4461939031097</v>
      </c>
      <c r="O104" s="954">
        <f t="shared" si="43"/>
        <v>422.57249285273883</v>
      </c>
      <c r="P104" s="952">
        <f t="shared" si="48"/>
        <v>23272.875250135163</v>
      </c>
      <c r="Q104" s="953">
        <f t="shared" si="44"/>
        <v>2416.8425262592682</v>
      </c>
      <c r="R104" s="953">
        <f t="shared" si="45"/>
        <v>17960.059265765594</v>
      </c>
      <c r="S104" s="953">
        <f t="shared" si="46"/>
        <v>5312.8159843695612</v>
      </c>
      <c r="T104" s="954">
        <f t="shared" si="47"/>
        <v>7729.6585106288294</v>
      </c>
    </row>
    <row r="105" spans="2:20" x14ac:dyDescent="0.3">
      <c r="B105" s="410">
        <v>15</v>
      </c>
      <c r="C105" s="197">
        <f>'Margins summary'!$H$12</f>
        <v>2118.48</v>
      </c>
      <c r="D105" s="197">
        <f>'Margins summary'!$H$13</f>
        <v>220</v>
      </c>
      <c r="E105" s="197">
        <f>'Margins summary'!$H$18</f>
        <v>2338.48</v>
      </c>
      <c r="F105" s="197">
        <f>'Margins summary'!$H$24</f>
        <v>793.83573723279574</v>
      </c>
      <c r="G105" s="197">
        <f>'Margins summary'!$H$29</f>
        <v>841.03</v>
      </c>
      <c r="H105" s="197">
        <f t="shared" si="37"/>
        <v>1634.8657372327957</v>
      </c>
      <c r="I105" s="197">
        <f t="shared" si="38"/>
        <v>483.61426276720431</v>
      </c>
      <c r="J105" s="197">
        <f t="shared" si="36"/>
        <v>703.61426276720431</v>
      </c>
      <c r="K105" s="952">
        <f t="shared" si="39"/>
        <v>1223.3694134563391</v>
      </c>
      <c r="L105" s="953">
        <f t="shared" si="40"/>
        <v>127.04451822079727</v>
      </c>
      <c r="M105" s="953">
        <f t="shared" si="41"/>
        <v>944.09422701104131</v>
      </c>
      <c r="N105" s="953">
        <f t="shared" si="42"/>
        <v>279.27518644529778</v>
      </c>
      <c r="O105" s="954">
        <f t="shared" si="43"/>
        <v>406.31970466609505</v>
      </c>
      <c r="P105" s="952">
        <f t="shared" si="48"/>
        <v>24496.2446635915</v>
      </c>
      <c r="Q105" s="953">
        <f t="shared" si="44"/>
        <v>2543.8870444800655</v>
      </c>
      <c r="R105" s="953">
        <f t="shared" si="45"/>
        <v>18904.153492776637</v>
      </c>
      <c r="S105" s="953">
        <f t="shared" si="46"/>
        <v>5592.0911708148587</v>
      </c>
      <c r="T105" s="954">
        <f t="shared" si="47"/>
        <v>8135.9782152949247</v>
      </c>
    </row>
    <row r="106" spans="2:20" x14ac:dyDescent="0.3">
      <c r="B106" s="551">
        <v>16</v>
      </c>
      <c r="C106" s="207">
        <f>'Margins summary'!$H$12</f>
        <v>2118.48</v>
      </c>
      <c r="D106" s="207">
        <f>'Margins summary'!$H$13</f>
        <v>220</v>
      </c>
      <c r="E106" s="207">
        <f>'Margins summary'!$H$18</f>
        <v>2338.48</v>
      </c>
      <c r="F106" s="207">
        <f>'Margins summary'!$H$24</f>
        <v>793.83573723279574</v>
      </c>
      <c r="G106" s="207">
        <f>'Margins summary'!$H$29</f>
        <v>841.03</v>
      </c>
      <c r="H106" s="207">
        <f t="shared" si="37"/>
        <v>1634.8657372327957</v>
      </c>
      <c r="I106" s="207">
        <f t="shared" si="38"/>
        <v>483.61426276720431</v>
      </c>
      <c r="J106" s="207">
        <f t="shared" si="36"/>
        <v>703.61426276720431</v>
      </c>
      <c r="K106" s="955">
        <f t="shared" si="39"/>
        <v>1176.3167437080185</v>
      </c>
      <c r="L106" s="956">
        <f t="shared" si="40"/>
        <v>122.15819059692046</v>
      </c>
      <c r="M106" s="956">
        <f t="shared" si="41"/>
        <v>907.78291058753973</v>
      </c>
      <c r="N106" s="956">
        <f t="shared" si="42"/>
        <v>268.53383312047879</v>
      </c>
      <c r="O106" s="957">
        <f t="shared" si="43"/>
        <v>390.69202371739925</v>
      </c>
      <c r="P106" s="955">
        <f t="shared" si="48"/>
        <v>25672.561407299519</v>
      </c>
      <c r="Q106" s="956">
        <f t="shared" si="44"/>
        <v>2666.045235076986</v>
      </c>
      <c r="R106" s="956">
        <f>R105+M106</f>
        <v>19811.936403364176</v>
      </c>
      <c r="S106" s="956">
        <f t="shared" si="46"/>
        <v>5860.6250039353372</v>
      </c>
      <c r="T106" s="957">
        <f t="shared" si="47"/>
        <v>8526.6702390123246</v>
      </c>
    </row>
    <row r="113" spans="2:20" x14ac:dyDescent="0.3">
      <c r="B113" s="211" t="s">
        <v>260</v>
      </c>
      <c r="C113" s="194"/>
      <c r="D113" s="193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</row>
    <row r="114" spans="2:20" x14ac:dyDescent="0.3">
      <c r="B114" s="210"/>
      <c r="C114" s="1124"/>
      <c r="D114" s="1124"/>
      <c r="E114" s="1124"/>
      <c r="F114" s="148"/>
      <c r="G114" s="1124"/>
      <c r="H114" s="1124"/>
      <c r="I114" s="148"/>
      <c r="J114" s="148"/>
      <c r="K114" s="1125" t="s">
        <v>279</v>
      </c>
      <c r="L114" s="1126"/>
      <c r="M114" s="1126"/>
      <c r="N114" s="1126"/>
      <c r="O114" s="1127"/>
      <c r="P114" s="1125" t="s">
        <v>280</v>
      </c>
      <c r="Q114" s="1126"/>
      <c r="R114" s="1126"/>
      <c r="S114" s="1126"/>
      <c r="T114" s="1127"/>
    </row>
    <row r="115" spans="2:20" ht="51" x14ac:dyDescent="0.3">
      <c r="B115" s="204" t="s">
        <v>281</v>
      </c>
      <c r="C115" s="171" t="s">
        <v>283</v>
      </c>
      <c r="D115" s="171" t="s">
        <v>10</v>
      </c>
      <c r="E115" s="171" t="s">
        <v>284</v>
      </c>
      <c r="F115" s="205" t="s">
        <v>285</v>
      </c>
      <c r="G115" s="171" t="s">
        <v>286</v>
      </c>
      <c r="H115" s="171" t="s">
        <v>287</v>
      </c>
      <c r="I115" s="171" t="s">
        <v>288</v>
      </c>
      <c r="J115" s="171" t="s">
        <v>289</v>
      </c>
      <c r="K115" s="195" t="s">
        <v>290</v>
      </c>
      <c r="L115" s="171" t="s">
        <v>291</v>
      </c>
      <c r="M115" s="171" t="s">
        <v>292</v>
      </c>
      <c r="N115" s="171" t="s">
        <v>293</v>
      </c>
      <c r="O115" s="198" t="s">
        <v>294</v>
      </c>
      <c r="P115" s="195" t="s">
        <v>295</v>
      </c>
      <c r="Q115" s="171" t="s">
        <v>296</v>
      </c>
      <c r="R115" s="171" t="s">
        <v>297</v>
      </c>
      <c r="S115" s="171" t="s">
        <v>298</v>
      </c>
      <c r="T115" s="198" t="s">
        <v>299</v>
      </c>
    </row>
    <row r="116" spans="2:20" x14ac:dyDescent="0.3">
      <c r="B116" s="173"/>
      <c r="C116" s="201" t="s">
        <v>474</v>
      </c>
      <c r="D116" s="201" t="s">
        <v>474</v>
      </c>
      <c r="E116" s="201" t="s">
        <v>474</v>
      </c>
      <c r="F116" s="201" t="s">
        <v>474</v>
      </c>
      <c r="G116" s="201" t="s">
        <v>474</v>
      </c>
      <c r="H116" s="201" t="s">
        <v>474</v>
      </c>
      <c r="I116" s="201" t="s">
        <v>474</v>
      </c>
      <c r="J116" s="202" t="s">
        <v>455</v>
      </c>
      <c r="K116" s="201" t="s">
        <v>474</v>
      </c>
      <c r="L116" s="201" t="s">
        <v>474</v>
      </c>
      <c r="M116" s="201" t="s">
        <v>474</v>
      </c>
      <c r="N116" s="201" t="s">
        <v>474</v>
      </c>
      <c r="O116" s="202" t="s">
        <v>474</v>
      </c>
      <c r="P116" s="201" t="s">
        <v>474</v>
      </c>
      <c r="Q116" s="201" t="s">
        <v>474</v>
      </c>
      <c r="R116" s="201" t="s">
        <v>474</v>
      </c>
      <c r="S116" s="201" t="s">
        <v>474</v>
      </c>
      <c r="T116" s="202" t="s">
        <v>474</v>
      </c>
    </row>
    <row r="117" spans="2:20" x14ac:dyDescent="0.3">
      <c r="B117" s="715">
        <v>1</v>
      </c>
      <c r="C117" s="197">
        <f>'Margins summary'!$I$12</f>
        <v>1285.1999999999998</v>
      </c>
      <c r="D117" s="197">
        <f>'Margins summary'!$I$13</f>
        <v>220</v>
      </c>
      <c r="E117" s="197">
        <f>'Margins summary'!$I$18</f>
        <v>1505.1999999999998</v>
      </c>
      <c r="F117" s="197">
        <f>'Margins summary'!$I$24</f>
        <v>528.51499999999999</v>
      </c>
      <c r="G117" s="197">
        <f>'Margins summary'!$I$29</f>
        <v>552.40000000000009</v>
      </c>
      <c r="H117" s="197">
        <f>F117+G117</f>
        <v>1080.915</v>
      </c>
      <c r="I117" s="197">
        <f>C117-H117</f>
        <v>204.28499999999985</v>
      </c>
      <c r="J117" s="197">
        <f t="shared" ref="J117:J132" si="49">E117-H117</f>
        <v>424.28499999999985</v>
      </c>
      <c r="K117" s="952">
        <f>C117/(1+$C$6)^($B117-1)</f>
        <v>1285.1999999999998</v>
      </c>
      <c r="L117" s="953">
        <f>D117/(1+$C$6)^($B117-1)</f>
        <v>220</v>
      </c>
      <c r="M117" s="953">
        <f>H117/(1+$C$6)^($B117-1)</f>
        <v>1080.915</v>
      </c>
      <c r="N117" s="953">
        <f>K117-M117</f>
        <v>204.28499999999985</v>
      </c>
      <c r="O117" s="954">
        <f>N117+L117</f>
        <v>424.28499999999985</v>
      </c>
      <c r="P117" s="952">
        <f>K117</f>
        <v>1285.1999999999998</v>
      </c>
      <c r="Q117" s="953">
        <f>L117</f>
        <v>220</v>
      </c>
      <c r="R117" s="953">
        <f>M117</f>
        <v>1080.915</v>
      </c>
      <c r="S117" s="953">
        <f>N117</f>
        <v>204.28499999999985</v>
      </c>
      <c r="T117" s="954">
        <f>O117</f>
        <v>424.28499999999985</v>
      </c>
    </row>
    <row r="118" spans="2:20" x14ac:dyDescent="0.3">
      <c r="B118" s="410">
        <v>2</v>
      </c>
      <c r="C118" s="197">
        <f>'Margins summary'!$I$12</f>
        <v>1285.1999999999998</v>
      </c>
      <c r="D118" s="197">
        <f>'Margins summary'!$I$13</f>
        <v>220</v>
      </c>
      <c r="E118" s="197">
        <f>'Margins summary'!$I$18</f>
        <v>1505.1999999999998</v>
      </c>
      <c r="F118" s="197">
        <f>'Margins summary'!$I$24</f>
        <v>528.51499999999999</v>
      </c>
      <c r="G118" s="197">
        <f>'Margins summary'!$I$29</f>
        <v>552.40000000000009</v>
      </c>
      <c r="H118" s="197">
        <f t="shared" ref="H118:H132" si="50">F118+G118</f>
        <v>1080.915</v>
      </c>
      <c r="I118" s="197">
        <f t="shared" ref="I118:I132" si="51">C118-H118</f>
        <v>204.28499999999985</v>
      </c>
      <c r="J118" s="197">
        <f t="shared" si="49"/>
        <v>424.28499999999985</v>
      </c>
      <c r="K118" s="952">
        <f t="shared" ref="K118:K132" si="52">C118/(1+$C$6)^($B118-1)</f>
        <v>1235.7692307692305</v>
      </c>
      <c r="L118" s="953">
        <f t="shared" ref="L118:L132" si="53">D118/(1+$C$6)^($B118-1)</f>
        <v>211.53846153846152</v>
      </c>
      <c r="M118" s="953">
        <f t="shared" ref="M118:M132" si="54">H118/(1+$C$6)^($B118-1)</f>
        <v>1039.3413461538462</v>
      </c>
      <c r="N118" s="953">
        <f t="shared" ref="N118:N132" si="55">K118-M118</f>
        <v>196.4278846153843</v>
      </c>
      <c r="O118" s="954">
        <f t="shared" ref="O118:O132" si="56">N118+L118</f>
        <v>407.96634615384585</v>
      </c>
      <c r="P118" s="952">
        <f>P117+K118</f>
        <v>2520.9692307692303</v>
      </c>
      <c r="Q118" s="953">
        <f t="shared" ref="Q118:Q132" si="57">Q117+L118</f>
        <v>431.53846153846155</v>
      </c>
      <c r="R118" s="953">
        <f>R117+M118</f>
        <v>2120.2563461538462</v>
      </c>
      <c r="S118" s="953">
        <f t="shared" ref="S118:S132" si="58">S117+N118</f>
        <v>400.71288461538416</v>
      </c>
      <c r="T118" s="954">
        <f t="shared" ref="T118:T132" si="59">T117+O118</f>
        <v>832.2513461538457</v>
      </c>
    </row>
    <row r="119" spans="2:20" x14ac:dyDescent="0.3">
      <c r="B119" s="410">
        <v>3</v>
      </c>
      <c r="C119" s="197">
        <f>'Margins summary'!$I$12</f>
        <v>1285.1999999999998</v>
      </c>
      <c r="D119" s="197">
        <f>'Margins summary'!$I$13</f>
        <v>220</v>
      </c>
      <c r="E119" s="197">
        <f>'Margins summary'!$I$18</f>
        <v>1505.1999999999998</v>
      </c>
      <c r="F119" s="197">
        <f>'Margins summary'!$I$24</f>
        <v>528.51499999999999</v>
      </c>
      <c r="G119" s="197">
        <f>'Margins summary'!$I$29</f>
        <v>552.40000000000009</v>
      </c>
      <c r="H119" s="197">
        <f t="shared" si="50"/>
        <v>1080.915</v>
      </c>
      <c r="I119" s="197">
        <f t="shared" si="51"/>
        <v>204.28499999999985</v>
      </c>
      <c r="J119" s="197">
        <f t="shared" si="49"/>
        <v>424.28499999999985</v>
      </c>
      <c r="K119" s="952">
        <f t="shared" si="52"/>
        <v>1188.2396449704138</v>
      </c>
      <c r="L119" s="953">
        <f t="shared" si="53"/>
        <v>203.40236686390531</v>
      </c>
      <c r="M119" s="953">
        <f t="shared" si="54"/>
        <v>999.36667899408269</v>
      </c>
      <c r="N119" s="953">
        <f t="shared" si="55"/>
        <v>188.8729659763311</v>
      </c>
      <c r="O119" s="954">
        <f t="shared" si="56"/>
        <v>392.27533284023639</v>
      </c>
      <c r="P119" s="952">
        <f t="shared" ref="P119:P132" si="60">P118+K119</f>
        <v>3709.2088757396441</v>
      </c>
      <c r="Q119" s="953">
        <f t="shared" si="57"/>
        <v>634.94082840236683</v>
      </c>
      <c r="R119" s="953">
        <f t="shared" ref="R119:R132" si="61">R118+M119</f>
        <v>3119.6230251479287</v>
      </c>
      <c r="S119" s="953">
        <f t="shared" si="58"/>
        <v>589.58585059171526</v>
      </c>
      <c r="T119" s="954">
        <f t="shared" si="59"/>
        <v>1224.526678994082</v>
      </c>
    </row>
    <row r="120" spans="2:20" x14ac:dyDescent="0.3">
      <c r="B120" s="410">
        <v>4</v>
      </c>
      <c r="C120" s="197">
        <f>'Margins summary'!$I$12</f>
        <v>1285.1999999999998</v>
      </c>
      <c r="D120" s="197">
        <f>'Margins summary'!$I$13</f>
        <v>220</v>
      </c>
      <c r="E120" s="197">
        <f>'Margins summary'!$I$18</f>
        <v>1505.1999999999998</v>
      </c>
      <c r="F120" s="197">
        <f>'Margins summary'!$I$24</f>
        <v>528.51499999999999</v>
      </c>
      <c r="G120" s="197">
        <f>'Margins summary'!$I$29</f>
        <v>552.40000000000009</v>
      </c>
      <c r="H120" s="197">
        <f t="shared" si="50"/>
        <v>1080.915</v>
      </c>
      <c r="I120" s="197">
        <f t="shared" si="51"/>
        <v>204.28499999999985</v>
      </c>
      <c r="J120" s="197">
        <f t="shared" si="49"/>
        <v>424.28499999999985</v>
      </c>
      <c r="K120" s="952">
        <f t="shared" si="52"/>
        <v>1142.5381201638595</v>
      </c>
      <c r="L120" s="953">
        <f t="shared" si="53"/>
        <v>195.57919890760127</v>
      </c>
      <c r="M120" s="953">
        <f t="shared" si="54"/>
        <v>960.9294990327719</v>
      </c>
      <c r="N120" s="953">
        <f t="shared" si="55"/>
        <v>181.6086211310876</v>
      </c>
      <c r="O120" s="954">
        <f t="shared" si="56"/>
        <v>377.18782003868887</v>
      </c>
      <c r="P120" s="952">
        <f t="shared" si="60"/>
        <v>4851.7469959035034</v>
      </c>
      <c r="Q120" s="953">
        <f t="shared" si="57"/>
        <v>830.5200273099681</v>
      </c>
      <c r="R120" s="953">
        <f t="shared" si="61"/>
        <v>4080.5525241807009</v>
      </c>
      <c r="S120" s="953">
        <f t="shared" si="58"/>
        <v>771.19447172280286</v>
      </c>
      <c r="T120" s="954">
        <f t="shared" si="59"/>
        <v>1601.7144990327708</v>
      </c>
    </row>
    <row r="121" spans="2:20" x14ac:dyDescent="0.3">
      <c r="B121" s="410">
        <v>5</v>
      </c>
      <c r="C121" s="197">
        <f>'Margins summary'!$I$12</f>
        <v>1285.1999999999998</v>
      </c>
      <c r="D121" s="197">
        <f>'Margins summary'!$I$13</f>
        <v>220</v>
      </c>
      <c r="E121" s="197">
        <f>'Margins summary'!$I$18</f>
        <v>1505.1999999999998</v>
      </c>
      <c r="F121" s="197">
        <f>'Margins summary'!$I$24</f>
        <v>528.51499999999999</v>
      </c>
      <c r="G121" s="197">
        <f>'Margins summary'!$I$29</f>
        <v>552.40000000000009</v>
      </c>
      <c r="H121" s="197">
        <f t="shared" si="50"/>
        <v>1080.915</v>
      </c>
      <c r="I121" s="197">
        <f t="shared" si="51"/>
        <v>204.28499999999985</v>
      </c>
      <c r="J121" s="197">
        <f t="shared" si="49"/>
        <v>424.28499999999985</v>
      </c>
      <c r="K121" s="952">
        <f t="shared" si="52"/>
        <v>1098.5943463114033</v>
      </c>
      <c r="L121" s="953">
        <f t="shared" si="53"/>
        <v>188.05692202653967</v>
      </c>
      <c r="M121" s="953">
        <f t="shared" si="54"/>
        <v>923.97067214689594</v>
      </c>
      <c r="N121" s="953">
        <f t="shared" si="55"/>
        <v>174.62367416450741</v>
      </c>
      <c r="O121" s="954">
        <f t="shared" si="56"/>
        <v>362.68059619104707</v>
      </c>
      <c r="P121" s="952">
        <f t="shared" si="60"/>
        <v>5950.3413422149069</v>
      </c>
      <c r="Q121" s="953">
        <f t="shared" si="57"/>
        <v>1018.5769493365078</v>
      </c>
      <c r="R121" s="953">
        <f t="shared" si="61"/>
        <v>5004.5231963275965</v>
      </c>
      <c r="S121" s="953">
        <f t="shared" si="58"/>
        <v>945.81814588731027</v>
      </c>
      <c r="T121" s="954">
        <f t="shared" si="59"/>
        <v>1964.3950952238179</v>
      </c>
    </row>
    <row r="122" spans="2:20" x14ac:dyDescent="0.3">
      <c r="B122" s="410">
        <v>6</v>
      </c>
      <c r="C122" s="197">
        <f>'Margins summary'!$I$12</f>
        <v>1285.1999999999998</v>
      </c>
      <c r="D122" s="197">
        <f>'Margins summary'!$I$13</f>
        <v>220</v>
      </c>
      <c r="E122" s="197">
        <f>'Margins summary'!$I$18</f>
        <v>1505.1999999999998</v>
      </c>
      <c r="F122" s="197">
        <f>'Margins summary'!$I$24</f>
        <v>528.51499999999999</v>
      </c>
      <c r="G122" s="197">
        <f>'Margins summary'!$I$29</f>
        <v>552.40000000000009</v>
      </c>
      <c r="H122" s="197">
        <f t="shared" si="50"/>
        <v>1080.915</v>
      </c>
      <c r="I122" s="197">
        <f t="shared" si="51"/>
        <v>204.28499999999985</v>
      </c>
      <c r="J122" s="197">
        <f t="shared" si="49"/>
        <v>424.28499999999985</v>
      </c>
      <c r="K122" s="952">
        <f t="shared" si="52"/>
        <v>1056.3407176071184</v>
      </c>
      <c r="L122" s="953">
        <f t="shared" si="53"/>
        <v>180.82396348705734</v>
      </c>
      <c r="M122" s="953">
        <f t="shared" si="54"/>
        <v>888.43333860278449</v>
      </c>
      <c r="N122" s="953">
        <f t="shared" si="55"/>
        <v>167.90737900433396</v>
      </c>
      <c r="O122" s="954">
        <f t="shared" si="56"/>
        <v>348.73134249139127</v>
      </c>
      <c r="P122" s="952">
        <f t="shared" si="60"/>
        <v>7006.6820598220256</v>
      </c>
      <c r="Q122" s="953">
        <f t="shared" si="57"/>
        <v>1199.4009128235652</v>
      </c>
      <c r="R122" s="953">
        <f t="shared" si="61"/>
        <v>5892.9565349303812</v>
      </c>
      <c r="S122" s="953">
        <f t="shared" si="58"/>
        <v>1113.7255248916442</v>
      </c>
      <c r="T122" s="954">
        <f t="shared" si="59"/>
        <v>2313.1264377152092</v>
      </c>
    </row>
    <row r="123" spans="2:20" x14ac:dyDescent="0.3">
      <c r="B123" s="410">
        <v>7</v>
      </c>
      <c r="C123" s="197">
        <f>'Margins summary'!$I$12</f>
        <v>1285.1999999999998</v>
      </c>
      <c r="D123" s="197">
        <f>'Margins summary'!$I$13</f>
        <v>220</v>
      </c>
      <c r="E123" s="197">
        <f>'Margins summary'!$I$18</f>
        <v>1505.1999999999998</v>
      </c>
      <c r="F123" s="197">
        <f>'Margins summary'!$I$24</f>
        <v>528.51499999999999</v>
      </c>
      <c r="G123" s="197">
        <f>'Margins summary'!$I$29</f>
        <v>552.40000000000009</v>
      </c>
      <c r="H123" s="197">
        <f t="shared" si="50"/>
        <v>1080.915</v>
      </c>
      <c r="I123" s="197">
        <f t="shared" si="51"/>
        <v>204.28499999999985</v>
      </c>
      <c r="J123" s="197">
        <f t="shared" si="49"/>
        <v>424.28499999999985</v>
      </c>
      <c r="K123" s="952">
        <f t="shared" si="52"/>
        <v>1015.7122284683832</v>
      </c>
      <c r="L123" s="953">
        <f t="shared" si="53"/>
        <v>173.86919566063204</v>
      </c>
      <c r="M123" s="953">
        <f t="shared" si="54"/>
        <v>854.26282557960042</v>
      </c>
      <c r="N123" s="953">
        <f t="shared" si="55"/>
        <v>161.44940288878274</v>
      </c>
      <c r="O123" s="954">
        <f t="shared" si="56"/>
        <v>335.31859854941479</v>
      </c>
      <c r="P123" s="952">
        <f t="shared" si="60"/>
        <v>8022.3942882904084</v>
      </c>
      <c r="Q123" s="953">
        <f t="shared" si="57"/>
        <v>1373.2701084841974</v>
      </c>
      <c r="R123" s="953">
        <f t="shared" si="61"/>
        <v>6747.2193605099819</v>
      </c>
      <c r="S123" s="953">
        <f t="shared" si="58"/>
        <v>1275.174927780427</v>
      </c>
      <c r="T123" s="954">
        <f t="shared" si="59"/>
        <v>2648.4450362646239</v>
      </c>
    </row>
    <row r="124" spans="2:20" x14ac:dyDescent="0.3">
      <c r="B124" s="410">
        <v>8</v>
      </c>
      <c r="C124" s="197">
        <f>'Margins summary'!$I$12</f>
        <v>1285.1999999999998</v>
      </c>
      <c r="D124" s="197">
        <f>'Margins summary'!$I$13</f>
        <v>220</v>
      </c>
      <c r="E124" s="197">
        <f>'Margins summary'!$I$18</f>
        <v>1505.1999999999998</v>
      </c>
      <c r="F124" s="197">
        <f>'Margins summary'!$I$24</f>
        <v>528.51499999999999</v>
      </c>
      <c r="G124" s="197">
        <f>'Margins summary'!$I$29</f>
        <v>552.40000000000009</v>
      </c>
      <c r="H124" s="197">
        <f t="shared" si="50"/>
        <v>1080.915</v>
      </c>
      <c r="I124" s="197">
        <f t="shared" si="51"/>
        <v>204.28499999999985</v>
      </c>
      <c r="J124" s="197">
        <f t="shared" si="49"/>
        <v>424.28499999999985</v>
      </c>
      <c r="K124" s="952">
        <f t="shared" si="52"/>
        <v>976.64637352729153</v>
      </c>
      <c r="L124" s="953">
        <f t="shared" si="53"/>
        <v>167.18191890445391</v>
      </c>
      <c r="M124" s="953">
        <f t="shared" si="54"/>
        <v>821.40656305730818</v>
      </c>
      <c r="N124" s="953">
        <f t="shared" si="55"/>
        <v>155.23981046998335</v>
      </c>
      <c r="O124" s="954">
        <f t="shared" si="56"/>
        <v>322.42172937443729</v>
      </c>
      <c r="P124" s="952">
        <f t="shared" si="60"/>
        <v>8999.0406618177003</v>
      </c>
      <c r="Q124" s="953">
        <f t="shared" si="57"/>
        <v>1540.4520273886512</v>
      </c>
      <c r="R124" s="953">
        <f t="shared" si="61"/>
        <v>7568.6259235672896</v>
      </c>
      <c r="S124" s="953">
        <f t="shared" si="58"/>
        <v>1430.4147382504102</v>
      </c>
      <c r="T124" s="954">
        <f t="shared" si="59"/>
        <v>2970.8667656390612</v>
      </c>
    </row>
    <row r="125" spans="2:20" x14ac:dyDescent="0.3">
      <c r="B125" s="410">
        <v>9</v>
      </c>
      <c r="C125" s="197">
        <f>'Margins summary'!$I$12</f>
        <v>1285.1999999999998</v>
      </c>
      <c r="D125" s="197">
        <f>'Margins summary'!$I$13</f>
        <v>220</v>
      </c>
      <c r="E125" s="197">
        <f>'Margins summary'!$I$18</f>
        <v>1505.1999999999998</v>
      </c>
      <c r="F125" s="197">
        <f>'Margins summary'!$I$24</f>
        <v>528.51499999999999</v>
      </c>
      <c r="G125" s="197">
        <f>'Margins summary'!$I$29</f>
        <v>552.40000000000009</v>
      </c>
      <c r="H125" s="197">
        <f t="shared" si="50"/>
        <v>1080.915</v>
      </c>
      <c r="I125" s="197">
        <f t="shared" si="51"/>
        <v>204.28499999999985</v>
      </c>
      <c r="J125" s="197">
        <f t="shared" si="49"/>
        <v>424.28499999999985</v>
      </c>
      <c r="K125" s="952">
        <f t="shared" si="52"/>
        <v>939.08305146854946</v>
      </c>
      <c r="L125" s="953">
        <f t="shared" si="53"/>
        <v>160.75184510043644</v>
      </c>
      <c r="M125" s="953">
        <f t="shared" si="54"/>
        <v>789.81400293971922</v>
      </c>
      <c r="N125" s="953">
        <f t="shared" si="55"/>
        <v>149.26904852883024</v>
      </c>
      <c r="O125" s="954">
        <f t="shared" si="56"/>
        <v>310.02089362926665</v>
      </c>
      <c r="P125" s="952">
        <f t="shared" si="60"/>
        <v>9938.1237132862498</v>
      </c>
      <c r="Q125" s="953">
        <f t="shared" si="57"/>
        <v>1701.2038724890876</v>
      </c>
      <c r="R125" s="953">
        <f t="shared" si="61"/>
        <v>8358.4399265070097</v>
      </c>
      <c r="S125" s="953">
        <f t="shared" si="58"/>
        <v>1579.6837867792406</v>
      </c>
      <c r="T125" s="954">
        <f t="shared" si="59"/>
        <v>3280.8876592683278</v>
      </c>
    </row>
    <row r="126" spans="2:20" x14ac:dyDescent="0.3">
      <c r="B126" s="410">
        <v>10</v>
      </c>
      <c r="C126" s="197">
        <f>'Margins summary'!$I$12</f>
        <v>1285.1999999999998</v>
      </c>
      <c r="D126" s="197">
        <f>'Margins summary'!$I$13</f>
        <v>220</v>
      </c>
      <c r="E126" s="197">
        <f>'Margins summary'!$I$18</f>
        <v>1505.1999999999998</v>
      </c>
      <c r="F126" s="197">
        <f>'Margins summary'!$I$24</f>
        <v>528.51499999999999</v>
      </c>
      <c r="G126" s="197">
        <f>'Margins summary'!$I$29</f>
        <v>552.40000000000009</v>
      </c>
      <c r="H126" s="197">
        <f t="shared" si="50"/>
        <v>1080.915</v>
      </c>
      <c r="I126" s="197">
        <f t="shared" si="51"/>
        <v>204.28499999999985</v>
      </c>
      <c r="J126" s="197">
        <f t="shared" si="49"/>
        <v>424.28499999999985</v>
      </c>
      <c r="K126" s="952">
        <f t="shared" si="52"/>
        <v>902.96447256591284</v>
      </c>
      <c r="L126" s="953">
        <f t="shared" si="53"/>
        <v>154.5690818273427</v>
      </c>
      <c r="M126" s="953">
        <f t="shared" si="54"/>
        <v>759.43654128819151</v>
      </c>
      <c r="N126" s="953">
        <f t="shared" si="55"/>
        <v>143.52793127772134</v>
      </c>
      <c r="O126" s="954">
        <f t="shared" si="56"/>
        <v>298.09701310506404</v>
      </c>
      <c r="P126" s="952">
        <f t="shared" si="60"/>
        <v>10841.088185852162</v>
      </c>
      <c r="Q126" s="953">
        <f t="shared" si="57"/>
        <v>1855.7729543164303</v>
      </c>
      <c r="R126" s="953">
        <f t="shared" si="61"/>
        <v>9117.8764677952004</v>
      </c>
      <c r="S126" s="953">
        <f t="shared" si="58"/>
        <v>1723.2117180569619</v>
      </c>
      <c r="T126" s="954">
        <f t="shared" si="59"/>
        <v>3578.9846723733917</v>
      </c>
    </row>
    <row r="127" spans="2:20" x14ac:dyDescent="0.3">
      <c r="B127" s="410">
        <v>11</v>
      </c>
      <c r="C127" s="197">
        <f>'Margins summary'!$I$12</f>
        <v>1285.1999999999998</v>
      </c>
      <c r="D127" s="197">
        <f>'Margins summary'!$I$13</f>
        <v>220</v>
      </c>
      <c r="E127" s="197">
        <f>'Margins summary'!$I$18</f>
        <v>1505.1999999999998</v>
      </c>
      <c r="F127" s="197">
        <f>'Margins summary'!$I$24</f>
        <v>528.51499999999999</v>
      </c>
      <c r="G127" s="197">
        <f>'Margins summary'!$I$29</f>
        <v>552.40000000000009</v>
      </c>
      <c r="H127" s="197">
        <f t="shared" si="50"/>
        <v>1080.915</v>
      </c>
      <c r="I127" s="197">
        <f t="shared" si="51"/>
        <v>204.28499999999985</v>
      </c>
      <c r="J127" s="197">
        <f t="shared" si="49"/>
        <v>424.28499999999985</v>
      </c>
      <c r="K127" s="952">
        <f t="shared" si="52"/>
        <v>868.23506977491616</v>
      </c>
      <c r="L127" s="953">
        <f t="shared" si="53"/>
        <v>148.62411714167567</v>
      </c>
      <c r="M127" s="953">
        <f t="shared" si="54"/>
        <v>730.22744354633801</v>
      </c>
      <c r="N127" s="953">
        <f t="shared" si="55"/>
        <v>138.00762622857815</v>
      </c>
      <c r="O127" s="954">
        <f t="shared" si="56"/>
        <v>286.63174337025384</v>
      </c>
      <c r="P127" s="952">
        <f t="shared" si="60"/>
        <v>11709.323255627078</v>
      </c>
      <c r="Q127" s="953">
        <f t="shared" si="57"/>
        <v>2004.397071458106</v>
      </c>
      <c r="R127" s="953">
        <f t="shared" si="61"/>
        <v>9848.1039113415391</v>
      </c>
      <c r="S127" s="953">
        <f t="shared" si="58"/>
        <v>1861.21934428554</v>
      </c>
      <c r="T127" s="954">
        <f t="shared" si="59"/>
        <v>3865.6164157436456</v>
      </c>
    </row>
    <row r="128" spans="2:20" x14ac:dyDescent="0.3">
      <c r="B128" s="410">
        <v>12</v>
      </c>
      <c r="C128" s="197">
        <f>'Margins summary'!$I$12</f>
        <v>1285.1999999999998</v>
      </c>
      <c r="D128" s="197">
        <f>'Margins summary'!$I$13</f>
        <v>220</v>
      </c>
      <c r="E128" s="197">
        <f>'Margins summary'!$I$18</f>
        <v>1505.1999999999998</v>
      </c>
      <c r="F128" s="197">
        <f>'Margins summary'!$I$24</f>
        <v>528.51499999999999</v>
      </c>
      <c r="G128" s="197">
        <f>'Margins summary'!$I$29</f>
        <v>552.40000000000009</v>
      </c>
      <c r="H128" s="197">
        <f t="shared" si="50"/>
        <v>1080.915</v>
      </c>
      <c r="I128" s="197">
        <f t="shared" si="51"/>
        <v>204.28499999999985</v>
      </c>
      <c r="J128" s="197">
        <f t="shared" si="49"/>
        <v>424.28499999999985</v>
      </c>
      <c r="K128" s="952">
        <f t="shared" si="52"/>
        <v>834.84141324511177</v>
      </c>
      <c r="L128" s="953">
        <f t="shared" si="53"/>
        <v>142.90780494391893</v>
      </c>
      <c r="M128" s="953">
        <f t="shared" si="54"/>
        <v>702.14177264070963</v>
      </c>
      <c r="N128" s="953">
        <f t="shared" si="55"/>
        <v>132.69964060440213</v>
      </c>
      <c r="O128" s="954">
        <f t="shared" si="56"/>
        <v>275.60744554832104</v>
      </c>
      <c r="P128" s="952">
        <f t="shared" si="60"/>
        <v>12544.16466887219</v>
      </c>
      <c r="Q128" s="953">
        <f t="shared" si="57"/>
        <v>2147.304876402025</v>
      </c>
      <c r="R128" s="953">
        <f t="shared" si="61"/>
        <v>10550.245683982248</v>
      </c>
      <c r="S128" s="953">
        <f t="shared" si="58"/>
        <v>1993.9189848899423</v>
      </c>
      <c r="T128" s="954">
        <f t="shared" si="59"/>
        <v>4141.2238612919664</v>
      </c>
    </row>
    <row r="129" spans="2:21" x14ac:dyDescent="0.3">
      <c r="B129" s="410">
        <v>13</v>
      </c>
      <c r="C129" s="197">
        <f>'Margins summary'!$I$12</f>
        <v>1285.1999999999998</v>
      </c>
      <c r="D129" s="197">
        <f>'Margins summary'!$I$13</f>
        <v>220</v>
      </c>
      <c r="E129" s="197">
        <f>'Margins summary'!$I$18</f>
        <v>1505.1999999999998</v>
      </c>
      <c r="F129" s="197">
        <f>'Margins summary'!$I$24</f>
        <v>528.51499999999999</v>
      </c>
      <c r="G129" s="197">
        <f>'Margins summary'!$I$29</f>
        <v>552.40000000000009</v>
      </c>
      <c r="H129" s="197">
        <f t="shared" si="50"/>
        <v>1080.915</v>
      </c>
      <c r="I129" s="197">
        <f t="shared" si="51"/>
        <v>204.28499999999985</v>
      </c>
      <c r="J129" s="197">
        <f t="shared" si="49"/>
        <v>424.28499999999985</v>
      </c>
      <c r="K129" s="952">
        <f t="shared" si="52"/>
        <v>802.73212812029965</v>
      </c>
      <c r="L129" s="953">
        <f t="shared" si="53"/>
        <v>137.41135090761432</v>
      </c>
      <c r="M129" s="953">
        <f t="shared" si="54"/>
        <v>675.13631984683605</v>
      </c>
      <c r="N129" s="953">
        <f t="shared" si="55"/>
        <v>127.5958082734636</v>
      </c>
      <c r="O129" s="954">
        <f t="shared" si="56"/>
        <v>265.0071591810779</v>
      </c>
      <c r="P129" s="952">
        <f t="shared" si="60"/>
        <v>13346.896796992491</v>
      </c>
      <c r="Q129" s="953">
        <f t="shared" si="57"/>
        <v>2284.7162273096392</v>
      </c>
      <c r="R129" s="953">
        <f t="shared" si="61"/>
        <v>11225.382003829083</v>
      </c>
      <c r="S129" s="953">
        <f t="shared" si="58"/>
        <v>2121.514793163406</v>
      </c>
      <c r="T129" s="954">
        <f t="shared" si="59"/>
        <v>4406.2310204730438</v>
      </c>
    </row>
    <row r="130" spans="2:21" x14ac:dyDescent="0.3">
      <c r="B130" s="410">
        <v>14</v>
      </c>
      <c r="C130" s="197">
        <f>'Margins summary'!$I$12</f>
        <v>1285.1999999999998</v>
      </c>
      <c r="D130" s="197">
        <f>'Margins summary'!$I$13</f>
        <v>220</v>
      </c>
      <c r="E130" s="197">
        <f>'Margins summary'!$I$18</f>
        <v>1505.1999999999998</v>
      </c>
      <c r="F130" s="197">
        <f>'Margins summary'!$I$24</f>
        <v>528.51499999999999</v>
      </c>
      <c r="G130" s="197">
        <f>'Margins summary'!$I$29</f>
        <v>552.40000000000009</v>
      </c>
      <c r="H130" s="197">
        <f t="shared" si="50"/>
        <v>1080.915</v>
      </c>
      <c r="I130" s="197">
        <f t="shared" si="51"/>
        <v>204.28499999999985</v>
      </c>
      <c r="J130" s="197">
        <f t="shared" si="49"/>
        <v>424.28499999999985</v>
      </c>
      <c r="K130" s="952">
        <f t="shared" si="52"/>
        <v>771.8578155002881</v>
      </c>
      <c r="L130" s="953">
        <f t="shared" si="53"/>
        <v>132.12629894962916</v>
      </c>
      <c r="M130" s="953">
        <f t="shared" si="54"/>
        <v>649.16953831426542</v>
      </c>
      <c r="N130" s="953">
        <f t="shared" si="55"/>
        <v>122.68827718602267</v>
      </c>
      <c r="O130" s="954">
        <f t="shared" si="56"/>
        <v>254.81457613565183</v>
      </c>
      <c r="P130" s="952">
        <f t="shared" si="60"/>
        <v>14118.754612492779</v>
      </c>
      <c r="Q130" s="953">
        <f t="shared" si="57"/>
        <v>2416.8425262592682</v>
      </c>
      <c r="R130" s="953">
        <f t="shared" si="61"/>
        <v>11874.551542143348</v>
      </c>
      <c r="S130" s="953">
        <f t="shared" si="58"/>
        <v>2244.2030703494288</v>
      </c>
      <c r="T130" s="954">
        <f t="shared" si="59"/>
        <v>4661.0455966086956</v>
      </c>
    </row>
    <row r="131" spans="2:21" x14ac:dyDescent="0.3">
      <c r="B131" s="410">
        <v>15</v>
      </c>
      <c r="C131" s="197">
        <f>'Margins summary'!$I$12</f>
        <v>1285.1999999999998</v>
      </c>
      <c r="D131" s="197">
        <f>'Margins summary'!$I$13</f>
        <v>220</v>
      </c>
      <c r="E131" s="197">
        <f>'Margins summary'!$I$18</f>
        <v>1505.1999999999998</v>
      </c>
      <c r="F131" s="197">
        <f>'Margins summary'!$I$24</f>
        <v>528.51499999999999</v>
      </c>
      <c r="G131" s="197">
        <f>'Margins summary'!$I$29</f>
        <v>552.40000000000009</v>
      </c>
      <c r="H131" s="197">
        <f t="shared" si="50"/>
        <v>1080.915</v>
      </c>
      <c r="I131" s="197">
        <f t="shared" si="51"/>
        <v>204.28499999999985</v>
      </c>
      <c r="J131" s="197">
        <f t="shared" si="49"/>
        <v>424.28499999999985</v>
      </c>
      <c r="K131" s="952">
        <f t="shared" si="52"/>
        <v>742.17097644258467</v>
      </c>
      <c r="L131" s="953">
        <f t="shared" si="53"/>
        <v>127.04451822079727</v>
      </c>
      <c r="M131" s="953">
        <f t="shared" si="54"/>
        <v>624.20147914833217</v>
      </c>
      <c r="N131" s="953">
        <f t="shared" si="55"/>
        <v>117.96949729425251</v>
      </c>
      <c r="O131" s="954">
        <f t="shared" si="56"/>
        <v>245.01401551504978</v>
      </c>
      <c r="P131" s="952">
        <f t="shared" si="60"/>
        <v>14860.925588935364</v>
      </c>
      <c r="Q131" s="953">
        <f t="shared" si="57"/>
        <v>2543.8870444800655</v>
      </c>
      <c r="R131" s="953">
        <f t="shared" si="61"/>
        <v>12498.753021291681</v>
      </c>
      <c r="S131" s="953">
        <f t="shared" si="58"/>
        <v>2362.1725676436813</v>
      </c>
      <c r="T131" s="954">
        <f t="shared" si="59"/>
        <v>4906.059612123745</v>
      </c>
    </row>
    <row r="132" spans="2:21" x14ac:dyDescent="0.3">
      <c r="B132" s="551">
        <v>16</v>
      </c>
      <c r="C132" s="207">
        <f>'Margins summary'!$I$12</f>
        <v>1285.1999999999998</v>
      </c>
      <c r="D132" s="207">
        <f>'Margins summary'!$I$13</f>
        <v>220</v>
      </c>
      <c r="E132" s="207">
        <f>'Margins summary'!$I$18</f>
        <v>1505.1999999999998</v>
      </c>
      <c r="F132" s="207">
        <f>'Margins summary'!$I$24</f>
        <v>528.51499999999999</v>
      </c>
      <c r="G132" s="207">
        <f>'Margins summary'!$I$29</f>
        <v>552.40000000000009</v>
      </c>
      <c r="H132" s="207">
        <f t="shared" si="50"/>
        <v>1080.915</v>
      </c>
      <c r="I132" s="207">
        <f t="shared" si="51"/>
        <v>204.28499999999985</v>
      </c>
      <c r="J132" s="207">
        <f t="shared" si="49"/>
        <v>424.28499999999985</v>
      </c>
      <c r="K132" s="955">
        <f t="shared" si="52"/>
        <v>713.62593888710069</v>
      </c>
      <c r="L132" s="956">
        <f t="shared" si="53"/>
        <v>122.15819059692046</v>
      </c>
      <c r="M132" s="956">
        <f t="shared" si="54"/>
        <v>600.19372995031938</v>
      </c>
      <c r="N132" s="956">
        <f t="shared" si="55"/>
        <v>113.43220893678131</v>
      </c>
      <c r="O132" s="957">
        <f t="shared" si="56"/>
        <v>235.59039953370177</v>
      </c>
      <c r="P132" s="955">
        <f t="shared" si="60"/>
        <v>15574.551527822465</v>
      </c>
      <c r="Q132" s="956">
        <f t="shared" si="57"/>
        <v>2666.045235076986</v>
      </c>
      <c r="R132" s="956">
        <f t="shared" si="61"/>
        <v>13098.946751242</v>
      </c>
      <c r="S132" s="956">
        <f t="shared" si="58"/>
        <v>2475.6047765804624</v>
      </c>
      <c r="T132" s="957">
        <f t="shared" si="59"/>
        <v>5141.6500116574471</v>
      </c>
    </row>
    <row r="139" spans="2:21" x14ac:dyDescent="0.3">
      <c r="B139" s="224" t="s">
        <v>303</v>
      </c>
    </row>
    <row r="140" spans="2:21" x14ac:dyDescent="0.3">
      <c r="B140" s="216"/>
      <c r="C140" s="1128"/>
      <c r="D140" s="1128"/>
      <c r="E140" s="1128"/>
      <c r="F140" s="148"/>
      <c r="G140" s="1124"/>
      <c r="H140" s="1124"/>
      <c r="I140" s="148"/>
      <c r="J140" s="148"/>
      <c r="K140" s="158"/>
      <c r="L140" s="222" t="s">
        <v>279</v>
      </c>
      <c r="M140" s="221"/>
      <c r="N140" s="221"/>
      <c r="O140" s="221"/>
      <c r="P140" s="223"/>
      <c r="Q140" s="221" t="s">
        <v>280</v>
      </c>
      <c r="R140" s="221"/>
      <c r="S140" s="221"/>
      <c r="T140" s="221"/>
      <c r="U140" s="217"/>
    </row>
    <row r="141" spans="2:21" ht="51" x14ac:dyDescent="0.3">
      <c r="B141" s="218" t="s">
        <v>282</v>
      </c>
      <c r="C141" s="214" t="s">
        <v>304</v>
      </c>
      <c r="D141" s="171" t="s">
        <v>283</v>
      </c>
      <c r="E141" s="171" t="s">
        <v>10</v>
      </c>
      <c r="F141" s="171" t="s">
        <v>284</v>
      </c>
      <c r="G141" s="205" t="s">
        <v>300</v>
      </c>
      <c r="H141" s="171" t="s">
        <v>286</v>
      </c>
      <c r="I141" s="171" t="s">
        <v>287</v>
      </c>
      <c r="J141" s="171" t="s">
        <v>288</v>
      </c>
      <c r="K141" s="171" t="s">
        <v>289</v>
      </c>
      <c r="L141" s="195" t="s">
        <v>290</v>
      </c>
      <c r="M141" s="171" t="s">
        <v>291</v>
      </c>
      <c r="N141" s="171" t="s">
        <v>292</v>
      </c>
      <c r="O141" s="171" t="s">
        <v>293</v>
      </c>
      <c r="P141" s="198" t="s">
        <v>294</v>
      </c>
      <c r="Q141" s="171" t="s">
        <v>295</v>
      </c>
      <c r="R141" s="171" t="s">
        <v>296</v>
      </c>
      <c r="S141" s="171" t="s">
        <v>297</v>
      </c>
      <c r="T141" s="171" t="s">
        <v>298</v>
      </c>
      <c r="U141" s="198" t="s">
        <v>299</v>
      </c>
    </row>
    <row r="142" spans="2:21" x14ac:dyDescent="0.3">
      <c r="B142" s="173"/>
      <c r="C142" s="215"/>
      <c r="D142" s="201" t="s">
        <v>474</v>
      </c>
      <c r="E142" s="201" t="s">
        <v>474</v>
      </c>
      <c r="F142" s="201" t="s">
        <v>474</v>
      </c>
      <c r="G142" s="201" t="s">
        <v>474</v>
      </c>
      <c r="H142" s="201" t="s">
        <v>474</v>
      </c>
      <c r="I142" s="201" t="s">
        <v>474</v>
      </c>
      <c r="J142" s="201" t="s">
        <v>474</v>
      </c>
      <c r="K142" s="202" t="s">
        <v>455</v>
      </c>
      <c r="L142" s="201" t="s">
        <v>474</v>
      </c>
      <c r="M142" s="201" t="s">
        <v>474</v>
      </c>
      <c r="N142" s="201" t="s">
        <v>474</v>
      </c>
      <c r="O142" s="201" t="s">
        <v>474</v>
      </c>
      <c r="P142" s="202" t="s">
        <v>474</v>
      </c>
      <c r="Q142" s="201" t="s">
        <v>474</v>
      </c>
      <c r="R142" s="201" t="s">
        <v>474</v>
      </c>
      <c r="S142" s="201" t="s">
        <v>474</v>
      </c>
      <c r="T142" s="201" t="s">
        <v>474</v>
      </c>
      <c r="U142" s="202" t="s">
        <v>474</v>
      </c>
    </row>
    <row r="143" spans="2:21" x14ac:dyDescent="0.3">
      <c r="B143" s="219" t="s">
        <v>4</v>
      </c>
      <c r="C143" s="629">
        <v>1</v>
      </c>
      <c r="D143" s="197">
        <f>C13</f>
        <v>1590</v>
      </c>
      <c r="E143" s="213">
        <f>'Margins summary'!$I$13</f>
        <v>220</v>
      </c>
      <c r="F143" s="197">
        <f>E13</f>
        <v>1810</v>
      </c>
      <c r="G143" s="197">
        <f>F13</f>
        <v>684.46423508399835</v>
      </c>
      <c r="H143" s="197">
        <f>G13</f>
        <v>841.31999999999994</v>
      </c>
      <c r="I143" s="197">
        <f>G143+H143</f>
        <v>1525.7842350839983</v>
      </c>
      <c r="J143" s="197">
        <f>D143-I143</f>
        <v>64.215764916001717</v>
      </c>
      <c r="K143" s="197">
        <f t="shared" ref="K143:K158" si="62">F143-I143</f>
        <v>284.21576491600172</v>
      </c>
      <c r="L143" s="952">
        <f>D143/(1+$C$6)^($C143-1)</f>
        <v>1590</v>
      </c>
      <c r="M143" s="953">
        <f>E143/(1+$C$6)^($C143-1)</f>
        <v>220</v>
      </c>
      <c r="N143" s="953">
        <f>I143/(1+$C$6)^($C143-1)</f>
        <v>1525.7842350839983</v>
      </c>
      <c r="O143" s="1017">
        <f>J143/(1+$C$6)^($C143-1)</f>
        <v>64.215764916001717</v>
      </c>
      <c r="P143" s="1018">
        <f>K143/(1+$C$6)^($C143-1)</f>
        <v>284.21576491600172</v>
      </c>
      <c r="Q143" s="953">
        <f>L143</f>
        <v>1590</v>
      </c>
      <c r="R143" s="953">
        <f>M143</f>
        <v>220</v>
      </c>
      <c r="S143" s="953">
        <f>N143</f>
        <v>1525.7842350839983</v>
      </c>
      <c r="T143" s="1019">
        <f>O143</f>
        <v>64.215764916001717</v>
      </c>
      <c r="U143" s="1020">
        <f>P143</f>
        <v>284.21576491600172</v>
      </c>
    </row>
    <row r="144" spans="2:21" x14ac:dyDescent="0.3">
      <c r="B144" s="219" t="s">
        <v>7</v>
      </c>
      <c r="C144" s="556">
        <v>2</v>
      </c>
      <c r="D144" s="197">
        <f>C92</f>
        <v>2118.48</v>
      </c>
      <c r="E144" s="197">
        <f>'Margins summary'!$I$13</f>
        <v>220</v>
      </c>
      <c r="F144" s="197">
        <f>E92</f>
        <v>2338.48</v>
      </c>
      <c r="G144" s="197">
        <f>F92</f>
        <v>793.83573723279574</v>
      </c>
      <c r="H144" s="197">
        <f>G92</f>
        <v>841.03</v>
      </c>
      <c r="I144" s="197">
        <f t="shared" ref="I144:I158" si="63">G144+H144</f>
        <v>1634.8657372327957</v>
      </c>
      <c r="J144" s="197">
        <f t="shared" ref="J144:J158" si="64">D144-I144</f>
        <v>483.61426276720431</v>
      </c>
      <c r="K144" s="197">
        <f t="shared" si="62"/>
        <v>703.61426276720431</v>
      </c>
      <c r="L144" s="952">
        <f t="shared" ref="L144:L158" si="65">D144/(1+$C$6)^($C144-1)</f>
        <v>2037</v>
      </c>
      <c r="M144" s="953">
        <f t="shared" ref="M144:M158" si="66">E144/(1+$C$6)^($C144-1)</f>
        <v>211.53846153846152</v>
      </c>
      <c r="N144" s="953">
        <f t="shared" ref="N144:N158" si="67">I144/(1+$C$6)^($C144-1)</f>
        <v>1571.986285800765</v>
      </c>
      <c r="O144" s="1019">
        <f t="shared" ref="O144:O158" si="68">J144/(1+$C$6)^($C144-1)</f>
        <v>465.01371419923487</v>
      </c>
      <c r="P144" s="1020">
        <f t="shared" ref="P144:P157" si="69">K144/(1+$C$6)^($C144-1)</f>
        <v>676.55217573769642</v>
      </c>
      <c r="Q144" s="953">
        <f>Q143+L144</f>
        <v>3627</v>
      </c>
      <c r="R144" s="953">
        <f t="shared" ref="R144:U158" si="70">R143+M144</f>
        <v>431.53846153846155</v>
      </c>
      <c r="S144" s="953">
        <f t="shared" si="70"/>
        <v>3097.7705208847633</v>
      </c>
      <c r="T144" s="1019">
        <f t="shared" si="70"/>
        <v>529.22947911523659</v>
      </c>
      <c r="U144" s="1020">
        <f t="shared" si="70"/>
        <v>960.76794065369813</v>
      </c>
    </row>
    <row r="145" spans="2:21" x14ac:dyDescent="0.3">
      <c r="B145" s="219" t="s">
        <v>260</v>
      </c>
      <c r="C145" s="556">
        <v>3</v>
      </c>
      <c r="D145" s="197">
        <f>C119</f>
        <v>1285.1999999999998</v>
      </c>
      <c r="E145" s="197">
        <f>'Margins summary'!$I$13</f>
        <v>220</v>
      </c>
      <c r="F145" s="197">
        <f>E119</f>
        <v>1505.1999999999998</v>
      </c>
      <c r="G145" s="197">
        <f>F119</f>
        <v>528.51499999999999</v>
      </c>
      <c r="H145" s="197">
        <f>G119</f>
        <v>552.40000000000009</v>
      </c>
      <c r="I145" s="197">
        <f t="shared" si="63"/>
        <v>1080.915</v>
      </c>
      <c r="J145" s="197">
        <f t="shared" si="64"/>
        <v>204.28499999999985</v>
      </c>
      <c r="K145" s="197">
        <f t="shared" si="62"/>
        <v>424.28499999999985</v>
      </c>
      <c r="L145" s="952">
        <f t="shared" si="65"/>
        <v>1188.2396449704138</v>
      </c>
      <c r="M145" s="953">
        <f t="shared" si="66"/>
        <v>203.40236686390531</v>
      </c>
      <c r="N145" s="953">
        <f t="shared" si="67"/>
        <v>999.36667899408269</v>
      </c>
      <c r="O145" s="1019">
        <f t="shared" si="68"/>
        <v>188.87296597633122</v>
      </c>
      <c r="P145" s="1020">
        <f t="shared" si="69"/>
        <v>392.2753328402365</v>
      </c>
      <c r="Q145" s="953">
        <f t="shared" ref="Q145:Q158" si="71">Q144+L145</f>
        <v>4815.2396449704138</v>
      </c>
      <c r="R145" s="953">
        <f t="shared" si="70"/>
        <v>634.94082840236683</v>
      </c>
      <c r="S145" s="953">
        <f t="shared" si="70"/>
        <v>4097.1371998788463</v>
      </c>
      <c r="T145" s="1019">
        <f t="shared" si="70"/>
        <v>718.1024450915678</v>
      </c>
      <c r="U145" s="1020">
        <f t="shared" si="70"/>
        <v>1353.0432734939345</v>
      </c>
    </row>
    <row r="146" spans="2:21" x14ac:dyDescent="0.3">
      <c r="B146" s="219" t="s">
        <v>6</v>
      </c>
      <c r="C146" s="556">
        <v>4</v>
      </c>
      <c r="D146" s="197">
        <f>C68</f>
        <v>1270</v>
      </c>
      <c r="E146" s="197">
        <f>'Margins summary'!$I$13</f>
        <v>220</v>
      </c>
      <c r="F146" s="197">
        <f>E68</f>
        <v>1490</v>
      </c>
      <c r="G146" s="197">
        <f>F68</f>
        <v>541.75901992521074</v>
      </c>
      <c r="H146" s="197">
        <f>G68</f>
        <v>621.47428571428577</v>
      </c>
      <c r="I146" s="197">
        <f t="shared" si="63"/>
        <v>1163.2333056394964</v>
      </c>
      <c r="J146" s="197">
        <f t="shared" si="64"/>
        <v>106.76669436050361</v>
      </c>
      <c r="K146" s="197">
        <f t="shared" si="62"/>
        <v>326.76669436050361</v>
      </c>
      <c r="L146" s="952">
        <f t="shared" si="65"/>
        <v>1129.0253755120618</v>
      </c>
      <c r="M146" s="953">
        <f t="shared" si="66"/>
        <v>195.57919890760127</v>
      </c>
      <c r="N146" s="953">
        <f t="shared" si="67"/>
        <v>1034.1101729982436</v>
      </c>
      <c r="O146" s="1019">
        <f t="shared" si="68"/>
        <v>94.915202513818201</v>
      </c>
      <c r="P146" s="1020">
        <f t="shared" si="69"/>
        <v>290.49440142141947</v>
      </c>
      <c r="Q146" s="953">
        <f t="shared" si="71"/>
        <v>5944.2650204824758</v>
      </c>
      <c r="R146" s="953">
        <f t="shared" si="70"/>
        <v>830.5200273099681</v>
      </c>
      <c r="S146" s="953">
        <f t="shared" si="70"/>
        <v>5131.2473728770901</v>
      </c>
      <c r="T146" s="1019">
        <f t="shared" si="70"/>
        <v>813.01764760538595</v>
      </c>
      <c r="U146" s="1020">
        <f t="shared" si="70"/>
        <v>1643.537674915354</v>
      </c>
    </row>
    <row r="147" spans="2:21" x14ac:dyDescent="0.3">
      <c r="B147" s="219" t="s">
        <v>5</v>
      </c>
      <c r="C147" s="556">
        <v>5</v>
      </c>
      <c r="D147" s="197">
        <f>C43</f>
        <v>1127</v>
      </c>
      <c r="E147" s="197">
        <f>'Margins summary'!$I$13</f>
        <v>220</v>
      </c>
      <c r="F147" s="197">
        <f>E43</f>
        <v>1347</v>
      </c>
      <c r="G147" s="197">
        <f>F43</f>
        <v>418.54877602277168</v>
      </c>
      <c r="H147" s="197">
        <f>G43</f>
        <v>773.65999999999985</v>
      </c>
      <c r="I147" s="197">
        <f t="shared" si="63"/>
        <v>1192.2087760227714</v>
      </c>
      <c r="J147" s="197">
        <f t="shared" si="64"/>
        <v>-65.208776022771417</v>
      </c>
      <c r="K147" s="197">
        <f t="shared" si="62"/>
        <v>154.79122397722858</v>
      </c>
      <c r="L147" s="952">
        <f t="shared" si="65"/>
        <v>963.36432329050081</v>
      </c>
      <c r="M147" s="953">
        <f t="shared" si="66"/>
        <v>188.05692202653967</v>
      </c>
      <c r="N147" s="953">
        <f t="shared" si="67"/>
        <v>1019.1050583266846</v>
      </c>
      <c r="O147" s="1019">
        <f t="shared" si="68"/>
        <v>-55.740735036183693</v>
      </c>
      <c r="P147" s="1020">
        <f t="shared" si="69"/>
        <v>132.31618699035596</v>
      </c>
      <c r="Q147" s="953">
        <f t="shared" si="71"/>
        <v>6907.6293437729764</v>
      </c>
      <c r="R147" s="953">
        <f t="shared" si="70"/>
        <v>1018.5769493365078</v>
      </c>
      <c r="S147" s="953">
        <f t="shared" si="70"/>
        <v>6150.3524312037744</v>
      </c>
      <c r="T147" s="1019">
        <f t="shared" si="70"/>
        <v>757.2769125692023</v>
      </c>
      <c r="U147" s="1020">
        <f t="shared" si="70"/>
        <v>1775.8538619057099</v>
      </c>
    </row>
    <row r="148" spans="2:21" x14ac:dyDescent="0.3">
      <c r="B148" s="219" t="s">
        <v>4</v>
      </c>
      <c r="C148" s="556">
        <v>6</v>
      </c>
      <c r="D148" s="197">
        <f>C18</f>
        <v>1590</v>
      </c>
      <c r="E148" s="197">
        <f>'Margins summary'!$I$13</f>
        <v>220</v>
      </c>
      <c r="F148" s="197">
        <f>E18</f>
        <v>1810</v>
      </c>
      <c r="G148" s="197">
        <f>F18</f>
        <v>684.46423508399835</v>
      </c>
      <c r="H148" s="197">
        <f>G18</f>
        <v>841.31999999999994</v>
      </c>
      <c r="I148" s="197">
        <f t="shared" si="63"/>
        <v>1525.7842350839983</v>
      </c>
      <c r="J148" s="197">
        <f t="shared" si="64"/>
        <v>64.215764916001717</v>
      </c>
      <c r="K148" s="197">
        <f t="shared" si="62"/>
        <v>284.21576491600172</v>
      </c>
      <c r="L148" s="952">
        <f t="shared" si="65"/>
        <v>1306.864099747369</v>
      </c>
      <c r="M148" s="953">
        <f t="shared" si="66"/>
        <v>180.82396348705734</v>
      </c>
      <c r="N148" s="953">
        <f t="shared" si="67"/>
        <v>1254.083421881621</v>
      </c>
      <c r="O148" s="1019">
        <f t="shared" si="68"/>
        <v>52.780677865747968</v>
      </c>
      <c r="P148" s="1020">
        <f t="shared" si="69"/>
        <v>233.60464135280532</v>
      </c>
      <c r="Q148" s="953">
        <f t="shared" si="71"/>
        <v>8214.493443520345</v>
      </c>
      <c r="R148" s="953">
        <f t="shared" si="70"/>
        <v>1199.4009128235652</v>
      </c>
      <c r="S148" s="953">
        <f t="shared" si="70"/>
        <v>7404.4358530853951</v>
      </c>
      <c r="T148" s="1019">
        <f t="shared" si="70"/>
        <v>810.05759043495027</v>
      </c>
      <c r="U148" s="1020">
        <f t="shared" si="70"/>
        <v>2009.4585032585153</v>
      </c>
    </row>
    <row r="149" spans="2:21" x14ac:dyDescent="0.3">
      <c r="B149" s="219" t="s">
        <v>7</v>
      </c>
      <c r="C149" s="556">
        <v>7</v>
      </c>
      <c r="D149" s="197">
        <f>C97</f>
        <v>2118.48</v>
      </c>
      <c r="E149" s="197">
        <f>'Margins summary'!$I$13</f>
        <v>220</v>
      </c>
      <c r="F149" s="197">
        <f>E97</f>
        <v>2338.48</v>
      </c>
      <c r="G149" s="197">
        <f>F97</f>
        <v>793.83573723279574</v>
      </c>
      <c r="H149" s="197">
        <f>G97</f>
        <v>841.03</v>
      </c>
      <c r="I149" s="197">
        <f t="shared" si="63"/>
        <v>1634.8657372327957</v>
      </c>
      <c r="J149" s="197">
        <f t="shared" si="64"/>
        <v>483.61426276720431</v>
      </c>
      <c r="K149" s="197">
        <f t="shared" si="62"/>
        <v>703.61426276720431</v>
      </c>
      <c r="L149" s="952">
        <f t="shared" si="65"/>
        <v>1674.2655164687992</v>
      </c>
      <c r="M149" s="953">
        <f t="shared" si="66"/>
        <v>173.86919566063204</v>
      </c>
      <c r="N149" s="953">
        <f t="shared" si="67"/>
        <v>1292.0581397536021</v>
      </c>
      <c r="O149" s="1019">
        <f t="shared" si="68"/>
        <v>382.20737671519714</v>
      </c>
      <c r="P149" s="1020">
        <f t="shared" si="69"/>
        <v>556.07657237582919</v>
      </c>
      <c r="Q149" s="953">
        <f t="shared" si="71"/>
        <v>9888.7589599891435</v>
      </c>
      <c r="R149" s="953">
        <f t="shared" si="70"/>
        <v>1373.2701084841974</v>
      </c>
      <c r="S149" s="953">
        <f t="shared" si="70"/>
        <v>8696.4939928389977</v>
      </c>
      <c r="T149" s="1019">
        <f t="shared" si="70"/>
        <v>1192.2649671501474</v>
      </c>
      <c r="U149" s="1020">
        <f t="shared" si="70"/>
        <v>2565.5350756343446</v>
      </c>
    </row>
    <row r="150" spans="2:21" x14ac:dyDescent="0.3">
      <c r="B150" s="219" t="s">
        <v>260</v>
      </c>
      <c r="C150" s="556">
        <v>8</v>
      </c>
      <c r="D150" s="197">
        <f>C124</f>
        <v>1285.1999999999998</v>
      </c>
      <c r="E150" s="197">
        <f>'Margins summary'!$I$13</f>
        <v>220</v>
      </c>
      <c r="F150" s="197">
        <f>E124</f>
        <v>1505.1999999999998</v>
      </c>
      <c r="G150" s="197">
        <f>F124</f>
        <v>528.51499999999999</v>
      </c>
      <c r="H150" s="197">
        <f>G124</f>
        <v>552.40000000000009</v>
      </c>
      <c r="I150" s="197">
        <f t="shared" si="63"/>
        <v>1080.915</v>
      </c>
      <c r="J150" s="197">
        <f t="shared" si="64"/>
        <v>204.28499999999985</v>
      </c>
      <c r="K150" s="197">
        <f t="shared" si="62"/>
        <v>424.28499999999985</v>
      </c>
      <c r="L150" s="952">
        <f t="shared" si="65"/>
        <v>976.64637352729153</v>
      </c>
      <c r="M150" s="953">
        <f t="shared" si="66"/>
        <v>167.18191890445391</v>
      </c>
      <c r="N150" s="953">
        <f t="shared" si="67"/>
        <v>821.40656305730818</v>
      </c>
      <c r="O150" s="1019">
        <f t="shared" si="68"/>
        <v>155.23981046998338</v>
      </c>
      <c r="P150" s="1020">
        <f t="shared" si="69"/>
        <v>322.42172937443729</v>
      </c>
      <c r="Q150" s="953">
        <f t="shared" si="71"/>
        <v>10865.405333516435</v>
      </c>
      <c r="R150" s="953">
        <f t="shared" si="70"/>
        <v>1540.4520273886512</v>
      </c>
      <c r="S150" s="953">
        <f t="shared" si="70"/>
        <v>9517.9005558963054</v>
      </c>
      <c r="T150" s="1019">
        <f t="shared" si="70"/>
        <v>1347.5047776201309</v>
      </c>
      <c r="U150" s="1020">
        <f t="shared" si="70"/>
        <v>2887.9568050087819</v>
      </c>
    </row>
    <row r="151" spans="2:21" x14ac:dyDescent="0.3">
      <c r="B151" s="219" t="s">
        <v>6</v>
      </c>
      <c r="C151" s="556">
        <v>9</v>
      </c>
      <c r="D151" s="197">
        <f>C73</f>
        <v>1270</v>
      </c>
      <c r="E151" s="197">
        <f>'Margins summary'!$I$13</f>
        <v>220</v>
      </c>
      <c r="F151" s="197">
        <f>E73</f>
        <v>1490</v>
      </c>
      <c r="G151" s="197">
        <f>F73</f>
        <v>541.75901992521074</v>
      </c>
      <c r="H151" s="197">
        <f>G73</f>
        <v>621.47428571428577</v>
      </c>
      <c r="I151" s="197">
        <f t="shared" si="63"/>
        <v>1163.2333056394964</v>
      </c>
      <c r="J151" s="197">
        <f t="shared" si="64"/>
        <v>106.76669436050361</v>
      </c>
      <c r="K151" s="197">
        <f t="shared" si="62"/>
        <v>326.76669436050361</v>
      </c>
      <c r="L151" s="952">
        <f t="shared" si="65"/>
        <v>927.97656035251941</v>
      </c>
      <c r="M151" s="953">
        <f t="shared" si="66"/>
        <v>160.75184510043644</v>
      </c>
      <c r="N151" s="953">
        <f t="shared" si="67"/>
        <v>849.96318256285883</v>
      </c>
      <c r="O151" s="1019">
        <f t="shared" si="68"/>
        <v>78.013377789660524</v>
      </c>
      <c r="P151" s="1020">
        <f t="shared" si="69"/>
        <v>238.76522289009696</v>
      </c>
      <c r="Q151" s="953">
        <f t="shared" si="71"/>
        <v>11793.381893868955</v>
      </c>
      <c r="R151" s="953">
        <f t="shared" si="70"/>
        <v>1701.2038724890876</v>
      </c>
      <c r="S151" s="953">
        <f t="shared" si="70"/>
        <v>10367.863738459164</v>
      </c>
      <c r="T151" s="1019">
        <f t="shared" si="70"/>
        <v>1425.5181554097915</v>
      </c>
      <c r="U151" s="1020">
        <f t="shared" si="70"/>
        <v>3126.7220278988789</v>
      </c>
    </row>
    <row r="152" spans="2:21" x14ac:dyDescent="0.3">
      <c r="B152" s="219" t="s">
        <v>5</v>
      </c>
      <c r="C152" s="556">
        <v>10</v>
      </c>
      <c r="D152" s="197">
        <f>C48</f>
        <v>1127</v>
      </c>
      <c r="E152" s="197">
        <f>'Margins summary'!$I$13</f>
        <v>220</v>
      </c>
      <c r="F152" s="197">
        <f>E48</f>
        <v>1347</v>
      </c>
      <c r="G152" s="197">
        <f>F48</f>
        <v>418.54877602277168</v>
      </c>
      <c r="H152" s="197">
        <f>G48</f>
        <v>773.65999999999985</v>
      </c>
      <c r="I152" s="197">
        <f t="shared" si="63"/>
        <v>1192.2087760227714</v>
      </c>
      <c r="J152" s="197">
        <f t="shared" si="64"/>
        <v>-65.208776022771417</v>
      </c>
      <c r="K152" s="197">
        <f t="shared" si="62"/>
        <v>154.79122397722858</v>
      </c>
      <c r="L152" s="952">
        <f t="shared" si="65"/>
        <v>791.81525099734199</v>
      </c>
      <c r="M152" s="953">
        <f t="shared" si="66"/>
        <v>154.5690818273427</v>
      </c>
      <c r="N152" s="953">
        <f t="shared" si="67"/>
        <v>837.63007207427199</v>
      </c>
      <c r="O152" s="1019">
        <f t="shared" si="68"/>
        <v>-45.81482107693008</v>
      </c>
      <c r="P152" s="1020">
        <f t="shared" si="69"/>
        <v>108.75426075041263</v>
      </c>
      <c r="Q152" s="953">
        <f t="shared" si="71"/>
        <v>12585.197144866297</v>
      </c>
      <c r="R152" s="953">
        <f t="shared" si="70"/>
        <v>1855.7729543164303</v>
      </c>
      <c r="S152" s="953">
        <f t="shared" si="70"/>
        <v>11205.493810533437</v>
      </c>
      <c r="T152" s="1019">
        <f t="shared" si="70"/>
        <v>1379.7033343328615</v>
      </c>
      <c r="U152" s="1020">
        <f t="shared" si="70"/>
        <v>3235.4762886492913</v>
      </c>
    </row>
    <row r="153" spans="2:21" x14ac:dyDescent="0.3">
      <c r="B153" s="219" t="s">
        <v>4</v>
      </c>
      <c r="C153" s="556">
        <v>11</v>
      </c>
      <c r="D153" s="197">
        <f>C23</f>
        <v>1590</v>
      </c>
      <c r="E153" s="197">
        <f>'Margins summary'!$I$13</f>
        <v>220</v>
      </c>
      <c r="F153" s="197">
        <f>E23</f>
        <v>1810</v>
      </c>
      <c r="G153" s="197">
        <f>F23</f>
        <v>684.46423508399835</v>
      </c>
      <c r="H153" s="197">
        <f>G23</f>
        <v>841.31999999999994</v>
      </c>
      <c r="I153" s="197">
        <f t="shared" si="63"/>
        <v>1525.7842350839983</v>
      </c>
      <c r="J153" s="197">
        <f t="shared" si="64"/>
        <v>64.215764916001717</v>
      </c>
      <c r="K153" s="197">
        <f t="shared" si="62"/>
        <v>284.21576491600172</v>
      </c>
      <c r="L153" s="952">
        <f t="shared" si="65"/>
        <v>1074.1470284330196</v>
      </c>
      <c r="M153" s="953">
        <f t="shared" si="66"/>
        <v>148.62411714167567</v>
      </c>
      <c r="N153" s="953">
        <f t="shared" si="67"/>
        <v>1030.7651585820281</v>
      </c>
      <c r="O153" s="1019">
        <f t="shared" si="68"/>
        <v>43.381869850991578</v>
      </c>
      <c r="P153" s="1020">
        <f t="shared" si="69"/>
        <v>192.00598699266726</v>
      </c>
      <c r="Q153" s="953">
        <f t="shared" si="71"/>
        <v>13659.344173299316</v>
      </c>
      <c r="R153" s="953">
        <f t="shared" si="70"/>
        <v>2004.397071458106</v>
      </c>
      <c r="S153" s="953">
        <f t="shared" si="70"/>
        <v>12236.258969115464</v>
      </c>
      <c r="T153" s="1019">
        <f t="shared" si="70"/>
        <v>1423.085204183853</v>
      </c>
      <c r="U153" s="1020">
        <f t="shared" si="70"/>
        <v>3427.4822756419585</v>
      </c>
    </row>
    <row r="154" spans="2:21" x14ac:dyDescent="0.3">
      <c r="B154" s="219" t="s">
        <v>7</v>
      </c>
      <c r="C154" s="556">
        <v>12</v>
      </c>
      <c r="D154" s="197">
        <f>C102</f>
        <v>2118.48</v>
      </c>
      <c r="E154" s="197">
        <f>'Margins summary'!$I$13</f>
        <v>220</v>
      </c>
      <c r="F154" s="197">
        <f>E102</f>
        <v>2338.48</v>
      </c>
      <c r="G154" s="197">
        <f>F102</f>
        <v>793.83573723279574</v>
      </c>
      <c r="H154" s="197">
        <f>G102</f>
        <v>841.03</v>
      </c>
      <c r="I154" s="197">
        <f t="shared" si="63"/>
        <v>1634.8657372327957</v>
      </c>
      <c r="J154" s="197">
        <f t="shared" si="64"/>
        <v>483.61426276720431</v>
      </c>
      <c r="K154" s="197">
        <f t="shared" si="62"/>
        <v>703.61426276720431</v>
      </c>
      <c r="L154" s="952">
        <f t="shared" si="65"/>
        <v>1376.1242118981518</v>
      </c>
      <c r="M154" s="953">
        <f t="shared" si="66"/>
        <v>142.90780494391893</v>
      </c>
      <c r="N154" s="953">
        <f t="shared" si="67"/>
        <v>1061.9776085725482</v>
      </c>
      <c r="O154" s="1019">
        <f t="shared" si="68"/>
        <v>314.14660332560362</v>
      </c>
      <c r="P154" s="1020">
        <f t="shared" si="69"/>
        <v>457.05440826952253</v>
      </c>
      <c r="Q154" s="953">
        <f t="shared" si="71"/>
        <v>15035.468385197468</v>
      </c>
      <c r="R154" s="953">
        <f t="shared" si="70"/>
        <v>2147.304876402025</v>
      </c>
      <c r="S154" s="953">
        <f t="shared" si="70"/>
        <v>13298.236577688012</v>
      </c>
      <c r="T154" s="1019">
        <f t="shared" si="70"/>
        <v>1737.2318075094565</v>
      </c>
      <c r="U154" s="1020">
        <f t="shared" si="70"/>
        <v>3884.5366839114808</v>
      </c>
    </row>
    <row r="155" spans="2:21" x14ac:dyDescent="0.3">
      <c r="B155" s="219" t="s">
        <v>260</v>
      </c>
      <c r="C155" s="556">
        <v>13</v>
      </c>
      <c r="D155" s="197">
        <f>C129</f>
        <v>1285.1999999999998</v>
      </c>
      <c r="E155" s="197">
        <f>'Margins summary'!$I$13</f>
        <v>220</v>
      </c>
      <c r="F155" s="197">
        <f>E129</f>
        <v>1505.1999999999998</v>
      </c>
      <c r="G155" s="197">
        <f>F129</f>
        <v>528.51499999999999</v>
      </c>
      <c r="H155" s="197">
        <f>G129</f>
        <v>552.40000000000009</v>
      </c>
      <c r="I155" s="197">
        <f t="shared" si="63"/>
        <v>1080.915</v>
      </c>
      <c r="J155" s="197">
        <f t="shared" si="64"/>
        <v>204.28499999999985</v>
      </c>
      <c r="K155" s="197">
        <f t="shared" si="62"/>
        <v>424.28499999999985</v>
      </c>
      <c r="L155" s="952">
        <f t="shared" si="65"/>
        <v>802.73212812029965</v>
      </c>
      <c r="M155" s="953">
        <f t="shared" si="66"/>
        <v>137.41135090761432</v>
      </c>
      <c r="N155" s="953">
        <f t="shared" si="67"/>
        <v>675.13631984683605</v>
      </c>
      <c r="O155" s="1019">
        <f t="shared" si="68"/>
        <v>127.59580827346352</v>
      </c>
      <c r="P155" s="1020">
        <f t="shared" si="69"/>
        <v>265.00715918107784</v>
      </c>
      <c r="Q155" s="953">
        <f t="shared" si="71"/>
        <v>15838.200513317768</v>
      </c>
      <c r="R155" s="953">
        <f t="shared" si="70"/>
        <v>2284.7162273096392</v>
      </c>
      <c r="S155" s="953">
        <f t="shared" si="70"/>
        <v>13973.372897534848</v>
      </c>
      <c r="T155" s="1019">
        <f t="shared" si="70"/>
        <v>1864.82761578292</v>
      </c>
      <c r="U155" s="1020">
        <f t="shared" si="70"/>
        <v>4149.5438430925587</v>
      </c>
    </row>
    <row r="156" spans="2:21" x14ac:dyDescent="0.3">
      <c r="B156" s="219" t="s">
        <v>6</v>
      </c>
      <c r="C156" s="556">
        <v>14</v>
      </c>
      <c r="D156" s="197">
        <f>C78</f>
        <v>1270</v>
      </c>
      <c r="E156" s="197">
        <f>'Margins summary'!$I$13</f>
        <v>220</v>
      </c>
      <c r="F156" s="197">
        <f>E78</f>
        <v>1490</v>
      </c>
      <c r="G156" s="197">
        <f>F78</f>
        <v>541.75901992521074</v>
      </c>
      <c r="H156" s="197">
        <f>G78</f>
        <v>621.47428571428577</v>
      </c>
      <c r="I156" s="197">
        <f t="shared" si="63"/>
        <v>1163.2333056394964</v>
      </c>
      <c r="J156" s="197">
        <f t="shared" si="64"/>
        <v>106.76669436050361</v>
      </c>
      <c r="K156" s="197">
        <f t="shared" si="62"/>
        <v>326.76669436050361</v>
      </c>
      <c r="L156" s="952">
        <f t="shared" si="65"/>
        <v>762.72908939104104</v>
      </c>
      <c r="M156" s="953">
        <f t="shared" si="66"/>
        <v>132.12629894962916</v>
      </c>
      <c r="N156" s="953">
        <f t="shared" si="67"/>
        <v>698.60777949586111</v>
      </c>
      <c r="O156" s="1019">
        <f t="shared" si="68"/>
        <v>64.121309895179934</v>
      </c>
      <c r="P156" s="1020">
        <f t="shared" si="69"/>
        <v>196.24760884480909</v>
      </c>
      <c r="Q156" s="953">
        <f t="shared" si="71"/>
        <v>16600.929602708809</v>
      </c>
      <c r="R156" s="953">
        <f t="shared" si="70"/>
        <v>2416.8425262592682</v>
      </c>
      <c r="S156" s="953">
        <f t="shared" si="70"/>
        <v>14671.98067703071</v>
      </c>
      <c r="T156" s="1019">
        <f t="shared" si="70"/>
        <v>1928.9489256780998</v>
      </c>
      <c r="U156" s="1020">
        <f t="shared" si="70"/>
        <v>4345.791451937368</v>
      </c>
    </row>
    <row r="157" spans="2:21" x14ac:dyDescent="0.3">
      <c r="B157" s="219" t="s">
        <v>5</v>
      </c>
      <c r="C157" s="556">
        <v>15</v>
      </c>
      <c r="D157" s="197">
        <f>C53</f>
        <v>1127</v>
      </c>
      <c r="E157" s="197">
        <f>'Margins summary'!$I$13</f>
        <v>220</v>
      </c>
      <c r="F157" s="197">
        <f>E53</f>
        <v>1347</v>
      </c>
      <c r="G157" s="197">
        <f>F53</f>
        <v>418.54877602277168</v>
      </c>
      <c r="H157" s="197">
        <f>G53</f>
        <v>773.65999999999985</v>
      </c>
      <c r="I157" s="197">
        <f t="shared" si="63"/>
        <v>1192.2087760227714</v>
      </c>
      <c r="J157" s="197">
        <f t="shared" si="64"/>
        <v>-65.208776022771417</v>
      </c>
      <c r="K157" s="197">
        <f t="shared" si="62"/>
        <v>154.79122397722858</v>
      </c>
      <c r="L157" s="952">
        <f t="shared" si="65"/>
        <v>650.81441834017517</v>
      </c>
      <c r="M157" s="953">
        <f t="shared" si="66"/>
        <v>127.04451822079727</v>
      </c>
      <c r="N157" s="953">
        <f t="shared" si="67"/>
        <v>688.47086167463362</v>
      </c>
      <c r="O157" s="1019">
        <f t="shared" si="68"/>
        <v>-37.656443334458508</v>
      </c>
      <c r="P157" s="1020">
        <f t="shared" si="69"/>
        <v>89.388074886338771</v>
      </c>
      <c r="Q157" s="953">
        <f t="shared" si="71"/>
        <v>17251.744021048984</v>
      </c>
      <c r="R157" s="953">
        <f t="shared" si="70"/>
        <v>2543.8870444800655</v>
      </c>
      <c r="S157" s="953">
        <f t="shared" si="70"/>
        <v>15360.451538705343</v>
      </c>
      <c r="T157" s="1019">
        <f t="shared" si="70"/>
        <v>1891.2924823436413</v>
      </c>
      <c r="U157" s="1020">
        <f t="shared" si="70"/>
        <v>4435.1795268237065</v>
      </c>
    </row>
    <row r="158" spans="2:21" x14ac:dyDescent="0.3">
      <c r="B158" s="220" t="s">
        <v>4</v>
      </c>
      <c r="C158" s="632">
        <v>16</v>
      </c>
      <c r="D158" s="207">
        <f>C28</f>
        <v>1590</v>
      </c>
      <c r="E158" s="207">
        <f>'Margins summary'!$I$13</f>
        <v>220</v>
      </c>
      <c r="F158" s="207">
        <f>E28</f>
        <v>1810</v>
      </c>
      <c r="G158" s="207">
        <f>F28</f>
        <v>684.46423508399835</v>
      </c>
      <c r="H158" s="207">
        <f>G28</f>
        <v>841.31999999999994</v>
      </c>
      <c r="I158" s="207">
        <f t="shared" si="63"/>
        <v>1525.7842350839983</v>
      </c>
      <c r="J158" s="207">
        <f t="shared" si="64"/>
        <v>64.215764916001717</v>
      </c>
      <c r="K158" s="207">
        <f t="shared" si="62"/>
        <v>284.21576491600172</v>
      </c>
      <c r="L158" s="955">
        <f t="shared" si="65"/>
        <v>882.87055931410691</v>
      </c>
      <c r="M158" s="956">
        <f t="shared" si="66"/>
        <v>122.15819059692046</v>
      </c>
      <c r="N158" s="956">
        <f t="shared" si="67"/>
        <v>847.21382454167065</v>
      </c>
      <c r="O158" s="1021">
        <f t="shared" si="68"/>
        <v>35.656734772436252</v>
      </c>
      <c r="P158" s="1022">
        <f>K158/(1+$C$6)^($C158-1)</f>
        <v>157.8149253693567</v>
      </c>
      <c r="Q158" s="956">
        <f t="shared" si="71"/>
        <v>18134.61458036309</v>
      </c>
      <c r="R158" s="956">
        <f t="shared" si="70"/>
        <v>2666.045235076986</v>
      </c>
      <c r="S158" s="956">
        <f t="shared" si="70"/>
        <v>16207.665363247013</v>
      </c>
      <c r="T158" s="1021">
        <f t="shared" si="70"/>
        <v>1926.9492171160775</v>
      </c>
      <c r="U158" s="1022">
        <f t="shared" si="70"/>
        <v>4592.9944521930629</v>
      </c>
    </row>
  </sheetData>
  <mergeCells count="22">
    <mergeCell ref="C10:E10"/>
    <mergeCell ref="G10:H10"/>
    <mergeCell ref="K10:O10"/>
    <mergeCell ref="P10:T10"/>
    <mergeCell ref="C36:E36"/>
    <mergeCell ref="G36:H36"/>
    <mergeCell ref="K36:O36"/>
    <mergeCell ref="P36:T36"/>
    <mergeCell ref="C62:E62"/>
    <mergeCell ref="G62:H62"/>
    <mergeCell ref="K62:O62"/>
    <mergeCell ref="P62:T62"/>
    <mergeCell ref="C88:E88"/>
    <mergeCell ref="G88:H88"/>
    <mergeCell ref="K88:O88"/>
    <mergeCell ref="P88:T88"/>
    <mergeCell ref="C114:E114"/>
    <mergeCell ref="G114:H114"/>
    <mergeCell ref="K114:O114"/>
    <mergeCell ref="P114:T114"/>
    <mergeCell ref="C140:E140"/>
    <mergeCell ref="G140:H14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F5DDB62B41D24CB974735F2B5F80B6" ma:contentTypeVersion="12" ma:contentTypeDescription="Create a new document." ma:contentTypeScope="" ma:versionID="8bb3696943aa399bf7c014a28e148342">
  <xsd:schema xmlns:xsd="http://www.w3.org/2001/XMLSchema" xmlns:xs="http://www.w3.org/2001/XMLSchema" xmlns:p="http://schemas.microsoft.com/office/2006/metadata/properties" xmlns:ns3="5b9dbb6f-f28e-4a32-a7d6-aa04ef18b565" xmlns:ns4="62dac45c-a09b-4542-889f-7647871c89a7" targetNamespace="http://schemas.microsoft.com/office/2006/metadata/properties" ma:root="true" ma:fieldsID="19c407efd3b5f119a351b661e40ee8fd" ns3:_="" ns4:_="">
    <xsd:import namespace="5b9dbb6f-f28e-4a32-a7d6-aa04ef18b565"/>
    <xsd:import namespace="62dac45c-a09b-4542-889f-7647871c89a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9dbb6f-f28e-4a32-a7d6-aa04ef18b56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dac45c-a09b-4542-889f-7647871c8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A8496B-EB0F-4B4B-AB7C-FC38A15949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9dbb6f-f28e-4a32-a7d6-aa04ef18b565"/>
    <ds:schemaRef ds:uri="62dac45c-a09b-4542-889f-7647871c89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2A3495-2C16-4059-87A8-7F241E039BE3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5b9dbb6f-f28e-4a32-a7d6-aa04ef18b565"/>
    <ds:schemaRef ds:uri="62dac45c-a09b-4542-889f-7647871c89a7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C3E2D8-F68B-4A8F-8E98-40BF9012FA1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Introduction</vt:lpstr>
      <vt:lpstr>Arable Inputs</vt:lpstr>
      <vt:lpstr>Arable fixed costs</vt:lpstr>
      <vt:lpstr>Arable margins</vt:lpstr>
      <vt:lpstr>Energy Inputs</vt:lpstr>
      <vt:lpstr>Energy fixed costs</vt:lpstr>
      <vt:lpstr>Energy margins</vt:lpstr>
      <vt:lpstr>Margins summary</vt:lpstr>
      <vt:lpstr>Arable NPV</vt:lpstr>
      <vt:lpstr>Arable Model tables</vt:lpstr>
      <vt:lpstr>Arable Model</vt:lpstr>
      <vt:lpstr>Energy Model tables</vt:lpstr>
      <vt:lpstr>Energy Model</vt:lpstr>
      <vt:lpstr>Energy NPV</vt:lpstr>
      <vt:lpstr>Summary NPV</vt:lpstr>
      <vt:lpstr>Sensitivity Analysis Price</vt:lpstr>
      <vt:lpstr>Sensitivity Analysis Yield</vt:lpstr>
      <vt:lpstr>Sensitivity Analysis Costs</vt:lpstr>
      <vt:lpstr>Sensitivity Analysis Discount R</vt:lpstr>
      <vt:lpstr>Summary SA</vt:lpstr>
      <vt:lpstr>'Energy margins'!Rate_PLN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Cumplido-marín, Laura</dc:creator>
  <cp:lastModifiedBy>Cumplido-Marín, Laura</cp:lastModifiedBy>
  <dcterms:created xsi:type="dcterms:W3CDTF">2019-10-07T08:07:47Z</dcterms:created>
  <dcterms:modified xsi:type="dcterms:W3CDTF">2021-03-09T20:39:45Z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0x01010049F5DDB62B41D24CB974735F2B5F80B6</vt:lpwstr>
  </property>
</Properties>
</file>