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rite ups/1. Lit Review/Sections/Reactor Performance/"/>
    </mc:Choice>
  </mc:AlternateContent>
  <xr:revisionPtr revIDLastSave="37" documentId="13_ncr:1_{78954731-70CD-449A-BC25-DBC658D4630E}" xr6:coauthVersionLast="47" xr6:coauthVersionMax="47" xr10:uidLastSave="{24540C0E-F0E8-4B13-ABD3-9DDD429B0696}"/>
  <bookViews>
    <workbookView xWindow="-120" yWindow="-120" windowWidth="25440" windowHeight="15390" activeTab="1" xr2:uid="{CC3DECD4-80D6-46EE-889E-75F17B981AA6}"/>
  </bookViews>
  <sheets>
    <sheet name="Sources" sheetId="1" r:id="rId1"/>
    <sheet name="Data" sheetId="7" r:id="rId2"/>
    <sheet name="Sheet1" sheetId="9" r:id="rId3"/>
    <sheet name="Analysis" sheetId="3" r:id="rId4"/>
    <sheet name="Complexity" sheetId="8" r:id="rId5"/>
    <sheet name="Hydrolysis Calc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3" i="7" l="1"/>
  <c r="S3" i="7"/>
  <c r="E47" i="7"/>
  <c r="I47" i="7" s="1"/>
  <c r="N47" i="7"/>
  <c r="R47" i="7"/>
  <c r="C26" i="4" l="1"/>
  <c r="F43" i="9"/>
  <c r="R39" i="9"/>
  <c r="N39" i="9"/>
  <c r="R38" i="9"/>
  <c r="N38" i="9"/>
  <c r="H36" i="9"/>
  <c r="I36" i="9" s="1"/>
  <c r="H35" i="9"/>
  <c r="I35" i="9" s="1"/>
  <c r="H10" i="9"/>
  <c r="R8" i="9"/>
  <c r="N8" i="9"/>
  <c r="H8" i="9"/>
  <c r="I8" i="9" s="1"/>
  <c r="G8" i="9"/>
  <c r="X7" i="9"/>
  <c r="P7" i="9"/>
  <c r="N7" i="9"/>
  <c r="K7" i="9"/>
  <c r="H7" i="9"/>
  <c r="E7" i="9"/>
  <c r="F6" i="9"/>
  <c r="E6" i="9"/>
  <c r="H5" i="9"/>
  <c r="E5" i="9"/>
  <c r="L4" i="9"/>
  <c r="K4" i="9"/>
  <c r="F4" i="9"/>
  <c r="E4" i="9"/>
  <c r="AS40" i="7"/>
  <c r="AQ40" i="7"/>
  <c r="AS39" i="7"/>
  <c r="AQ39" i="7"/>
  <c r="AS14" i="7"/>
  <c r="AQ14" i="7"/>
  <c r="AS13" i="7"/>
  <c r="AQ13" i="7"/>
  <c r="AS12" i="7"/>
  <c r="AQ12" i="7"/>
  <c r="AS10" i="7"/>
  <c r="AQ10" i="7"/>
  <c r="AS9" i="7"/>
  <c r="AQ9" i="7"/>
  <c r="AS8" i="7"/>
  <c r="AQ8" i="7"/>
  <c r="AS5" i="7"/>
  <c r="AQ5" i="7"/>
  <c r="AQ23" i="7"/>
  <c r="AS23" i="7"/>
  <c r="AQ24" i="7"/>
  <c r="AS24" i="7"/>
  <c r="AQ25" i="7"/>
  <c r="AS25" i="7"/>
  <c r="AQ26" i="7"/>
  <c r="AS26" i="7"/>
  <c r="AQ32" i="7"/>
  <c r="AS32" i="7"/>
  <c r="AQ33" i="7"/>
  <c r="AS33" i="7"/>
  <c r="AQ34" i="7"/>
  <c r="AS34" i="7"/>
  <c r="AS31" i="7"/>
  <c r="AQ31" i="7"/>
  <c r="AS38" i="7"/>
  <c r="AQ38" i="7"/>
  <c r="AS37" i="7"/>
  <c r="AQ37" i="7"/>
  <c r="AS36" i="7"/>
  <c r="AQ36" i="7"/>
  <c r="AS35" i="7"/>
  <c r="AQ35" i="7"/>
  <c r="AQ28" i="7"/>
  <c r="AS28" i="7"/>
  <c r="AQ29" i="7"/>
  <c r="AS29" i="7"/>
  <c r="AQ30" i="7"/>
  <c r="AS30" i="7"/>
  <c r="AS27" i="7"/>
  <c r="AQ27" i="7"/>
  <c r="AS3" i="7"/>
  <c r="AS50" i="7" s="1"/>
  <c r="AQ3" i="7"/>
  <c r="AS53" i="7" l="1"/>
  <c r="AS48" i="7"/>
  <c r="AS49" i="7"/>
  <c r="AS52" i="7"/>
  <c r="H4" i="9"/>
  <c r="I4" i="9" s="1"/>
  <c r="U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2" i="3"/>
  <c r="D53" i="3" l="1"/>
  <c r="M53" i="3"/>
  <c r="M51" i="3"/>
  <c r="M50" i="3"/>
  <c r="M48" i="3"/>
  <c r="M47" i="3"/>
  <c r="M45" i="3"/>
  <c r="M44" i="3"/>
  <c r="M42" i="3"/>
  <c r="D51" i="3"/>
  <c r="D50" i="3"/>
  <c r="D48" i="3"/>
  <c r="D47" i="3"/>
  <c r="D45" i="3"/>
  <c r="D44" i="3"/>
  <c r="D42" i="3"/>
  <c r="H7" i="4"/>
  <c r="X7" i="4" s="1"/>
  <c r="G7" i="4"/>
  <c r="H4" i="4"/>
  <c r="H40" i="7"/>
  <c r="I40" i="7" s="1"/>
  <c r="H39" i="7"/>
  <c r="I39" i="7" s="1"/>
  <c r="Z10" i="7"/>
  <c r="E10" i="7"/>
  <c r="H10" i="7"/>
  <c r="N45" i="7"/>
  <c r="N44" i="7"/>
  <c r="E45" i="7"/>
  <c r="E44" i="7"/>
  <c r="R43" i="7"/>
  <c r="N43" i="7"/>
  <c r="N42" i="7"/>
  <c r="R42" i="7"/>
  <c r="G12" i="7"/>
  <c r="H12" i="7"/>
  <c r="I12" i="7" s="1"/>
  <c r="H14" i="7"/>
  <c r="R12" i="7"/>
  <c r="N12" i="7"/>
  <c r="R11" i="7"/>
  <c r="N11" i="7"/>
  <c r="G11" i="7"/>
  <c r="H11" i="7"/>
  <c r="I11" i="7" s="1"/>
  <c r="I7" i="4" l="1"/>
  <c r="P10" i="7"/>
  <c r="N10" i="7"/>
  <c r="K10" i="7"/>
  <c r="G9" i="7"/>
  <c r="H9" i="7"/>
  <c r="Z9" i="7" s="1"/>
  <c r="E8" i="7"/>
  <c r="F8" i="7"/>
  <c r="H6" i="7"/>
  <c r="E6" i="7"/>
  <c r="L5" i="7"/>
  <c r="K5" i="7"/>
  <c r="F5" i="7"/>
  <c r="E5" i="7"/>
  <c r="H5" i="7" s="1"/>
  <c r="I9" i="7" l="1"/>
  <c r="I5" i="7"/>
</calcChain>
</file>

<file path=xl/sharedStrings.xml><?xml version="1.0" encoding="utf-8"?>
<sst xmlns="http://schemas.openxmlformats.org/spreadsheetml/2006/main" count="2027" uniqueCount="154">
  <si>
    <t>No.</t>
  </si>
  <si>
    <t>System</t>
  </si>
  <si>
    <t>Phrase</t>
  </si>
  <si>
    <t>Ref</t>
  </si>
  <si>
    <t xml:space="preserve">Usable </t>
  </si>
  <si>
    <t>Reason</t>
  </si>
  <si>
    <t>Data Extracted</t>
  </si>
  <si>
    <t>"Septic Tank"</t>
  </si>
  <si>
    <t>N</t>
  </si>
  <si>
    <t>Y</t>
  </si>
  <si>
    <t>Double Check</t>
  </si>
  <si>
    <t>Insufficient data</t>
  </si>
  <si>
    <t>Reactor</t>
  </si>
  <si>
    <t>Pretreatment</t>
  </si>
  <si>
    <t>Reactor Volume (m3)</t>
  </si>
  <si>
    <t>Temp (oC)</t>
  </si>
  <si>
    <t>Study Period</t>
  </si>
  <si>
    <t>HRT (h)</t>
  </si>
  <si>
    <t>OLR (kg COD  m-3 d-1)</t>
  </si>
  <si>
    <t>Inf TSS</t>
  </si>
  <si>
    <t>Inf TCOD</t>
  </si>
  <si>
    <t xml:space="preserve">Eff TSS (mg/l) </t>
  </si>
  <si>
    <t>TSS R (%)</t>
  </si>
  <si>
    <t>Eff VSS (mg/l)</t>
  </si>
  <si>
    <t>VSS R (%)</t>
  </si>
  <si>
    <t>Eff TCOD (mg/l)</t>
  </si>
  <si>
    <t>TCOD R (%)</t>
  </si>
  <si>
    <t>Eff PCOD (mg/l)</t>
  </si>
  <si>
    <t>PCOD R (%)</t>
  </si>
  <si>
    <t>Sludge Accumulation (m3/PE/yr)</t>
  </si>
  <si>
    <t>Sludge Accumulation Ratio (gCOD / kgCODin)</t>
  </si>
  <si>
    <t>Sludge Accumulation (l sludge/m3 WWT)</t>
  </si>
  <si>
    <t>Sludge Accumulation (l/kg COD)</t>
  </si>
  <si>
    <t>Sludge Accumulation (g accumulated TSS/kg TSS removed)</t>
  </si>
  <si>
    <t>Hydrolysis Rate Constant (day-1)</t>
  </si>
  <si>
    <t>Methane Generation (L/m-3WWT)</t>
  </si>
  <si>
    <t>Methane Generation (gCOD CH4/gCOD in)</t>
  </si>
  <si>
    <t>Methane Generation (L/gCOD in)</t>
  </si>
  <si>
    <t>Methane Generation (L/gCOD removed)</t>
  </si>
  <si>
    <t>Reference</t>
  </si>
  <si>
    <t>-</t>
  </si>
  <si>
    <t>Jamshidi 14</t>
  </si>
  <si>
    <t>"anaerobic pond" or "anaerobic lagoon"</t>
  </si>
  <si>
    <t>Sani 13</t>
  </si>
  <si>
    <t>AP</t>
  </si>
  <si>
    <t>Paing 00</t>
  </si>
  <si>
    <t>No effluent data</t>
  </si>
  <si>
    <t>Great accumulation data</t>
  </si>
  <si>
    <t>Achag 21</t>
  </si>
  <si>
    <t>Dos Santos 21</t>
  </si>
  <si>
    <t xml:space="preserve"> Darwin 19</t>
  </si>
  <si>
    <t>Almasi 16</t>
  </si>
  <si>
    <t>Pena 15</t>
  </si>
  <si>
    <t>Tannery wastewater</t>
  </si>
  <si>
    <t>Hernanadez-Paniagua 14</t>
  </si>
  <si>
    <t>Agricultrual ww</t>
  </si>
  <si>
    <t>SCOD only</t>
  </si>
  <si>
    <t>Pirsahed 14</t>
  </si>
  <si>
    <t>No COD or TSS</t>
  </si>
  <si>
    <t>Khosravi 13</t>
  </si>
  <si>
    <t>Technically the effluent is in the Abstract but not the main text</t>
  </si>
  <si>
    <t>Konate 13</t>
  </si>
  <si>
    <t>ALSO ABR!</t>
  </si>
  <si>
    <t>Bouza-Deano 13</t>
  </si>
  <si>
    <t>Konate 10</t>
  </si>
  <si>
    <t>No data</t>
  </si>
  <si>
    <t>Turker 09</t>
  </si>
  <si>
    <t>Not really data</t>
  </si>
  <si>
    <t>Reinoso 11</t>
  </si>
  <si>
    <t>Accumulation data</t>
  </si>
  <si>
    <t>Ghazy 08</t>
  </si>
  <si>
    <t>Waang 05</t>
  </si>
  <si>
    <t>Graphical Data</t>
  </si>
  <si>
    <t>Papadopoulos 04</t>
  </si>
  <si>
    <t>Nelson 04</t>
  </si>
  <si>
    <t>Pena 03</t>
  </si>
  <si>
    <t>Also has tracer stuff</t>
  </si>
  <si>
    <t>Paing 03</t>
  </si>
  <si>
    <t>Picot 03</t>
  </si>
  <si>
    <t>Parisopoulos 03</t>
  </si>
  <si>
    <t>Smith 03</t>
  </si>
  <si>
    <t>Broome 03</t>
  </si>
  <si>
    <t>Papadopoulous 03</t>
  </si>
  <si>
    <t>Koumi 02</t>
  </si>
  <si>
    <t>Medri 02</t>
  </si>
  <si>
    <t>Pena 00</t>
  </si>
  <si>
    <t>UASB or AP paper</t>
  </si>
  <si>
    <t>Pena 00 b</t>
  </si>
  <si>
    <t>Dispersion studies</t>
  </si>
  <si>
    <t>Houghton 92</t>
  </si>
  <si>
    <t>Mara 96</t>
  </si>
  <si>
    <t>Pearson 96</t>
  </si>
  <si>
    <t>El Shakwai 95</t>
  </si>
  <si>
    <t>Data is there but not readable</t>
  </si>
  <si>
    <t>Saqqar 95</t>
  </si>
  <si>
    <t>Modelling paper</t>
  </si>
  <si>
    <t>Veenstra 95</t>
  </si>
  <si>
    <t>Ouazzani 95</t>
  </si>
  <si>
    <t>Graphical Only</t>
  </si>
  <si>
    <t>Gel Gohary 93</t>
  </si>
  <si>
    <t>Freedman 83</t>
  </si>
  <si>
    <t>Pig effluent</t>
  </si>
  <si>
    <t>Screened</t>
  </si>
  <si>
    <t>~396</t>
  </si>
  <si>
    <t>Papdopoulos 03</t>
  </si>
  <si>
    <t>~315</t>
  </si>
  <si>
    <t>~365</t>
  </si>
  <si>
    <t>Picot 03, Paing 03</t>
  </si>
  <si>
    <t>Alexiou 03</t>
  </si>
  <si>
    <t>26 - 33</t>
  </si>
  <si>
    <t>Darwin 19</t>
  </si>
  <si>
    <t>50-60</t>
  </si>
  <si>
    <t>40-50</t>
  </si>
  <si>
    <t>Septic Tank</t>
  </si>
  <si>
    <t>Papadooulos 04</t>
  </si>
  <si>
    <t>AP - Vertical Baffles</t>
  </si>
  <si>
    <t>AP -Horizontal Baffles</t>
  </si>
  <si>
    <t>23 - 25.9</t>
  </si>
  <si>
    <t>23.7 - 26.7</t>
  </si>
  <si>
    <t>AP - Cross Sectional Netting</t>
  </si>
  <si>
    <t>AP - Mixing Pit</t>
  </si>
  <si>
    <t>Parissopoulos 03</t>
  </si>
  <si>
    <t>&lt;10</t>
  </si>
  <si>
    <t>&gt;10</t>
  </si>
  <si>
    <t>Data too unclear to use</t>
  </si>
  <si>
    <t>Uasb or AP</t>
  </si>
  <si>
    <t xml:space="preserve">Pena 00 a </t>
  </si>
  <si>
    <t>23.2 - 27.1</t>
  </si>
  <si>
    <t>23.9 - 27.6</t>
  </si>
  <si>
    <t>Too limited operational data</t>
  </si>
  <si>
    <t>Insufficnet reactor details, no volume</t>
  </si>
  <si>
    <t>I think discuss the sludge accumulation pattern seen here, not quite right for kh</t>
  </si>
  <si>
    <t>Has good accumulation rate stuff but not that usable</t>
  </si>
  <si>
    <t>kg TSS</t>
  </si>
  <si>
    <t>R</t>
  </si>
  <si>
    <t>R60</t>
  </si>
  <si>
    <t>0.0021 - 0.0038</t>
  </si>
  <si>
    <t>Accumulation</t>
  </si>
  <si>
    <t>kg day-1</t>
  </si>
  <si>
    <t>kg year-1</t>
  </si>
  <si>
    <t>min</t>
  </si>
  <si>
    <t>max</t>
  </si>
  <si>
    <t>Median</t>
  </si>
  <si>
    <t>Blocks</t>
  </si>
  <si>
    <t>Connections</t>
  </si>
  <si>
    <t>Type of connections</t>
  </si>
  <si>
    <t>Complexity</t>
  </si>
  <si>
    <t>TSS R</t>
  </si>
  <si>
    <t>TCOD R</t>
  </si>
  <si>
    <t>Cruddas 21, 18</t>
  </si>
  <si>
    <t>AP - H</t>
  </si>
  <si>
    <t>Cruddas 14</t>
  </si>
  <si>
    <t>EFF SCOD</t>
  </si>
  <si>
    <t>SCOD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</si>
</sst>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4" x14ac:knownFonts="1"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2" borderId="0" xfId="0" applyFill="1"/>
    <xf numFmtId="0" fontId="2" fillId="0" borderId="0" xfId="0" applyFont="1"/>
    <xf numFmtId="0" fontId="0" fillId="0" borderId="0" xfId="0" applyAlignment="1">
      <alignment wrapText="1"/>
    </xf>
    <xf numFmtId="2" fontId="2" fillId="0" borderId="0" xfId="0" applyNumberFormat="1" applyFont="1"/>
    <xf numFmtId="1" fontId="0" fillId="0" borderId="0" xfId="0" applyNumberFormat="1"/>
    <xf numFmtId="0" fontId="0" fillId="0" borderId="0" xfId="0" applyAlignment="1">
      <alignment horizontal="right"/>
    </xf>
    <xf numFmtId="0" fontId="3" fillId="0" borderId="0" xfId="0" applyFont="1"/>
    <xf numFmtId="2" fontId="0" fillId="0" borderId="0" xfId="0" applyNumberFormat="1"/>
    <xf numFmtId="164" fontId="0" fillId="0" borderId="0" xfId="0" applyNumberFormat="1"/>
    <xf numFmtId="9" fontId="0" fillId="0" borderId="0" xfId="0" applyNumberFormat="1"/>
    <xf numFmtId="0" fontId="2" fillId="2" borderId="0" xfId="0" applyFont="1" applyFill="1"/>
    <xf numFmtId="1" fontId="2" fillId="0" borderId="0" xfId="0" applyNumberFormat="1" applyFont="1"/>
    <xf numFmtId="1" fontId="0" fillId="0" borderId="0" xfId="0" applyNumberFormat="1" applyAlignment="1">
      <alignment wrapText="1"/>
    </xf>
    <xf numFmtId="164" fontId="2" fillId="0" borderId="0" xfId="0" applyNumberFormat="1" applyFont="1"/>
    <xf numFmtId="1" fontId="1" fillId="0" borderId="0" xfId="0" applyNumberFormat="1" applyFont="1"/>
    <xf numFmtId="165" fontId="2" fillId="0" borderId="0" xfId="0" applyNumberFormat="1" applyFont="1"/>
    <xf numFmtId="0" fontId="2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Analysis!$Z$1</c:f>
              <c:strCache>
                <c:ptCount val="1"/>
                <c:pt idx="0">
                  <c:v>Eff TSS (mg/l)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Analysis!$W$2:$W$54</c:f>
              <c:numCache>
                <c:formatCode>General</c:formatCode>
                <c:ptCount val="53"/>
                <c:pt idx="0">
                  <c:v>49.05</c:v>
                </c:pt>
                <c:pt idx="1">
                  <c:v>347</c:v>
                </c:pt>
                <c:pt idx="2">
                  <c:v>484</c:v>
                </c:pt>
                <c:pt idx="3">
                  <c:v>594</c:v>
                </c:pt>
                <c:pt idx="4">
                  <c:v>504</c:v>
                </c:pt>
                <c:pt idx="5">
                  <c:v>256</c:v>
                </c:pt>
                <c:pt idx="6">
                  <c:v>320</c:v>
                </c:pt>
                <c:pt idx="7" formatCode="0">
                  <c:v>290.58333333333331</c:v>
                </c:pt>
                <c:pt idx="8">
                  <c:v>283</c:v>
                </c:pt>
                <c:pt idx="9">
                  <c:v>219</c:v>
                </c:pt>
                <c:pt idx="10">
                  <c:v>236</c:v>
                </c:pt>
                <c:pt idx="11">
                  <c:v>236</c:v>
                </c:pt>
                <c:pt idx="12">
                  <c:v>236</c:v>
                </c:pt>
                <c:pt idx="13">
                  <c:v>236</c:v>
                </c:pt>
                <c:pt idx="14">
                  <c:v>236</c:v>
                </c:pt>
                <c:pt idx="15">
                  <c:v>236</c:v>
                </c:pt>
                <c:pt idx="16">
                  <c:v>236</c:v>
                </c:pt>
                <c:pt idx="17">
                  <c:v>236</c:v>
                </c:pt>
                <c:pt idx="18">
                  <c:v>236</c:v>
                </c:pt>
                <c:pt idx="19">
                  <c:v>236</c:v>
                </c:pt>
                <c:pt idx="20">
                  <c:v>236</c:v>
                </c:pt>
                <c:pt idx="21">
                  <c:v>236</c:v>
                </c:pt>
                <c:pt idx="22">
                  <c:v>211</c:v>
                </c:pt>
                <c:pt idx="23">
                  <c:v>211</c:v>
                </c:pt>
                <c:pt idx="24">
                  <c:v>211</c:v>
                </c:pt>
                <c:pt idx="25">
                  <c:v>211</c:v>
                </c:pt>
                <c:pt idx="26">
                  <c:v>211</c:v>
                </c:pt>
                <c:pt idx="27">
                  <c:v>211</c:v>
                </c:pt>
                <c:pt idx="28">
                  <c:v>211</c:v>
                </c:pt>
                <c:pt idx="29">
                  <c:v>211</c:v>
                </c:pt>
                <c:pt idx="30">
                  <c:v>211</c:v>
                </c:pt>
                <c:pt idx="31">
                  <c:v>211</c:v>
                </c:pt>
                <c:pt idx="32">
                  <c:v>211</c:v>
                </c:pt>
                <c:pt idx="33">
                  <c:v>211</c:v>
                </c:pt>
                <c:pt idx="34">
                  <c:v>341.5</c:v>
                </c:pt>
              </c:numCache>
            </c:numRef>
          </c:xVal>
          <c:yVal>
            <c:numRef>
              <c:f>Analysis!$Z$2:$Z$54</c:f>
              <c:numCache>
                <c:formatCode>0</c:formatCode>
                <c:ptCount val="53"/>
                <c:pt idx="0" formatCode="General">
                  <c:v>17.437275000000007</c:v>
                </c:pt>
                <c:pt idx="1">
                  <c:v>71</c:v>
                </c:pt>
                <c:pt idx="2">
                  <c:v>212.95999999999998</c:v>
                </c:pt>
                <c:pt idx="3" formatCode="General">
                  <c:v>217</c:v>
                </c:pt>
                <c:pt idx="4">
                  <c:v>170</c:v>
                </c:pt>
                <c:pt idx="5">
                  <c:v>115.19999999999999</c:v>
                </c:pt>
                <c:pt idx="6" formatCode="General">
                  <c:v>150</c:v>
                </c:pt>
                <c:pt idx="7" formatCode="General">
                  <c:v>97.984699999999975</c:v>
                </c:pt>
                <c:pt idx="8" formatCode="General">
                  <c:v>214</c:v>
                </c:pt>
                <c:pt idx="9" formatCode="General">
                  <c:v>72</c:v>
                </c:pt>
                <c:pt idx="10" formatCode="General">
                  <c:v>83.78</c:v>
                </c:pt>
                <c:pt idx="11" formatCode="General">
                  <c:v>143.95999999999998</c:v>
                </c:pt>
                <c:pt idx="12" formatCode="General">
                  <c:v>110.44799999999999</c:v>
                </c:pt>
                <c:pt idx="13" formatCode="General">
                  <c:v>91.804000000000002</c:v>
                </c:pt>
                <c:pt idx="14" formatCode="General">
                  <c:v>95.108000000000004</c:v>
                </c:pt>
                <c:pt idx="15" formatCode="General">
                  <c:v>68.912000000000006</c:v>
                </c:pt>
                <c:pt idx="16" formatCode="General">
                  <c:v>84.488</c:v>
                </c:pt>
                <c:pt idx="17" formatCode="General">
                  <c:v>138.06</c:v>
                </c:pt>
                <c:pt idx="18" formatCode="General">
                  <c:v>129.328</c:v>
                </c:pt>
                <c:pt idx="19" formatCode="General">
                  <c:v>102.18799999999999</c:v>
                </c:pt>
                <c:pt idx="20" formatCode="General">
                  <c:v>102.18799999999999</c:v>
                </c:pt>
                <c:pt idx="21" formatCode="General">
                  <c:v>94.872000000000014</c:v>
                </c:pt>
                <c:pt idx="22" formatCode="General">
                  <c:v>53.38300000000001</c:v>
                </c:pt>
                <c:pt idx="23" formatCode="General">
                  <c:v>81.657000000000011</c:v>
                </c:pt>
                <c:pt idx="24" formatCode="General">
                  <c:v>74.061000000000007</c:v>
                </c:pt>
                <c:pt idx="25" formatCode="General">
                  <c:v>96.84899999999999</c:v>
                </c:pt>
                <c:pt idx="26" formatCode="General">
                  <c:v>72.162000000000006</c:v>
                </c:pt>
                <c:pt idx="27" formatCode="General">
                  <c:v>78.49199999999999</c:v>
                </c:pt>
                <c:pt idx="28" formatCode="General">
                  <c:v>64.988</c:v>
                </c:pt>
                <c:pt idx="29" formatCode="General">
                  <c:v>75.326999999999998</c:v>
                </c:pt>
                <c:pt idx="30" formatCode="General">
                  <c:v>94.527999999999992</c:v>
                </c:pt>
                <c:pt idx="31" formatCode="General">
                  <c:v>68.997000000000014</c:v>
                </c:pt>
                <c:pt idx="32" formatCode="General">
                  <c:v>67.309000000000026</c:v>
                </c:pt>
                <c:pt idx="33" formatCode="General">
                  <c:v>77.225999999999999</c:v>
                </c:pt>
                <c:pt idx="34">
                  <c:v>143.08850000000001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D3-47C8-8761-8F4CAED5E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644863"/>
        <c:axId val="1983653183"/>
      </c:scatterChart>
      <c:valAx>
        <c:axId val="1983644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653183"/>
        <c:crosses val="autoZero"/>
        <c:crossBetween val="midCat"/>
      </c:valAx>
      <c:valAx>
        <c:axId val="19836531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6448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Analysis!$Z$1</c:f>
              <c:strCache>
                <c:ptCount val="1"/>
                <c:pt idx="0">
                  <c:v>Eff TSS (mg/l)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Analysis!$Y$2:$Y$36</c:f>
              <c:numCache>
                <c:formatCode>General</c:formatCode>
                <c:ptCount val="35"/>
                <c:pt idx="0">
                  <c:v>9.6000000000000014</c:v>
                </c:pt>
                <c:pt idx="1">
                  <c:v>60</c:v>
                </c:pt>
                <c:pt idx="2">
                  <c:v>24</c:v>
                </c:pt>
                <c:pt idx="3">
                  <c:v>115</c:v>
                </c:pt>
                <c:pt idx="4">
                  <c:v>91.199999999999989</c:v>
                </c:pt>
                <c:pt idx="5">
                  <c:v>115</c:v>
                </c:pt>
                <c:pt idx="6">
                  <c:v>48</c:v>
                </c:pt>
                <c:pt idx="7" formatCode="0">
                  <c:v>50.646698434309059</c:v>
                </c:pt>
                <c:pt idx="8" formatCode="0">
                  <c:v>298.66666666666669</c:v>
                </c:pt>
                <c:pt idx="9">
                  <c:v>48</c:v>
                </c:pt>
                <c:pt idx="10">
                  <c:v>25</c:v>
                </c:pt>
                <c:pt idx="11">
                  <c:v>21</c:v>
                </c:pt>
                <c:pt idx="12">
                  <c:v>16</c:v>
                </c:pt>
                <c:pt idx="13">
                  <c:v>13</c:v>
                </c:pt>
                <c:pt idx="14">
                  <c:v>25</c:v>
                </c:pt>
                <c:pt idx="15">
                  <c:v>21</c:v>
                </c:pt>
                <c:pt idx="16">
                  <c:v>17</c:v>
                </c:pt>
                <c:pt idx="17">
                  <c:v>12</c:v>
                </c:pt>
                <c:pt idx="18">
                  <c:v>24</c:v>
                </c:pt>
                <c:pt idx="19">
                  <c:v>21</c:v>
                </c:pt>
                <c:pt idx="20">
                  <c:v>16</c:v>
                </c:pt>
                <c:pt idx="21">
                  <c:v>11</c:v>
                </c:pt>
                <c:pt idx="22">
                  <c:v>25</c:v>
                </c:pt>
                <c:pt idx="23">
                  <c:v>21</c:v>
                </c:pt>
                <c:pt idx="24">
                  <c:v>16</c:v>
                </c:pt>
                <c:pt idx="25">
                  <c:v>12</c:v>
                </c:pt>
                <c:pt idx="26">
                  <c:v>23</c:v>
                </c:pt>
                <c:pt idx="27">
                  <c:v>22</c:v>
                </c:pt>
                <c:pt idx="28">
                  <c:v>17</c:v>
                </c:pt>
                <c:pt idx="29">
                  <c:v>14</c:v>
                </c:pt>
                <c:pt idx="30">
                  <c:v>21</c:v>
                </c:pt>
                <c:pt idx="31">
                  <c:v>17</c:v>
                </c:pt>
                <c:pt idx="32">
                  <c:v>13</c:v>
                </c:pt>
                <c:pt idx="33">
                  <c:v>8</c:v>
                </c:pt>
                <c:pt idx="34">
                  <c:v>280.79999999999995</c:v>
                </c:pt>
              </c:numCache>
            </c:numRef>
          </c:xVal>
          <c:yVal>
            <c:numRef>
              <c:f>Analysis!$Z$2:$Z$36</c:f>
              <c:numCache>
                <c:formatCode>0</c:formatCode>
                <c:ptCount val="35"/>
                <c:pt idx="0" formatCode="General">
                  <c:v>17.437275000000007</c:v>
                </c:pt>
                <c:pt idx="1">
                  <c:v>71</c:v>
                </c:pt>
                <c:pt idx="2">
                  <c:v>212.95999999999998</c:v>
                </c:pt>
                <c:pt idx="3" formatCode="General">
                  <c:v>217</c:v>
                </c:pt>
                <c:pt idx="4">
                  <c:v>170</c:v>
                </c:pt>
                <c:pt idx="5">
                  <c:v>115.19999999999999</c:v>
                </c:pt>
                <c:pt idx="6" formatCode="General">
                  <c:v>150</c:v>
                </c:pt>
                <c:pt idx="7" formatCode="General">
                  <c:v>97.984699999999975</c:v>
                </c:pt>
                <c:pt idx="8" formatCode="General">
                  <c:v>214</c:v>
                </c:pt>
                <c:pt idx="9" formatCode="General">
                  <c:v>72</c:v>
                </c:pt>
                <c:pt idx="10" formatCode="General">
                  <c:v>83.78</c:v>
                </c:pt>
                <c:pt idx="11" formatCode="General">
                  <c:v>143.95999999999998</c:v>
                </c:pt>
                <c:pt idx="12" formatCode="General">
                  <c:v>110.44799999999999</c:v>
                </c:pt>
                <c:pt idx="13" formatCode="General">
                  <c:v>91.804000000000002</c:v>
                </c:pt>
                <c:pt idx="14" formatCode="General">
                  <c:v>95.108000000000004</c:v>
                </c:pt>
                <c:pt idx="15" formatCode="General">
                  <c:v>68.912000000000006</c:v>
                </c:pt>
                <c:pt idx="16" formatCode="General">
                  <c:v>84.488</c:v>
                </c:pt>
                <c:pt idx="17" formatCode="General">
                  <c:v>138.06</c:v>
                </c:pt>
                <c:pt idx="18" formatCode="General">
                  <c:v>129.328</c:v>
                </c:pt>
                <c:pt idx="19" formatCode="General">
                  <c:v>102.18799999999999</c:v>
                </c:pt>
                <c:pt idx="20" formatCode="General">
                  <c:v>102.18799999999999</c:v>
                </c:pt>
                <c:pt idx="21" formatCode="General">
                  <c:v>94.872000000000014</c:v>
                </c:pt>
                <c:pt idx="22" formatCode="General">
                  <c:v>53.38300000000001</c:v>
                </c:pt>
                <c:pt idx="23" formatCode="General">
                  <c:v>81.657000000000011</c:v>
                </c:pt>
                <c:pt idx="24" formatCode="General">
                  <c:v>74.061000000000007</c:v>
                </c:pt>
                <c:pt idx="25" formatCode="General">
                  <c:v>96.84899999999999</c:v>
                </c:pt>
                <c:pt idx="26" formatCode="General">
                  <c:v>72.162000000000006</c:v>
                </c:pt>
                <c:pt idx="27" formatCode="General">
                  <c:v>78.49199999999999</c:v>
                </c:pt>
                <c:pt idx="28" formatCode="General">
                  <c:v>64.988</c:v>
                </c:pt>
                <c:pt idx="29" formatCode="General">
                  <c:v>75.326999999999998</c:v>
                </c:pt>
                <c:pt idx="30" formatCode="General">
                  <c:v>94.527999999999992</c:v>
                </c:pt>
                <c:pt idx="31" formatCode="General">
                  <c:v>68.997000000000014</c:v>
                </c:pt>
                <c:pt idx="32" formatCode="General">
                  <c:v>67.309000000000026</c:v>
                </c:pt>
                <c:pt idx="33" formatCode="General">
                  <c:v>77.225999999999999</c:v>
                </c:pt>
                <c:pt idx="34">
                  <c:v>143.08850000000001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E7F-468F-AF09-9B2A21B02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0988271"/>
        <c:axId val="1960989519"/>
      </c:scatterChart>
      <c:valAx>
        <c:axId val="19609882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0989519"/>
        <c:crosses val="autoZero"/>
        <c:crossBetween val="midCat"/>
      </c:valAx>
      <c:valAx>
        <c:axId val="1960989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09882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358705161854772E-2"/>
          <c:y val="0.17171296296296298"/>
          <c:w val="0.8901968503937007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121550743657043"/>
                  <c:y val="-0.22185622630504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Analysis!$AG$4:$AG$11</c:f>
              <c:numCache>
                <c:formatCode>General</c:formatCode>
                <c:ptCount val="8"/>
                <c:pt idx="0">
                  <c:v>24</c:v>
                </c:pt>
                <c:pt idx="1">
                  <c:v>21</c:v>
                </c:pt>
                <c:pt idx="2">
                  <c:v>16</c:v>
                </c:pt>
                <c:pt idx="3">
                  <c:v>11</c:v>
                </c:pt>
                <c:pt idx="4">
                  <c:v>21</c:v>
                </c:pt>
                <c:pt idx="5">
                  <c:v>17</c:v>
                </c:pt>
                <c:pt idx="6">
                  <c:v>13</c:v>
                </c:pt>
                <c:pt idx="7">
                  <c:v>8</c:v>
                </c:pt>
              </c:numCache>
            </c:numRef>
          </c:xVal>
          <c:yVal>
            <c:numRef>
              <c:f>Analysis!$AL$4:$AL$11</c:f>
              <c:numCache>
                <c:formatCode>General</c:formatCode>
                <c:ptCount val="8"/>
                <c:pt idx="0">
                  <c:v>34.4</c:v>
                </c:pt>
                <c:pt idx="1">
                  <c:v>62.1</c:v>
                </c:pt>
                <c:pt idx="2">
                  <c:v>54.7</c:v>
                </c:pt>
                <c:pt idx="3">
                  <c:v>53.4</c:v>
                </c:pt>
                <c:pt idx="4">
                  <c:v>45.7</c:v>
                </c:pt>
                <c:pt idx="5">
                  <c:v>44.5</c:v>
                </c:pt>
                <c:pt idx="6">
                  <c:v>42.1</c:v>
                </c:pt>
                <c:pt idx="7">
                  <c:v>54.6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4A-44DD-B8CD-D914E9332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09215"/>
        <c:axId val="45412959"/>
      </c:scatterChart>
      <c:valAx>
        <c:axId val="4540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12959"/>
        <c:crosses val="autoZero"/>
        <c:crossBetween val="midCat"/>
      </c:valAx>
      <c:valAx>
        <c:axId val="454129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0921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144462</xdr:colOff>
      <xdr:row>17</xdr:row>
      <xdr:rowOff>133350</xdr:rowOff>
    </xdr:from>
    <xdr:to>
      <xdr:col>32</xdr:col>
      <xdr:colOff>601662</xdr:colOff>
      <xdr:row>32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5B5D55-B66D-D14C-47EF-59143EF378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604837</xdr:colOff>
      <xdr:row>24</xdr:row>
      <xdr:rowOff>47625</xdr:rowOff>
    </xdr:from>
    <xdr:to>
      <xdr:col>33</xdr:col>
      <xdr:colOff>376237</xdr:colOff>
      <xdr:row>39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A10BB7B-FE50-C382-6609-C473EAB8AF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600075</xdr:colOff>
      <xdr:row>12</xdr:row>
      <xdr:rowOff>130175</xdr:rowOff>
    </xdr:from>
    <xdr:to>
      <xdr:col>39</xdr:col>
      <xdr:colOff>371475</xdr:colOff>
      <xdr:row>27</xdr:row>
      <xdr:rowOff>111125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46BCC97-4D89-2793-84DF-819DD0B08C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9863-4381-41AE-99DF-D32F986C3842}">
  <dimension ref="B1:K41"/>
  <sheetViews>
    <sheetView topLeftCell="A9" workbookViewId="0">
      <selection activeCell="A22" sqref="A22"/>
    </sheetView>
  </sheetViews>
  <sheetFormatPr defaultRowHeight="14.25" x14ac:dyDescent="0.2"/>
  <cols>
    <col min="5" max="5" width="16.125" customWidth="1"/>
    <col min="6" max="6" width="0" hidden="1" customWidth="1"/>
  </cols>
  <sheetData>
    <row r="1" spans="2:11" x14ac:dyDescent="0.2">
      <c r="B1" t="s">
        <v>0</v>
      </c>
      <c r="C1" t="s">
        <v>1</v>
      </c>
      <c r="D1" t="s">
        <v>2</v>
      </c>
      <c r="E1" t="s">
        <v>3</v>
      </c>
      <c r="G1" t="s">
        <v>4</v>
      </c>
      <c r="H1" t="s">
        <v>5</v>
      </c>
      <c r="I1" t="s">
        <v>6</v>
      </c>
    </row>
    <row r="2" spans="2:11" ht="15" x14ac:dyDescent="0.25">
      <c r="B2" s="1">
        <v>1</v>
      </c>
      <c r="C2" s="1" t="s">
        <v>44</v>
      </c>
      <c r="D2" s="1" t="s">
        <v>7</v>
      </c>
      <c r="E2" s="1" t="s">
        <v>45</v>
      </c>
      <c r="F2" s="1"/>
      <c r="G2" s="1" t="s">
        <v>8</v>
      </c>
      <c r="H2" s="1" t="s">
        <v>46</v>
      </c>
      <c r="K2" s="2" t="s">
        <v>47</v>
      </c>
    </row>
    <row r="3" spans="2:11" x14ac:dyDescent="0.2">
      <c r="B3">
        <v>2</v>
      </c>
      <c r="C3" t="s">
        <v>44</v>
      </c>
      <c r="D3" t="s">
        <v>42</v>
      </c>
      <c r="E3" t="s">
        <v>48</v>
      </c>
      <c r="G3" t="s">
        <v>9</v>
      </c>
      <c r="I3" t="s">
        <v>9</v>
      </c>
    </row>
    <row r="4" spans="2:11" ht="15" x14ac:dyDescent="0.25">
      <c r="B4" s="1">
        <v>3</v>
      </c>
      <c r="C4" s="1" t="s">
        <v>44</v>
      </c>
      <c r="D4" s="1" t="s">
        <v>42</v>
      </c>
      <c r="E4" s="1" t="s">
        <v>49</v>
      </c>
      <c r="F4" s="1"/>
      <c r="G4" s="1" t="s">
        <v>8</v>
      </c>
    </row>
    <row r="5" spans="2:11" x14ac:dyDescent="0.2">
      <c r="B5">
        <v>4</v>
      </c>
      <c r="C5" t="s">
        <v>44</v>
      </c>
      <c r="D5" t="s">
        <v>42</v>
      </c>
      <c r="E5" t="s">
        <v>50</v>
      </c>
      <c r="G5" t="s">
        <v>9</v>
      </c>
      <c r="I5" t="s">
        <v>9</v>
      </c>
    </row>
    <row r="6" spans="2:11" ht="15" x14ac:dyDescent="0.25">
      <c r="B6">
        <v>5</v>
      </c>
      <c r="C6" t="s">
        <v>44</v>
      </c>
      <c r="D6" t="s">
        <v>42</v>
      </c>
      <c r="E6" t="s">
        <v>51</v>
      </c>
      <c r="G6" s="3" t="s">
        <v>9</v>
      </c>
      <c r="I6" t="s">
        <v>9</v>
      </c>
    </row>
    <row r="7" spans="2:11" ht="15" x14ac:dyDescent="0.25">
      <c r="B7" s="1">
        <v>6</v>
      </c>
      <c r="C7" s="1" t="s">
        <v>44</v>
      </c>
      <c r="D7" s="1" t="s">
        <v>42</v>
      </c>
      <c r="E7" s="1" t="s">
        <v>52</v>
      </c>
      <c r="F7" s="1"/>
      <c r="G7" s="1" t="s">
        <v>8</v>
      </c>
      <c r="H7" s="1" t="s">
        <v>53</v>
      </c>
    </row>
    <row r="8" spans="2:11" ht="15" x14ac:dyDescent="0.25">
      <c r="B8" s="1">
        <v>7</v>
      </c>
      <c r="C8" s="1" t="s">
        <v>44</v>
      </c>
      <c r="D8" s="1" t="s">
        <v>42</v>
      </c>
      <c r="E8" s="1" t="s">
        <v>54</v>
      </c>
      <c r="F8" s="1"/>
      <c r="G8" s="1" t="s">
        <v>8</v>
      </c>
      <c r="H8" s="1" t="s">
        <v>55</v>
      </c>
    </row>
    <row r="9" spans="2:11" ht="15" x14ac:dyDescent="0.25">
      <c r="B9" s="1">
        <v>8</v>
      </c>
      <c r="C9" s="1" t="s">
        <v>44</v>
      </c>
      <c r="D9" s="1" t="s">
        <v>42</v>
      </c>
      <c r="E9" s="1" t="s">
        <v>41</v>
      </c>
      <c r="F9" s="1"/>
      <c r="G9" s="1" t="s">
        <v>8</v>
      </c>
      <c r="H9" s="1" t="s">
        <v>56</v>
      </c>
    </row>
    <row r="10" spans="2:11" ht="15" x14ac:dyDescent="0.25">
      <c r="B10" s="1">
        <v>9</v>
      </c>
      <c r="C10" s="1" t="s">
        <v>44</v>
      </c>
      <c r="D10" s="1" t="s">
        <v>42</v>
      </c>
      <c r="E10" s="1" t="s">
        <v>57</v>
      </c>
      <c r="F10" s="1"/>
      <c r="G10" s="1" t="s">
        <v>8</v>
      </c>
      <c r="H10" s="1" t="s">
        <v>58</v>
      </c>
    </row>
    <row r="11" spans="2:11" ht="15" x14ac:dyDescent="0.25">
      <c r="B11" s="1">
        <v>10</v>
      </c>
      <c r="C11" s="1" t="s">
        <v>44</v>
      </c>
      <c r="D11" s="1" t="s">
        <v>42</v>
      </c>
      <c r="E11" s="1" t="s">
        <v>59</v>
      </c>
      <c r="F11" s="1"/>
      <c r="G11" s="1" t="s">
        <v>8</v>
      </c>
      <c r="H11" s="1" t="s">
        <v>60</v>
      </c>
    </row>
    <row r="12" spans="2:11" ht="15" x14ac:dyDescent="0.25">
      <c r="B12" s="1">
        <v>11</v>
      </c>
      <c r="C12" s="1" t="s">
        <v>44</v>
      </c>
      <c r="D12" s="1" t="s">
        <v>42</v>
      </c>
      <c r="E12" s="1" t="s">
        <v>61</v>
      </c>
      <c r="G12" s="1" t="s">
        <v>8</v>
      </c>
      <c r="K12" s="2" t="s">
        <v>47</v>
      </c>
    </row>
    <row r="13" spans="2:11" ht="15" x14ac:dyDescent="0.25">
      <c r="B13">
        <v>12</v>
      </c>
      <c r="C13" t="s">
        <v>44</v>
      </c>
      <c r="D13" t="s">
        <v>42</v>
      </c>
      <c r="E13" t="s">
        <v>43</v>
      </c>
      <c r="G13" s="3" t="s">
        <v>9</v>
      </c>
      <c r="I13" t="s">
        <v>9</v>
      </c>
      <c r="K13" t="s">
        <v>62</v>
      </c>
    </row>
    <row r="14" spans="2:11" ht="15" x14ac:dyDescent="0.25">
      <c r="B14">
        <v>13</v>
      </c>
      <c r="C14" t="s">
        <v>44</v>
      </c>
      <c r="D14" t="s">
        <v>42</v>
      </c>
      <c r="E14" t="s">
        <v>63</v>
      </c>
      <c r="G14" s="3" t="s">
        <v>9</v>
      </c>
      <c r="I14" s="2" t="s">
        <v>9</v>
      </c>
      <c r="K14" s="2" t="s">
        <v>47</v>
      </c>
    </row>
    <row r="15" spans="2:11" ht="15" x14ac:dyDescent="0.25">
      <c r="B15" s="1">
        <v>14</v>
      </c>
      <c r="C15" s="1" t="s">
        <v>44</v>
      </c>
      <c r="D15" s="1" t="s">
        <v>42</v>
      </c>
      <c r="E15" s="1" t="s">
        <v>64</v>
      </c>
      <c r="F15" s="1"/>
      <c r="G15" s="1" t="s">
        <v>8</v>
      </c>
      <c r="H15" s="1" t="s">
        <v>65</v>
      </c>
      <c r="K15" s="2" t="s">
        <v>47</v>
      </c>
    </row>
    <row r="16" spans="2:11" ht="15" x14ac:dyDescent="0.25">
      <c r="B16" s="1">
        <v>15</v>
      </c>
      <c r="C16" s="1" t="s">
        <v>44</v>
      </c>
      <c r="D16" s="1" t="s">
        <v>42</v>
      </c>
      <c r="E16" s="1" t="s">
        <v>66</v>
      </c>
      <c r="F16" s="1"/>
      <c r="G16" s="1" t="s">
        <v>8</v>
      </c>
      <c r="H16" s="1" t="s">
        <v>67</v>
      </c>
    </row>
    <row r="17" spans="2:11" x14ac:dyDescent="0.2">
      <c r="B17">
        <v>16</v>
      </c>
      <c r="C17" t="s">
        <v>44</v>
      </c>
      <c r="D17" t="s">
        <v>42</v>
      </c>
      <c r="E17" t="s">
        <v>68</v>
      </c>
      <c r="G17" t="s">
        <v>9</v>
      </c>
      <c r="I17" s="2" t="s">
        <v>9</v>
      </c>
      <c r="K17" s="2" t="s">
        <v>69</v>
      </c>
    </row>
    <row r="18" spans="2:11" x14ac:dyDescent="0.2">
      <c r="B18">
        <v>17</v>
      </c>
      <c r="C18" t="s">
        <v>44</v>
      </c>
      <c r="D18" t="s">
        <v>42</v>
      </c>
      <c r="E18" t="s">
        <v>70</v>
      </c>
      <c r="G18" t="s">
        <v>9</v>
      </c>
      <c r="I18" t="s">
        <v>9</v>
      </c>
    </row>
    <row r="19" spans="2:11" x14ac:dyDescent="0.2">
      <c r="B19" s="8">
        <v>18</v>
      </c>
      <c r="C19" s="8" t="s">
        <v>44</v>
      </c>
      <c r="D19" s="8" t="s">
        <v>42</v>
      </c>
      <c r="E19" s="8" t="s">
        <v>71</v>
      </c>
      <c r="F19" s="8"/>
      <c r="G19" s="8" t="s">
        <v>72</v>
      </c>
      <c r="H19" s="8"/>
      <c r="I19" s="8" t="s">
        <v>8</v>
      </c>
    </row>
    <row r="20" spans="2:11" x14ac:dyDescent="0.2">
      <c r="B20">
        <v>19</v>
      </c>
      <c r="C20" t="s">
        <v>44</v>
      </c>
      <c r="D20" t="s">
        <v>42</v>
      </c>
      <c r="E20" t="s">
        <v>73</v>
      </c>
      <c r="G20" t="s">
        <v>9</v>
      </c>
      <c r="I20" t="s">
        <v>9</v>
      </c>
    </row>
    <row r="21" spans="2:11" ht="15" x14ac:dyDescent="0.25">
      <c r="B21" s="1">
        <v>20</v>
      </c>
      <c r="C21" s="1" t="s">
        <v>44</v>
      </c>
      <c r="D21" s="1" t="s">
        <v>42</v>
      </c>
      <c r="E21" s="1" t="s">
        <v>74</v>
      </c>
      <c r="F21" s="1"/>
      <c r="G21" s="1" t="s">
        <v>8</v>
      </c>
      <c r="K21" s="2" t="s">
        <v>47</v>
      </c>
    </row>
    <row r="22" spans="2:11" x14ac:dyDescent="0.2">
      <c r="B22">
        <v>21</v>
      </c>
      <c r="C22" t="s">
        <v>44</v>
      </c>
      <c r="D22" t="s">
        <v>42</v>
      </c>
      <c r="E22" t="s">
        <v>75</v>
      </c>
      <c r="G22" t="s">
        <v>9</v>
      </c>
      <c r="I22" t="s">
        <v>9</v>
      </c>
      <c r="K22" t="s">
        <v>76</v>
      </c>
    </row>
    <row r="23" spans="2:11" x14ac:dyDescent="0.2">
      <c r="B23">
        <v>22</v>
      </c>
      <c r="C23" t="s">
        <v>44</v>
      </c>
      <c r="D23" t="s">
        <v>42</v>
      </c>
      <c r="E23" t="s">
        <v>77</v>
      </c>
      <c r="G23" t="s">
        <v>9</v>
      </c>
      <c r="I23" s="2" t="s">
        <v>10</v>
      </c>
    </row>
    <row r="24" spans="2:11" x14ac:dyDescent="0.2">
      <c r="B24">
        <v>23</v>
      </c>
      <c r="C24" t="s">
        <v>44</v>
      </c>
      <c r="D24" t="s">
        <v>42</v>
      </c>
      <c r="E24" t="s">
        <v>78</v>
      </c>
      <c r="G24" t="s">
        <v>9</v>
      </c>
      <c r="I24" s="2" t="s">
        <v>10</v>
      </c>
    </row>
    <row r="25" spans="2:11" x14ac:dyDescent="0.2">
      <c r="B25">
        <v>24</v>
      </c>
      <c r="C25" t="s">
        <v>44</v>
      </c>
      <c r="D25" t="s">
        <v>42</v>
      </c>
      <c r="E25" t="s">
        <v>79</v>
      </c>
      <c r="G25" t="s">
        <v>9</v>
      </c>
      <c r="I25" t="s">
        <v>9</v>
      </c>
    </row>
    <row r="26" spans="2:11" ht="15" x14ac:dyDescent="0.25">
      <c r="B26" s="1">
        <v>25</v>
      </c>
      <c r="C26" s="1" t="s">
        <v>44</v>
      </c>
      <c r="D26" s="1" t="s">
        <v>42</v>
      </c>
      <c r="E26" s="1" t="s">
        <v>80</v>
      </c>
      <c r="F26" s="1"/>
      <c r="G26" s="1" t="s">
        <v>8</v>
      </c>
      <c r="H26" s="1" t="s">
        <v>11</v>
      </c>
    </row>
    <row r="27" spans="2:11" ht="15" x14ac:dyDescent="0.25">
      <c r="B27" s="1">
        <v>26</v>
      </c>
      <c r="C27" s="1" t="s">
        <v>44</v>
      </c>
      <c r="D27" s="1" t="s">
        <v>42</v>
      </c>
      <c r="E27" s="1" t="s">
        <v>81</v>
      </c>
      <c r="G27" s="1" t="s">
        <v>8</v>
      </c>
      <c r="H27" s="1" t="s">
        <v>11</v>
      </c>
    </row>
    <row r="28" spans="2:11" x14ac:dyDescent="0.2">
      <c r="B28">
        <v>27</v>
      </c>
      <c r="C28" t="s">
        <v>44</v>
      </c>
      <c r="D28" t="s">
        <v>42</v>
      </c>
      <c r="E28" t="s">
        <v>82</v>
      </c>
      <c r="G28" t="s">
        <v>9</v>
      </c>
      <c r="I28" s="2" t="s">
        <v>10</v>
      </c>
    </row>
    <row r="29" spans="2:11" ht="15" x14ac:dyDescent="0.25">
      <c r="B29" s="1">
        <v>28</v>
      </c>
      <c r="C29" s="1" t="s">
        <v>44</v>
      </c>
      <c r="D29" s="1" t="s">
        <v>42</v>
      </c>
      <c r="E29" s="1" t="s">
        <v>83</v>
      </c>
      <c r="F29" s="1"/>
      <c r="G29" s="1" t="s">
        <v>8</v>
      </c>
      <c r="H29" s="1" t="s">
        <v>11</v>
      </c>
    </row>
    <row r="30" spans="2:11" ht="15" x14ac:dyDescent="0.25">
      <c r="B30">
        <v>29</v>
      </c>
      <c r="C30" t="s">
        <v>44</v>
      </c>
      <c r="D30" t="s">
        <v>42</v>
      </c>
      <c r="E30" t="s">
        <v>84</v>
      </c>
      <c r="G30" t="s">
        <v>9</v>
      </c>
      <c r="H30" s="1" t="s">
        <v>124</v>
      </c>
    </row>
    <row r="31" spans="2:11" ht="15" x14ac:dyDescent="0.25">
      <c r="B31">
        <v>30</v>
      </c>
      <c r="C31" t="s">
        <v>44</v>
      </c>
      <c r="D31" t="s">
        <v>42</v>
      </c>
      <c r="E31" t="s">
        <v>85</v>
      </c>
      <c r="G31" s="3" t="s">
        <v>9</v>
      </c>
      <c r="I31" t="s">
        <v>9</v>
      </c>
      <c r="K31" t="s">
        <v>86</v>
      </c>
    </row>
    <row r="32" spans="2:11" ht="15" x14ac:dyDescent="0.25">
      <c r="B32">
        <v>31</v>
      </c>
      <c r="C32" t="s">
        <v>44</v>
      </c>
      <c r="D32" t="s">
        <v>42</v>
      </c>
      <c r="E32" t="s">
        <v>87</v>
      </c>
      <c r="G32" s="3" t="s">
        <v>9</v>
      </c>
      <c r="I32" t="s">
        <v>9</v>
      </c>
      <c r="K32" t="s">
        <v>88</v>
      </c>
    </row>
    <row r="33" spans="2:9" ht="15" x14ac:dyDescent="0.25">
      <c r="B33" s="1">
        <v>32</v>
      </c>
      <c r="C33" s="1" t="s">
        <v>44</v>
      </c>
      <c r="D33" s="1" t="s">
        <v>42</v>
      </c>
      <c r="E33" s="1" t="s">
        <v>89</v>
      </c>
      <c r="F33" s="1"/>
      <c r="G33" s="1" t="s">
        <v>8</v>
      </c>
    </row>
    <row r="34" spans="2:9" x14ac:dyDescent="0.2">
      <c r="B34">
        <v>33</v>
      </c>
      <c r="C34" t="s">
        <v>44</v>
      </c>
      <c r="D34" t="s">
        <v>42</v>
      </c>
      <c r="E34" t="s">
        <v>90</v>
      </c>
      <c r="G34" t="s">
        <v>9</v>
      </c>
      <c r="I34" t="s">
        <v>9</v>
      </c>
    </row>
    <row r="35" spans="2:9" x14ac:dyDescent="0.2">
      <c r="B35">
        <v>34</v>
      </c>
      <c r="C35" t="s">
        <v>44</v>
      </c>
      <c r="D35" t="s">
        <v>42</v>
      </c>
      <c r="E35" t="s">
        <v>91</v>
      </c>
      <c r="G35" t="s">
        <v>9</v>
      </c>
      <c r="I35" t="s">
        <v>9</v>
      </c>
    </row>
    <row r="36" spans="2:9" x14ac:dyDescent="0.2">
      <c r="B36">
        <v>35</v>
      </c>
      <c r="C36" t="s">
        <v>44</v>
      </c>
      <c r="D36" t="s">
        <v>42</v>
      </c>
      <c r="E36" t="s">
        <v>92</v>
      </c>
      <c r="H36" s="2" t="s">
        <v>93</v>
      </c>
    </row>
    <row r="37" spans="2:9" ht="15" x14ac:dyDescent="0.25">
      <c r="B37" s="1">
        <v>36</v>
      </c>
      <c r="C37" s="1" t="s">
        <v>44</v>
      </c>
      <c r="D37" s="1" t="s">
        <v>42</v>
      </c>
      <c r="E37" s="1" t="s">
        <v>94</v>
      </c>
      <c r="F37" s="1"/>
      <c r="G37" s="1" t="s">
        <v>8</v>
      </c>
      <c r="H37" s="1" t="s">
        <v>95</v>
      </c>
    </row>
    <row r="38" spans="2:9" x14ac:dyDescent="0.2">
      <c r="B38">
        <v>37</v>
      </c>
      <c r="C38" t="s">
        <v>44</v>
      </c>
      <c r="D38" t="s">
        <v>42</v>
      </c>
      <c r="E38" t="s">
        <v>96</v>
      </c>
      <c r="G38" t="s">
        <v>9</v>
      </c>
      <c r="I38" t="s">
        <v>129</v>
      </c>
    </row>
    <row r="39" spans="2:9" x14ac:dyDescent="0.2">
      <c r="B39">
        <v>38</v>
      </c>
      <c r="C39" t="s">
        <v>44</v>
      </c>
      <c r="D39" t="s">
        <v>42</v>
      </c>
      <c r="E39" t="s">
        <v>97</v>
      </c>
      <c r="H39" s="2" t="s">
        <v>98</v>
      </c>
    </row>
    <row r="40" spans="2:9" x14ac:dyDescent="0.2">
      <c r="B40">
        <v>39</v>
      </c>
      <c r="C40" t="s">
        <v>44</v>
      </c>
      <c r="D40" t="s">
        <v>42</v>
      </c>
      <c r="E40" t="s">
        <v>99</v>
      </c>
      <c r="G40" t="s">
        <v>9</v>
      </c>
      <c r="H40" t="s">
        <v>130</v>
      </c>
    </row>
    <row r="41" spans="2:9" ht="15" x14ac:dyDescent="0.25">
      <c r="B41" s="1">
        <v>40</v>
      </c>
      <c r="C41" s="1" t="s">
        <v>44</v>
      </c>
      <c r="D41" s="1" t="s">
        <v>42</v>
      </c>
      <c r="E41" s="1" t="s">
        <v>100</v>
      </c>
      <c r="F41" s="1"/>
      <c r="G41" s="1" t="s">
        <v>8</v>
      </c>
      <c r="H41" s="1" t="s">
        <v>101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0D512-E321-40C2-83BC-E28D2A8A0EFB}">
  <dimension ref="B2:AS53"/>
  <sheetViews>
    <sheetView tabSelected="1" zoomScale="70" zoomScaleNormal="70" workbookViewId="0">
      <pane xSplit="3" ySplit="2" topLeftCell="P3" activePane="bottomRight" state="frozen"/>
      <selection pane="topRight" activeCell="D1" sqref="D1"/>
      <selection pane="bottomLeft" activeCell="A3" sqref="A3"/>
      <selection pane="bottomRight" activeCell="U51" sqref="U51"/>
    </sheetView>
  </sheetViews>
  <sheetFormatPr defaultRowHeight="14.25" x14ac:dyDescent="0.2"/>
  <cols>
    <col min="10" max="10" width="2" customWidth="1"/>
    <col min="20" max="22" width="9" customWidth="1"/>
    <col min="23" max="23" width="1.625" customWidth="1"/>
    <col min="24" max="24" width="9.625" bestFit="1" customWidth="1"/>
    <col min="25" max="25" width="12.625" bestFit="1" customWidth="1"/>
    <col min="26" max="26" width="12.5" bestFit="1" customWidth="1"/>
    <col min="27" max="27" width="9" bestFit="1" customWidth="1"/>
    <col min="28" max="28" width="18.875" bestFit="1" customWidth="1"/>
    <col min="29" max="29" width="8.5" bestFit="1" customWidth="1"/>
    <col min="30" max="30" width="1.875" customWidth="1"/>
    <col min="32" max="32" width="12.625" bestFit="1" customWidth="1"/>
    <col min="33" max="34" width="9.75" bestFit="1" customWidth="1"/>
    <col min="35" max="35" width="2.375" customWidth="1"/>
  </cols>
  <sheetData>
    <row r="2" spans="2:45" ht="63.6" customHeight="1" x14ac:dyDescent="0.2">
      <c r="C2" t="s">
        <v>12</v>
      </c>
      <c r="D2" s="4" t="s">
        <v>13</v>
      </c>
      <c r="E2" s="4" t="s">
        <v>14</v>
      </c>
      <c r="F2" s="4" t="s">
        <v>15</v>
      </c>
      <c r="G2" s="4" t="s">
        <v>16</v>
      </c>
      <c r="H2" s="4" t="s">
        <v>17</v>
      </c>
      <c r="I2" s="4" t="s">
        <v>18</v>
      </c>
      <c r="K2" s="4" t="s">
        <v>19</v>
      </c>
      <c r="L2" s="4" t="s">
        <v>20</v>
      </c>
      <c r="M2" s="4" t="s">
        <v>21</v>
      </c>
      <c r="N2" s="4" t="s">
        <v>22</v>
      </c>
      <c r="O2" s="4" t="s">
        <v>23</v>
      </c>
      <c r="P2" s="4" t="s">
        <v>24</v>
      </c>
      <c r="Q2" s="4" t="s">
        <v>25</v>
      </c>
      <c r="R2" s="4" t="s">
        <v>26</v>
      </c>
      <c r="S2" s="4" t="s">
        <v>27</v>
      </c>
      <c r="T2" s="4" t="s">
        <v>28</v>
      </c>
      <c r="U2" s="4" t="s">
        <v>152</v>
      </c>
      <c r="V2" s="4" t="s">
        <v>153</v>
      </c>
      <c r="X2" s="4" t="s">
        <v>29</v>
      </c>
      <c r="Y2" s="4" t="s">
        <v>30</v>
      </c>
      <c r="Z2" s="4" t="s">
        <v>31</v>
      </c>
      <c r="AA2" s="4" t="s">
        <v>32</v>
      </c>
      <c r="AB2" s="4" t="s">
        <v>33</v>
      </c>
      <c r="AC2" s="4" t="s">
        <v>34</v>
      </c>
      <c r="AE2" s="4" t="s">
        <v>35</v>
      </c>
      <c r="AF2" s="4" t="s">
        <v>36</v>
      </c>
      <c r="AG2" s="4" t="s">
        <v>37</v>
      </c>
      <c r="AH2" s="4" t="s">
        <v>38</v>
      </c>
      <c r="AJ2" s="4" t="s">
        <v>39</v>
      </c>
      <c r="AM2" t="s">
        <v>143</v>
      </c>
      <c r="AN2" t="s">
        <v>144</v>
      </c>
      <c r="AO2" t="s">
        <v>145</v>
      </c>
      <c r="AQ2" t="s">
        <v>146</v>
      </c>
      <c r="AS2" t="s">
        <v>146</v>
      </c>
    </row>
    <row r="3" spans="2:45" x14ac:dyDescent="0.2">
      <c r="B3" s="20" t="s">
        <v>44</v>
      </c>
      <c r="C3" s="20"/>
      <c r="D3" t="s">
        <v>102</v>
      </c>
      <c r="E3">
        <v>5000</v>
      </c>
      <c r="F3">
        <v>18.600000000000001</v>
      </c>
      <c r="G3" s="7" t="s">
        <v>106</v>
      </c>
      <c r="H3">
        <v>115</v>
      </c>
      <c r="I3">
        <v>0.12</v>
      </c>
      <c r="K3">
        <v>256</v>
      </c>
      <c r="L3" s="6">
        <v>589</v>
      </c>
      <c r="M3" s="6"/>
      <c r="N3">
        <v>55</v>
      </c>
      <c r="P3" t="s">
        <v>40</v>
      </c>
      <c r="Q3">
        <v>462</v>
      </c>
      <c r="R3">
        <v>22</v>
      </c>
      <c r="S3" s="19">
        <f>Q3-U3</f>
        <v>160</v>
      </c>
      <c r="T3" s="19">
        <v>38</v>
      </c>
      <c r="U3" s="19">
        <v>302</v>
      </c>
      <c r="V3" s="19">
        <f>((332-U3)/332)*100</f>
        <v>9.0361445783132535</v>
      </c>
      <c r="X3">
        <v>1.7000000000000001E-2</v>
      </c>
      <c r="Y3" t="s">
        <v>40</v>
      </c>
      <c r="Z3">
        <v>0.31</v>
      </c>
      <c r="AB3">
        <v>168</v>
      </c>
      <c r="AC3">
        <v>5.45E-2</v>
      </c>
      <c r="AG3">
        <v>0.1</v>
      </c>
      <c r="AH3" t="s">
        <v>40</v>
      </c>
      <c r="AJ3" t="s">
        <v>107</v>
      </c>
      <c r="AM3">
        <v>2</v>
      </c>
      <c r="AN3">
        <v>2</v>
      </c>
      <c r="AO3">
        <v>1</v>
      </c>
      <c r="AQ3">
        <f>(AN3+AM3)*LN((AN3+2))</f>
        <v>5.5451774444795623</v>
      </c>
      <c r="AS3">
        <f>(AN3+AM3)*LN(AO3+2)</f>
        <v>4.3944491546724391</v>
      </c>
    </row>
    <row r="4" spans="2:45" x14ac:dyDescent="0.2">
      <c r="B4" s="20" t="s">
        <v>44</v>
      </c>
      <c r="C4" s="20"/>
      <c r="D4" t="s">
        <v>40</v>
      </c>
      <c r="E4">
        <v>1</v>
      </c>
      <c r="F4">
        <v>18</v>
      </c>
      <c r="G4" t="s">
        <v>40</v>
      </c>
      <c r="H4">
        <v>24</v>
      </c>
      <c r="I4">
        <v>0.83</v>
      </c>
      <c r="K4">
        <v>484</v>
      </c>
      <c r="L4" s="6">
        <v>832</v>
      </c>
      <c r="M4" s="6"/>
      <c r="N4">
        <v>56</v>
      </c>
      <c r="P4" t="s">
        <v>40</v>
      </c>
      <c r="R4">
        <v>48</v>
      </c>
      <c r="S4" t="s">
        <v>40</v>
      </c>
      <c r="T4" t="s">
        <v>40</v>
      </c>
      <c r="Y4" t="s">
        <v>40</v>
      </c>
      <c r="Z4" t="s">
        <v>40</v>
      </c>
      <c r="AA4" t="s">
        <v>40</v>
      </c>
      <c r="AB4" t="s">
        <v>40</v>
      </c>
      <c r="AC4" t="s">
        <v>40</v>
      </c>
      <c r="AF4" t="s">
        <v>40</v>
      </c>
      <c r="AG4" t="s">
        <v>40</v>
      </c>
      <c r="AH4" t="s">
        <v>40</v>
      </c>
      <c r="AJ4" t="s">
        <v>108</v>
      </c>
      <c r="AM4" t="s">
        <v>40</v>
      </c>
      <c r="AN4" t="s">
        <v>40</v>
      </c>
      <c r="AO4" t="s">
        <v>40</v>
      </c>
      <c r="AQ4" t="s">
        <v>40</v>
      </c>
      <c r="AS4" t="s">
        <v>40</v>
      </c>
    </row>
    <row r="5" spans="2:45" ht="15" x14ac:dyDescent="0.25">
      <c r="B5" s="20" t="s">
        <v>44</v>
      </c>
      <c r="C5" s="20"/>
      <c r="D5" t="s">
        <v>40</v>
      </c>
      <c r="E5">
        <f>2*50*31</f>
        <v>3100</v>
      </c>
      <c r="F5" s="6">
        <f>AVERAGE(20,20.5,19.5,18,20,24,25,26.2,24.9,28,26,25)</f>
        <v>23.091666666666669</v>
      </c>
      <c r="G5">
        <v>365</v>
      </c>
      <c r="H5" s="6">
        <f>(E5/1469)*24</f>
        <v>50.646698434309059</v>
      </c>
      <c r="I5" s="5">
        <f>((L5*(E5/H5)*24)/1000)/E5</f>
        <v>0.27989978494623652</v>
      </c>
      <c r="K5" s="6">
        <f>AVERAGE(411,176,392,248,168,164,172,340,297,307,384,428)</f>
        <v>290.58333333333331</v>
      </c>
      <c r="L5" s="6">
        <f>AVERAGE(477,441,579,1373,861,473,524,365,503,542,502,448)</f>
        <v>590.66666666666663</v>
      </c>
      <c r="N5">
        <v>66.28</v>
      </c>
      <c r="O5" t="s">
        <v>40</v>
      </c>
      <c r="P5" t="s">
        <v>40</v>
      </c>
      <c r="R5">
        <v>41.68</v>
      </c>
      <c r="S5" t="s">
        <v>40</v>
      </c>
      <c r="T5" t="s">
        <v>40</v>
      </c>
      <c r="Y5" t="s">
        <v>40</v>
      </c>
      <c r="Z5" t="s">
        <v>40</v>
      </c>
      <c r="AA5" t="s">
        <v>40</v>
      </c>
      <c r="AB5" t="s">
        <v>40</v>
      </c>
      <c r="AC5" t="s">
        <v>40</v>
      </c>
      <c r="AF5" t="s">
        <v>40</v>
      </c>
      <c r="AG5" t="s">
        <v>40</v>
      </c>
      <c r="AH5" t="s">
        <v>40</v>
      </c>
      <c r="AJ5" t="s">
        <v>48</v>
      </c>
      <c r="AM5">
        <v>2</v>
      </c>
      <c r="AN5">
        <v>2</v>
      </c>
      <c r="AO5">
        <v>1</v>
      </c>
      <c r="AQ5">
        <f>(AN5+AM5)*LN((AN5+2))</f>
        <v>5.5451774444795623</v>
      </c>
      <c r="AS5">
        <f>(AN5+AM5)*LN(AO5+2)</f>
        <v>4.3944491546724391</v>
      </c>
    </row>
    <row r="6" spans="2:45" x14ac:dyDescent="0.2">
      <c r="B6" s="20" t="s">
        <v>44</v>
      </c>
      <c r="C6" s="20"/>
      <c r="D6" t="s">
        <v>40</v>
      </c>
      <c r="E6">
        <f>7000/11.2</f>
        <v>625</v>
      </c>
      <c r="F6" t="s">
        <v>109</v>
      </c>
      <c r="G6">
        <v>365</v>
      </c>
      <c r="H6">
        <f>11.7*24</f>
        <v>280.79999999999995</v>
      </c>
      <c r="K6">
        <v>341.5</v>
      </c>
      <c r="L6" s="6">
        <v>199.3</v>
      </c>
      <c r="M6" s="6"/>
      <c r="N6">
        <v>58.1</v>
      </c>
      <c r="O6" t="s">
        <v>40</v>
      </c>
      <c r="P6" t="s">
        <v>40</v>
      </c>
      <c r="R6">
        <v>26.24</v>
      </c>
      <c r="S6" t="s">
        <v>40</v>
      </c>
      <c r="T6" t="s">
        <v>40</v>
      </c>
      <c r="Y6" t="s">
        <v>40</v>
      </c>
      <c r="Z6" t="s">
        <v>40</v>
      </c>
      <c r="AA6" t="s">
        <v>40</v>
      </c>
      <c r="AB6" t="s">
        <v>40</v>
      </c>
      <c r="AC6" t="s">
        <v>40</v>
      </c>
      <c r="AF6" t="s">
        <v>40</v>
      </c>
      <c r="AG6" t="s">
        <v>40</v>
      </c>
      <c r="AH6" t="s">
        <v>40</v>
      </c>
      <c r="AJ6" t="s">
        <v>110</v>
      </c>
      <c r="AM6" t="s">
        <v>40</v>
      </c>
      <c r="AN6" t="s">
        <v>40</v>
      </c>
      <c r="AO6" t="s">
        <v>40</v>
      </c>
      <c r="AQ6" t="s">
        <v>40</v>
      </c>
      <c r="AS6" t="s">
        <v>40</v>
      </c>
    </row>
    <row r="7" spans="2:45" x14ac:dyDescent="0.2">
      <c r="B7" s="20" t="s">
        <v>44</v>
      </c>
      <c r="C7" s="20"/>
      <c r="D7" t="s">
        <v>40</v>
      </c>
      <c r="E7">
        <v>6250</v>
      </c>
      <c r="F7" t="s">
        <v>40</v>
      </c>
      <c r="G7">
        <v>365</v>
      </c>
      <c r="H7" t="s">
        <v>40</v>
      </c>
      <c r="I7" t="s">
        <v>40</v>
      </c>
      <c r="K7" t="s">
        <v>40</v>
      </c>
      <c r="L7">
        <v>415.97</v>
      </c>
      <c r="M7" t="s">
        <v>40</v>
      </c>
      <c r="N7" t="s">
        <v>40</v>
      </c>
      <c r="O7" t="s">
        <v>40</v>
      </c>
      <c r="P7" t="s">
        <v>40</v>
      </c>
      <c r="Q7">
        <v>293.3</v>
      </c>
      <c r="R7">
        <v>29.49</v>
      </c>
      <c r="S7" t="s">
        <v>40</v>
      </c>
      <c r="T7" t="s">
        <v>40</v>
      </c>
      <c r="X7" t="s">
        <v>40</v>
      </c>
      <c r="Y7" t="s">
        <v>40</v>
      </c>
      <c r="Z7" t="s">
        <v>40</v>
      </c>
      <c r="AA7" t="s">
        <v>40</v>
      </c>
      <c r="AB7" t="s">
        <v>40</v>
      </c>
      <c r="AC7" t="s">
        <v>40</v>
      </c>
      <c r="AF7" t="s">
        <v>40</v>
      </c>
      <c r="AG7" t="s">
        <v>40</v>
      </c>
      <c r="AH7" t="s">
        <v>40</v>
      </c>
      <c r="AJ7" t="s">
        <v>51</v>
      </c>
      <c r="AM7" t="s">
        <v>40</v>
      </c>
      <c r="AN7" t="s">
        <v>40</v>
      </c>
      <c r="AO7" t="s">
        <v>40</v>
      </c>
      <c r="AQ7" t="s">
        <v>40</v>
      </c>
      <c r="AS7" t="s">
        <v>40</v>
      </c>
    </row>
    <row r="8" spans="2:45" x14ac:dyDescent="0.2">
      <c r="B8" s="20" t="s">
        <v>44</v>
      </c>
      <c r="C8" s="20"/>
      <c r="D8" t="s">
        <v>40</v>
      </c>
      <c r="E8">
        <f>26*2</f>
        <v>52</v>
      </c>
      <c r="F8">
        <f>(30.5+12)/2</f>
        <v>21.25</v>
      </c>
      <c r="G8">
        <v>365</v>
      </c>
      <c r="H8">
        <v>48</v>
      </c>
      <c r="I8" t="s">
        <v>40</v>
      </c>
      <c r="K8">
        <v>320</v>
      </c>
      <c r="L8" t="s">
        <v>40</v>
      </c>
      <c r="M8">
        <v>150</v>
      </c>
      <c r="N8">
        <v>48.6</v>
      </c>
      <c r="O8" t="s">
        <v>40</v>
      </c>
      <c r="P8" t="s">
        <v>40</v>
      </c>
      <c r="Q8" t="s">
        <v>40</v>
      </c>
      <c r="R8" t="s">
        <v>40</v>
      </c>
      <c r="S8" t="s">
        <v>40</v>
      </c>
      <c r="T8" t="s">
        <v>40</v>
      </c>
      <c r="X8" t="s">
        <v>40</v>
      </c>
      <c r="Y8" t="s">
        <v>40</v>
      </c>
      <c r="Z8" t="s">
        <v>40</v>
      </c>
      <c r="AA8" t="s">
        <v>40</v>
      </c>
      <c r="AB8" t="s">
        <v>40</v>
      </c>
      <c r="AC8" t="s">
        <v>40</v>
      </c>
      <c r="AF8" t="s">
        <v>40</v>
      </c>
      <c r="AG8" t="s">
        <v>40</v>
      </c>
      <c r="AH8" t="s">
        <v>40</v>
      </c>
      <c r="AJ8" t="s">
        <v>43</v>
      </c>
      <c r="AM8">
        <v>2</v>
      </c>
      <c r="AN8">
        <v>2</v>
      </c>
      <c r="AO8">
        <v>1</v>
      </c>
      <c r="AQ8">
        <f>(AN8+AM8)*LN((AN8+2))</f>
        <v>5.5451774444795623</v>
      </c>
      <c r="AS8">
        <f>(AN8+AM8)*LN(AO8+2)</f>
        <v>4.3944491546724391</v>
      </c>
    </row>
    <row r="9" spans="2:45" ht="15" x14ac:dyDescent="0.25">
      <c r="B9" s="20" t="s">
        <v>44</v>
      </c>
      <c r="C9" s="20"/>
      <c r="D9" t="s">
        <v>40</v>
      </c>
      <c r="E9">
        <v>75</v>
      </c>
      <c r="F9" t="s">
        <v>40</v>
      </c>
      <c r="G9">
        <f>15*365</f>
        <v>5475</v>
      </c>
      <c r="H9">
        <f>2.1*24</f>
        <v>50.400000000000006</v>
      </c>
      <c r="I9" s="5">
        <f>((L9*(E9/H9)*24)/1000)/E9</f>
        <v>0.43047619047619046</v>
      </c>
      <c r="K9">
        <v>340</v>
      </c>
      <c r="L9">
        <v>904</v>
      </c>
      <c r="M9" t="s">
        <v>40</v>
      </c>
      <c r="N9" t="s">
        <v>111</v>
      </c>
      <c r="O9" t="s">
        <v>40</v>
      </c>
      <c r="P9" t="s">
        <v>40</v>
      </c>
      <c r="Q9" t="s">
        <v>40</v>
      </c>
      <c r="R9" t="s">
        <v>112</v>
      </c>
      <c r="S9" t="s">
        <v>40</v>
      </c>
      <c r="T9" t="s">
        <v>40</v>
      </c>
      <c r="X9">
        <v>1.0999999999999999E-2</v>
      </c>
      <c r="Y9" t="s">
        <v>40</v>
      </c>
      <c r="Z9" s="9">
        <f>(41.78*1000)/((E9/(H9/24))*15*365)</f>
        <v>0.21366940639269402</v>
      </c>
      <c r="AA9" t="s">
        <v>40</v>
      </c>
      <c r="AB9" t="s">
        <v>40</v>
      </c>
      <c r="AC9" t="s">
        <v>136</v>
      </c>
      <c r="AE9" t="s">
        <v>40</v>
      </c>
      <c r="AF9" t="s">
        <v>40</v>
      </c>
      <c r="AG9" t="s">
        <v>40</v>
      </c>
      <c r="AH9" t="s">
        <v>40</v>
      </c>
      <c r="AJ9" t="s">
        <v>63</v>
      </c>
      <c r="AM9">
        <v>3</v>
      </c>
      <c r="AN9">
        <v>2</v>
      </c>
      <c r="AO9">
        <v>1</v>
      </c>
      <c r="AQ9">
        <f>(AN9+AM9)*LN((AN9+2))</f>
        <v>6.9314718055994531</v>
      </c>
      <c r="AS9">
        <f>(AN9+AM9)*LN(AO9+2)</f>
        <v>5.4930614433405491</v>
      </c>
    </row>
    <row r="10" spans="2:45" x14ac:dyDescent="0.2">
      <c r="B10" s="20" t="s">
        <v>44</v>
      </c>
      <c r="C10" s="20"/>
      <c r="D10" t="s">
        <v>40</v>
      </c>
      <c r="E10">
        <f>3200*0.6</f>
        <v>1920</v>
      </c>
      <c r="F10">
        <v>16.600000000000001</v>
      </c>
      <c r="G10" t="s">
        <v>40</v>
      </c>
      <c r="H10">
        <f>0.4*24</f>
        <v>9.6000000000000014</v>
      </c>
      <c r="I10" t="s">
        <v>40</v>
      </c>
      <c r="K10">
        <f>(52.9+45.2)/2</f>
        <v>49.05</v>
      </c>
      <c r="L10" t="s">
        <v>40</v>
      </c>
      <c r="M10" t="s">
        <v>40</v>
      </c>
      <c r="N10">
        <f>(61.8+67.1)/2</f>
        <v>64.449999999999989</v>
      </c>
      <c r="O10" t="s">
        <v>40</v>
      </c>
      <c r="P10">
        <f>59</f>
        <v>59</v>
      </c>
      <c r="Q10" t="s">
        <v>40</v>
      </c>
      <c r="R10" t="s">
        <v>40</v>
      </c>
      <c r="S10" t="s">
        <v>40</v>
      </c>
      <c r="T10" t="s">
        <v>40</v>
      </c>
      <c r="U10" t="s">
        <v>40</v>
      </c>
      <c r="V10" t="s">
        <v>40</v>
      </c>
      <c r="X10">
        <v>2.5999999999999999E-2</v>
      </c>
      <c r="Y10" t="s">
        <v>40</v>
      </c>
      <c r="Z10" s="10">
        <f>(38.9*1000)/(3200*365)</f>
        <v>3.3304794520547944E-2</v>
      </c>
      <c r="AA10" t="s">
        <v>40</v>
      </c>
      <c r="AB10" t="s">
        <v>40</v>
      </c>
      <c r="AC10" t="s">
        <v>40</v>
      </c>
      <c r="AE10" t="s">
        <v>40</v>
      </c>
      <c r="AF10" t="s">
        <v>40</v>
      </c>
      <c r="AG10" t="s">
        <v>40</v>
      </c>
      <c r="AH10" t="s">
        <v>40</v>
      </c>
      <c r="AJ10" t="s">
        <v>68</v>
      </c>
      <c r="AM10">
        <v>2</v>
      </c>
      <c r="AN10">
        <v>2</v>
      </c>
      <c r="AO10">
        <v>1</v>
      </c>
      <c r="AQ10">
        <f>(AN10+AM10)*LN((AN10+2))</f>
        <v>5.5451774444795623</v>
      </c>
      <c r="AS10">
        <f>(AN10+AM10)*LN(AO10+2)</f>
        <v>4.3944491546724391</v>
      </c>
    </row>
    <row r="11" spans="2:45" ht="15" x14ac:dyDescent="0.25">
      <c r="B11" s="20" t="s">
        <v>44</v>
      </c>
      <c r="C11" s="20"/>
      <c r="D11" t="s">
        <v>113</v>
      </c>
      <c r="E11">
        <v>1400</v>
      </c>
      <c r="F11">
        <v>23.4</v>
      </c>
      <c r="G11">
        <f>10*4*7</f>
        <v>280</v>
      </c>
      <c r="H11" s="6">
        <f>E11/((225/2)/24)</f>
        <v>298.66666666666669</v>
      </c>
      <c r="I11" s="5">
        <f>((L11*(E11/H11)*24)/1000)/E11</f>
        <v>4.5482142857142853E-2</v>
      </c>
      <c r="K11">
        <v>283</v>
      </c>
      <c r="L11">
        <v>566</v>
      </c>
      <c r="M11">
        <v>214</v>
      </c>
      <c r="N11">
        <f>((K11-M11)/K11)*100</f>
        <v>24.381625441696116</v>
      </c>
      <c r="Q11">
        <v>402.5</v>
      </c>
      <c r="R11">
        <f>((L11-Q11)/L11)*100</f>
        <v>28.886925795053003</v>
      </c>
      <c r="S11" t="s">
        <v>40</v>
      </c>
      <c r="T11" t="s">
        <v>40</v>
      </c>
      <c r="U11" t="s">
        <v>40</v>
      </c>
      <c r="V11" t="s">
        <v>40</v>
      </c>
      <c r="X11" t="s">
        <v>40</v>
      </c>
      <c r="Y11" t="s">
        <v>40</v>
      </c>
      <c r="Z11" t="s">
        <v>40</v>
      </c>
      <c r="AA11" t="s">
        <v>40</v>
      </c>
      <c r="AB11" t="s">
        <v>40</v>
      </c>
      <c r="AC11" t="s">
        <v>40</v>
      </c>
      <c r="AF11" t="s">
        <v>40</v>
      </c>
      <c r="AG11" t="s">
        <v>40</v>
      </c>
      <c r="AH11" t="s">
        <v>40</v>
      </c>
      <c r="AJ11" t="s">
        <v>70</v>
      </c>
      <c r="AM11" t="s">
        <v>40</v>
      </c>
      <c r="AN11" t="s">
        <v>40</v>
      </c>
      <c r="AO11" t="s">
        <v>40</v>
      </c>
      <c r="AQ11" t="s">
        <v>40</v>
      </c>
      <c r="AS11" t="s">
        <v>40</v>
      </c>
    </row>
    <row r="12" spans="2:45" ht="15" x14ac:dyDescent="0.25">
      <c r="B12" s="20" t="s">
        <v>44</v>
      </c>
      <c r="C12" s="20"/>
      <c r="D12" t="s">
        <v>40</v>
      </c>
      <c r="E12">
        <v>570</v>
      </c>
      <c r="F12" t="s">
        <v>40</v>
      </c>
      <c r="G12" s="7">
        <f>365*2</f>
        <v>730</v>
      </c>
      <c r="H12">
        <f>(E12/150)*24</f>
        <v>91.199999999999989</v>
      </c>
      <c r="I12" s="5">
        <f>((L12*(E12/H12)*24)/1000)/E12</f>
        <v>0.2447368421052632</v>
      </c>
      <c r="K12">
        <v>603</v>
      </c>
      <c r="L12">
        <v>930</v>
      </c>
      <c r="M12">
        <v>192</v>
      </c>
      <c r="N12">
        <f>((K12-M12)/K12)*100</f>
        <v>68.159203980099505</v>
      </c>
      <c r="O12" t="s">
        <v>40</v>
      </c>
      <c r="P12" t="s">
        <v>40</v>
      </c>
      <c r="Q12">
        <v>400</v>
      </c>
      <c r="R12">
        <f>((L12-Q12)/L12)*100</f>
        <v>56.98924731182796</v>
      </c>
      <c r="S12" t="s">
        <v>40</v>
      </c>
      <c r="T12" t="s">
        <v>40</v>
      </c>
      <c r="U12" t="s">
        <v>40</v>
      </c>
      <c r="V12" t="s">
        <v>40</v>
      </c>
      <c r="X12" t="s">
        <v>40</v>
      </c>
      <c r="Y12" t="s">
        <v>40</v>
      </c>
      <c r="Z12" t="s">
        <v>40</v>
      </c>
      <c r="AA12" t="s">
        <v>40</v>
      </c>
      <c r="AB12" t="s">
        <v>40</v>
      </c>
      <c r="AC12" t="s">
        <v>40</v>
      </c>
      <c r="AF12" t="s">
        <v>40</v>
      </c>
      <c r="AG12" t="s">
        <v>40</v>
      </c>
      <c r="AH12" t="s">
        <v>40</v>
      </c>
      <c r="AJ12" t="s">
        <v>114</v>
      </c>
      <c r="AM12">
        <v>2</v>
      </c>
      <c r="AN12">
        <v>2</v>
      </c>
      <c r="AO12">
        <v>1</v>
      </c>
      <c r="AQ12">
        <f>(AN12+AM12)*LN((AN12+2))</f>
        <v>5.5451774444795623</v>
      </c>
      <c r="AS12">
        <f>(AN12+AM12)*LN(AO12+2)</f>
        <v>4.3944491546724391</v>
      </c>
    </row>
    <row r="13" spans="2:45" x14ac:dyDescent="0.2">
      <c r="B13" s="20" t="s">
        <v>44</v>
      </c>
      <c r="C13" s="20"/>
      <c r="D13" t="s">
        <v>40</v>
      </c>
      <c r="E13">
        <v>570</v>
      </c>
      <c r="F13">
        <v>18</v>
      </c>
      <c r="G13" s="7" t="s">
        <v>103</v>
      </c>
      <c r="H13">
        <v>115</v>
      </c>
      <c r="I13">
        <v>0.2</v>
      </c>
      <c r="K13">
        <v>594</v>
      </c>
      <c r="L13">
        <v>947</v>
      </c>
      <c r="M13">
        <v>217</v>
      </c>
      <c r="N13">
        <v>63</v>
      </c>
      <c r="O13">
        <v>146</v>
      </c>
      <c r="P13">
        <v>72</v>
      </c>
      <c r="Q13">
        <v>461</v>
      </c>
      <c r="R13">
        <v>51</v>
      </c>
      <c r="S13" t="s">
        <v>40</v>
      </c>
      <c r="T13" t="s">
        <v>40</v>
      </c>
      <c r="X13" t="s">
        <v>40</v>
      </c>
      <c r="Y13" t="s">
        <v>40</v>
      </c>
      <c r="Z13" t="s">
        <v>40</v>
      </c>
      <c r="AA13" t="s">
        <v>40</v>
      </c>
      <c r="AB13" t="s">
        <v>40</v>
      </c>
      <c r="AC13" t="s">
        <v>40</v>
      </c>
      <c r="AG13" t="s">
        <v>40</v>
      </c>
      <c r="AH13" t="s">
        <v>40</v>
      </c>
      <c r="AJ13" s="21" t="s">
        <v>104</v>
      </c>
      <c r="AL13" t="s">
        <v>131</v>
      </c>
      <c r="AM13">
        <v>2</v>
      </c>
      <c r="AN13">
        <v>2</v>
      </c>
      <c r="AO13">
        <v>1</v>
      </c>
      <c r="AQ13">
        <f>(AN13+AM13)*LN((AN13+2))</f>
        <v>5.5451774444795623</v>
      </c>
      <c r="AS13">
        <f>(AN13+AM13)*LN(AO13+2)</f>
        <v>4.3944491546724391</v>
      </c>
    </row>
    <row r="14" spans="2:45" x14ac:dyDescent="0.2">
      <c r="B14" s="20" t="s">
        <v>44</v>
      </c>
      <c r="C14" s="20"/>
      <c r="D14" t="s">
        <v>40</v>
      </c>
      <c r="E14">
        <v>570</v>
      </c>
      <c r="F14">
        <v>18</v>
      </c>
      <c r="G14" s="7" t="s">
        <v>105</v>
      </c>
      <c r="H14">
        <f>3.8*24</f>
        <v>91.199999999999989</v>
      </c>
      <c r="I14">
        <v>0.24</v>
      </c>
      <c r="K14">
        <v>504</v>
      </c>
      <c r="L14" s="6">
        <v>907</v>
      </c>
      <c r="M14" s="6">
        <v>170</v>
      </c>
      <c r="N14">
        <v>66</v>
      </c>
      <c r="O14">
        <v>120</v>
      </c>
      <c r="P14">
        <v>71</v>
      </c>
      <c r="Q14">
        <v>365</v>
      </c>
      <c r="R14">
        <v>60</v>
      </c>
      <c r="S14" t="s">
        <v>40</v>
      </c>
      <c r="T14" t="s">
        <v>40</v>
      </c>
      <c r="X14" t="s">
        <v>40</v>
      </c>
      <c r="Y14" t="s">
        <v>40</v>
      </c>
      <c r="Z14" t="s">
        <v>40</v>
      </c>
      <c r="AA14" t="s">
        <v>40</v>
      </c>
      <c r="AB14" t="s">
        <v>40</v>
      </c>
      <c r="AC14" t="s">
        <v>40</v>
      </c>
      <c r="AG14" t="s">
        <v>40</v>
      </c>
      <c r="AH14" t="s">
        <v>40</v>
      </c>
      <c r="AJ14" s="21"/>
      <c r="AL14" t="s">
        <v>132</v>
      </c>
      <c r="AM14">
        <v>2</v>
      </c>
      <c r="AN14">
        <v>2</v>
      </c>
      <c r="AO14">
        <v>1</v>
      </c>
      <c r="AQ14">
        <f>(AN14+AM14)*LN((AN14+2))</f>
        <v>5.5451774444795623</v>
      </c>
      <c r="AS14">
        <f>(AN14+AM14)*LN(AO14+2)</f>
        <v>4.3944491546724391</v>
      </c>
    </row>
    <row r="15" spans="2:45" x14ac:dyDescent="0.2">
      <c r="B15" s="20" t="s">
        <v>115</v>
      </c>
      <c r="C15" s="20"/>
      <c r="D15" t="s">
        <v>40</v>
      </c>
      <c r="E15">
        <v>88.4</v>
      </c>
      <c r="F15" t="s">
        <v>117</v>
      </c>
      <c r="G15" s="7" t="s">
        <v>40</v>
      </c>
      <c r="H15">
        <v>25</v>
      </c>
      <c r="I15">
        <v>0.61299999999999999</v>
      </c>
      <c r="K15">
        <v>236</v>
      </c>
      <c r="L15">
        <v>529</v>
      </c>
      <c r="M15" t="s">
        <v>40</v>
      </c>
      <c r="N15">
        <v>64.5</v>
      </c>
      <c r="O15" t="s">
        <v>40</v>
      </c>
      <c r="P15" t="s">
        <v>40</v>
      </c>
      <c r="Q15" t="s">
        <v>40</v>
      </c>
      <c r="R15">
        <v>60</v>
      </c>
      <c r="S15" t="s">
        <v>40</v>
      </c>
      <c r="T15" t="s">
        <v>40</v>
      </c>
      <c r="X15" t="s">
        <v>40</v>
      </c>
      <c r="Y15" t="s">
        <v>40</v>
      </c>
      <c r="Z15" t="s">
        <v>40</v>
      </c>
      <c r="AA15" t="s">
        <v>40</v>
      </c>
      <c r="AB15" t="s">
        <v>40</v>
      </c>
      <c r="AC15" t="s">
        <v>40</v>
      </c>
      <c r="AF15" t="s">
        <v>40</v>
      </c>
      <c r="AG15" t="s">
        <v>40</v>
      </c>
      <c r="AH15" t="s">
        <v>40</v>
      </c>
      <c r="AJ15" s="20" t="s">
        <v>75</v>
      </c>
      <c r="AM15" t="s">
        <v>40</v>
      </c>
      <c r="AN15" t="s">
        <v>40</v>
      </c>
      <c r="AO15" t="s">
        <v>40</v>
      </c>
      <c r="AQ15" t="s">
        <v>40</v>
      </c>
      <c r="AS15" t="s">
        <v>40</v>
      </c>
    </row>
    <row r="16" spans="2:45" x14ac:dyDescent="0.2">
      <c r="B16" s="20" t="s">
        <v>115</v>
      </c>
      <c r="C16" s="20"/>
      <c r="D16" t="s">
        <v>40</v>
      </c>
      <c r="E16">
        <v>88.4</v>
      </c>
      <c r="F16" t="s">
        <v>117</v>
      </c>
      <c r="G16" s="7" t="s">
        <v>40</v>
      </c>
      <c r="H16">
        <v>21</v>
      </c>
      <c r="I16">
        <v>0.42499999999999999</v>
      </c>
      <c r="K16">
        <v>236</v>
      </c>
      <c r="L16">
        <v>529</v>
      </c>
      <c r="M16" t="s">
        <v>40</v>
      </c>
      <c r="N16">
        <v>39</v>
      </c>
      <c r="O16" t="s">
        <v>40</v>
      </c>
      <c r="P16" t="s">
        <v>40</v>
      </c>
      <c r="Q16" t="s">
        <v>40</v>
      </c>
      <c r="R16">
        <v>39.6</v>
      </c>
      <c r="S16" t="s">
        <v>40</v>
      </c>
      <c r="T16" t="s">
        <v>40</v>
      </c>
      <c r="X16" t="s">
        <v>40</v>
      </c>
      <c r="Y16" t="s">
        <v>40</v>
      </c>
      <c r="Z16" t="s">
        <v>40</v>
      </c>
      <c r="AA16" t="s">
        <v>40</v>
      </c>
      <c r="AB16" t="s">
        <v>40</v>
      </c>
      <c r="AC16" t="s">
        <v>40</v>
      </c>
      <c r="AF16" t="s">
        <v>40</v>
      </c>
      <c r="AG16" t="s">
        <v>40</v>
      </c>
      <c r="AH16" t="s">
        <v>40</v>
      </c>
      <c r="AJ16" s="20"/>
      <c r="AM16" t="s">
        <v>40</v>
      </c>
      <c r="AN16" t="s">
        <v>40</v>
      </c>
      <c r="AO16" t="s">
        <v>40</v>
      </c>
      <c r="AQ16" t="s">
        <v>40</v>
      </c>
      <c r="AS16" t="s">
        <v>40</v>
      </c>
    </row>
    <row r="17" spans="2:45" x14ac:dyDescent="0.2">
      <c r="B17" s="20" t="s">
        <v>115</v>
      </c>
      <c r="C17" s="20"/>
      <c r="D17" t="s">
        <v>40</v>
      </c>
      <c r="E17">
        <v>88.4</v>
      </c>
      <c r="F17" t="s">
        <v>117</v>
      </c>
      <c r="G17" s="7" t="s">
        <v>40</v>
      </c>
      <c r="H17">
        <v>16</v>
      </c>
      <c r="I17">
        <v>0.873</v>
      </c>
      <c r="K17">
        <v>236</v>
      </c>
      <c r="L17">
        <v>529</v>
      </c>
      <c r="M17" t="s">
        <v>40</v>
      </c>
      <c r="N17">
        <v>53.2</v>
      </c>
      <c r="O17" t="s">
        <v>40</v>
      </c>
      <c r="P17" t="s">
        <v>40</v>
      </c>
      <c r="Q17" t="s">
        <v>40</v>
      </c>
      <c r="R17">
        <v>57</v>
      </c>
      <c r="S17" t="s">
        <v>40</v>
      </c>
      <c r="T17" t="s">
        <v>40</v>
      </c>
      <c r="X17" t="s">
        <v>40</v>
      </c>
      <c r="Y17" t="s">
        <v>40</v>
      </c>
      <c r="Z17" t="s">
        <v>40</v>
      </c>
      <c r="AA17" t="s">
        <v>40</v>
      </c>
      <c r="AB17" t="s">
        <v>40</v>
      </c>
      <c r="AC17" t="s">
        <v>40</v>
      </c>
      <c r="AF17" t="s">
        <v>40</v>
      </c>
      <c r="AG17" t="s">
        <v>40</v>
      </c>
      <c r="AH17" t="s">
        <v>40</v>
      </c>
      <c r="AJ17" s="20"/>
      <c r="AM17" t="s">
        <v>40</v>
      </c>
      <c r="AN17" t="s">
        <v>40</v>
      </c>
      <c r="AO17" t="s">
        <v>40</v>
      </c>
      <c r="AQ17" t="s">
        <v>40</v>
      </c>
      <c r="AS17" t="s">
        <v>40</v>
      </c>
    </row>
    <row r="18" spans="2:45" x14ac:dyDescent="0.2">
      <c r="B18" s="20" t="s">
        <v>115</v>
      </c>
      <c r="C18" s="20"/>
      <c r="D18" t="s">
        <v>40</v>
      </c>
      <c r="E18">
        <v>88.4</v>
      </c>
      <c r="F18" t="s">
        <v>117</v>
      </c>
      <c r="G18" s="7" t="s">
        <v>40</v>
      </c>
      <c r="H18">
        <v>13</v>
      </c>
      <c r="I18">
        <v>0.96299999999999997</v>
      </c>
      <c r="K18">
        <v>236</v>
      </c>
      <c r="L18">
        <v>529</v>
      </c>
      <c r="M18" t="s">
        <v>40</v>
      </c>
      <c r="N18">
        <v>61.1</v>
      </c>
      <c r="O18" t="s">
        <v>40</v>
      </c>
      <c r="P18" t="s">
        <v>40</v>
      </c>
      <c r="Q18" t="s">
        <v>40</v>
      </c>
      <c r="R18">
        <v>54.6</v>
      </c>
      <c r="S18" t="s">
        <v>40</v>
      </c>
      <c r="T18" t="s">
        <v>40</v>
      </c>
      <c r="X18" t="s">
        <v>40</v>
      </c>
      <c r="Y18" t="s">
        <v>40</v>
      </c>
      <c r="Z18" t="s">
        <v>40</v>
      </c>
      <c r="AA18" t="s">
        <v>40</v>
      </c>
      <c r="AB18" t="s">
        <v>40</v>
      </c>
      <c r="AC18" t="s">
        <v>40</v>
      </c>
      <c r="AF18" t="s">
        <v>40</v>
      </c>
      <c r="AG18" t="s">
        <v>40</v>
      </c>
      <c r="AH18" t="s">
        <v>40</v>
      </c>
      <c r="AJ18" s="20"/>
      <c r="AM18" t="s">
        <v>40</v>
      </c>
      <c r="AN18" t="s">
        <v>40</v>
      </c>
      <c r="AO18" t="s">
        <v>40</v>
      </c>
      <c r="AQ18" t="s">
        <v>40</v>
      </c>
      <c r="AS18" t="s">
        <v>40</v>
      </c>
    </row>
    <row r="19" spans="2:45" x14ac:dyDescent="0.2">
      <c r="B19" t="s">
        <v>116</v>
      </c>
      <c r="D19" t="s">
        <v>40</v>
      </c>
      <c r="E19">
        <v>88.4</v>
      </c>
      <c r="F19" t="s">
        <v>118</v>
      </c>
      <c r="G19" s="7" t="s">
        <v>40</v>
      </c>
      <c r="H19">
        <v>25</v>
      </c>
      <c r="I19">
        <v>0.56999999999999995</v>
      </c>
      <c r="K19">
        <v>211</v>
      </c>
      <c r="L19">
        <v>534</v>
      </c>
      <c r="M19" t="s">
        <v>40</v>
      </c>
      <c r="N19">
        <v>74.7</v>
      </c>
      <c r="O19" t="s">
        <v>40</v>
      </c>
      <c r="P19" t="s">
        <v>40</v>
      </c>
      <c r="Q19" t="s">
        <v>40</v>
      </c>
      <c r="R19">
        <v>51.7</v>
      </c>
      <c r="S19" t="s">
        <v>40</v>
      </c>
      <c r="T19" t="s">
        <v>40</v>
      </c>
      <c r="X19" t="s">
        <v>40</v>
      </c>
      <c r="Y19" t="s">
        <v>40</v>
      </c>
      <c r="Z19" t="s">
        <v>40</v>
      </c>
      <c r="AA19" t="s">
        <v>40</v>
      </c>
      <c r="AB19" t="s">
        <v>40</v>
      </c>
      <c r="AC19" t="s">
        <v>40</v>
      </c>
      <c r="AF19" t="s">
        <v>40</v>
      </c>
      <c r="AG19" t="s">
        <v>40</v>
      </c>
      <c r="AH19" t="s">
        <v>40</v>
      </c>
      <c r="AJ19" s="20"/>
      <c r="AM19" t="s">
        <v>40</v>
      </c>
      <c r="AN19" t="s">
        <v>40</v>
      </c>
      <c r="AO19" t="s">
        <v>40</v>
      </c>
      <c r="AQ19" t="s">
        <v>40</v>
      </c>
      <c r="AS19" t="s">
        <v>40</v>
      </c>
    </row>
    <row r="20" spans="2:45" x14ac:dyDescent="0.2">
      <c r="B20" t="s">
        <v>116</v>
      </c>
      <c r="D20" t="s">
        <v>40</v>
      </c>
      <c r="E20">
        <v>88.4</v>
      </c>
      <c r="F20" t="s">
        <v>118</v>
      </c>
      <c r="G20" s="7" t="s">
        <v>40</v>
      </c>
      <c r="H20">
        <v>21</v>
      </c>
      <c r="I20">
        <v>0.60099999999999998</v>
      </c>
      <c r="K20">
        <v>211</v>
      </c>
      <c r="L20">
        <v>534</v>
      </c>
      <c r="M20" t="s">
        <v>40</v>
      </c>
      <c r="N20">
        <v>61.3</v>
      </c>
      <c r="O20" t="s">
        <v>40</v>
      </c>
      <c r="P20" t="s">
        <v>40</v>
      </c>
      <c r="Q20" t="s">
        <v>40</v>
      </c>
      <c r="R20">
        <v>39.5</v>
      </c>
      <c r="S20" t="s">
        <v>40</v>
      </c>
      <c r="T20" t="s">
        <v>40</v>
      </c>
      <c r="X20" t="s">
        <v>40</v>
      </c>
      <c r="Y20" t="s">
        <v>40</v>
      </c>
      <c r="Z20" t="s">
        <v>40</v>
      </c>
      <c r="AA20" t="s">
        <v>40</v>
      </c>
      <c r="AB20" t="s">
        <v>40</v>
      </c>
      <c r="AC20" t="s">
        <v>40</v>
      </c>
      <c r="AF20" t="s">
        <v>40</v>
      </c>
      <c r="AG20" t="s">
        <v>40</v>
      </c>
      <c r="AH20" t="s">
        <v>40</v>
      </c>
      <c r="AJ20" s="20"/>
      <c r="AM20" t="s">
        <v>40</v>
      </c>
      <c r="AN20" t="s">
        <v>40</v>
      </c>
      <c r="AO20" t="s">
        <v>40</v>
      </c>
      <c r="AQ20" t="s">
        <v>40</v>
      </c>
      <c r="AS20" t="s">
        <v>40</v>
      </c>
    </row>
    <row r="21" spans="2:45" x14ac:dyDescent="0.2">
      <c r="B21" t="s">
        <v>116</v>
      </c>
      <c r="D21" t="s">
        <v>40</v>
      </c>
      <c r="E21">
        <v>88.4</v>
      </c>
      <c r="F21" t="s">
        <v>118</v>
      </c>
      <c r="G21" s="7" t="s">
        <v>40</v>
      </c>
      <c r="H21">
        <v>16</v>
      </c>
      <c r="I21">
        <v>0.84699999999999998</v>
      </c>
      <c r="K21">
        <v>211</v>
      </c>
      <c r="L21">
        <v>534</v>
      </c>
      <c r="M21" t="s">
        <v>40</v>
      </c>
      <c r="N21">
        <v>64.900000000000006</v>
      </c>
      <c r="O21" t="s">
        <v>40</v>
      </c>
      <c r="P21" t="s">
        <v>40</v>
      </c>
      <c r="Q21" t="s">
        <v>40</v>
      </c>
      <c r="R21">
        <v>53.1</v>
      </c>
      <c r="S21" t="s">
        <v>40</v>
      </c>
      <c r="T21" t="s">
        <v>40</v>
      </c>
      <c r="X21" t="s">
        <v>40</v>
      </c>
      <c r="Y21" t="s">
        <v>40</v>
      </c>
      <c r="Z21" t="s">
        <v>40</v>
      </c>
      <c r="AA21" t="s">
        <v>40</v>
      </c>
      <c r="AB21" t="s">
        <v>40</v>
      </c>
      <c r="AC21" t="s">
        <v>40</v>
      </c>
      <c r="AF21" t="s">
        <v>40</v>
      </c>
      <c r="AG21" t="s">
        <v>40</v>
      </c>
      <c r="AH21" t="s">
        <v>40</v>
      </c>
      <c r="AJ21" s="20"/>
      <c r="AM21" t="s">
        <v>40</v>
      </c>
      <c r="AN21" t="s">
        <v>40</v>
      </c>
      <c r="AO21" t="s">
        <v>40</v>
      </c>
      <c r="AQ21" t="s">
        <v>40</v>
      </c>
      <c r="AS21" t="s">
        <v>40</v>
      </c>
    </row>
    <row r="22" spans="2:45" x14ac:dyDescent="0.2">
      <c r="B22" t="s">
        <v>116</v>
      </c>
      <c r="D22" t="s">
        <v>40</v>
      </c>
      <c r="E22">
        <v>88.4</v>
      </c>
      <c r="F22" t="s">
        <v>118</v>
      </c>
      <c r="G22" s="7" t="s">
        <v>40</v>
      </c>
      <c r="H22">
        <v>12</v>
      </c>
      <c r="I22">
        <v>0.90200000000000002</v>
      </c>
      <c r="K22">
        <v>211</v>
      </c>
      <c r="L22">
        <v>534</v>
      </c>
      <c r="M22" t="s">
        <v>40</v>
      </c>
      <c r="N22">
        <v>54.1</v>
      </c>
      <c r="O22" t="s">
        <v>40</v>
      </c>
      <c r="P22" t="s">
        <v>40</v>
      </c>
      <c r="Q22" t="s">
        <v>40</v>
      </c>
      <c r="R22">
        <v>40.200000000000003</v>
      </c>
      <c r="S22" t="s">
        <v>40</v>
      </c>
      <c r="T22" t="s">
        <v>40</v>
      </c>
      <c r="X22" t="s">
        <v>40</v>
      </c>
      <c r="Y22" t="s">
        <v>40</v>
      </c>
      <c r="Z22" t="s">
        <v>40</v>
      </c>
      <c r="AA22" t="s">
        <v>40</v>
      </c>
      <c r="AB22" t="s">
        <v>40</v>
      </c>
      <c r="AC22" t="s">
        <v>40</v>
      </c>
      <c r="AF22" t="s">
        <v>40</v>
      </c>
      <c r="AG22" t="s">
        <v>40</v>
      </c>
      <c r="AH22" t="s">
        <v>40</v>
      </c>
      <c r="AJ22" s="20"/>
      <c r="AM22" t="s">
        <v>40</v>
      </c>
      <c r="AN22" t="s">
        <v>40</v>
      </c>
      <c r="AO22" t="s">
        <v>40</v>
      </c>
      <c r="AQ22" t="s">
        <v>40</v>
      </c>
      <c r="AS22" t="s">
        <v>40</v>
      </c>
    </row>
    <row r="23" spans="2:45" x14ac:dyDescent="0.2">
      <c r="B23" s="20" t="s">
        <v>119</v>
      </c>
      <c r="C23" s="20"/>
      <c r="D23" t="s">
        <v>40</v>
      </c>
      <c r="E23">
        <v>91</v>
      </c>
      <c r="F23" t="s">
        <v>117</v>
      </c>
      <c r="G23" s="7" t="s">
        <v>40</v>
      </c>
      <c r="H23">
        <v>25</v>
      </c>
      <c r="I23">
        <v>0.501</v>
      </c>
      <c r="K23">
        <v>236</v>
      </c>
      <c r="L23">
        <v>529</v>
      </c>
      <c r="M23" t="s">
        <v>40</v>
      </c>
      <c r="N23">
        <v>59.7</v>
      </c>
      <c r="O23" t="s">
        <v>40</v>
      </c>
      <c r="P23" t="s">
        <v>40</v>
      </c>
      <c r="Q23" t="s">
        <v>40</v>
      </c>
      <c r="R23">
        <v>56.8</v>
      </c>
      <c r="S23" t="s">
        <v>40</v>
      </c>
      <c r="T23" t="s">
        <v>40</v>
      </c>
      <c r="X23" t="s">
        <v>40</v>
      </c>
      <c r="Y23" t="s">
        <v>40</v>
      </c>
      <c r="Z23" t="s">
        <v>40</v>
      </c>
      <c r="AA23" t="s">
        <v>40</v>
      </c>
      <c r="AB23" t="s">
        <v>40</v>
      </c>
      <c r="AC23" t="s">
        <v>40</v>
      </c>
      <c r="AF23" t="s">
        <v>40</v>
      </c>
      <c r="AG23" t="s">
        <v>40</v>
      </c>
      <c r="AH23" t="s">
        <v>40</v>
      </c>
      <c r="AJ23" s="20"/>
      <c r="AM23">
        <v>4</v>
      </c>
      <c r="AN23">
        <v>2</v>
      </c>
      <c r="AO23">
        <v>1</v>
      </c>
      <c r="AQ23">
        <f t="shared" ref="AQ23:AQ26" si="0">(AN23+AM23)*LN((AN23+2))</f>
        <v>8.317766166719343</v>
      </c>
      <c r="AS23">
        <f t="shared" ref="AS23:AS26" si="1">(AN23+AM23)*LN(AO23+2)</f>
        <v>6.5916737320086582</v>
      </c>
    </row>
    <row r="24" spans="2:45" x14ac:dyDescent="0.2">
      <c r="B24" s="20" t="s">
        <v>119</v>
      </c>
      <c r="C24" s="20"/>
      <c r="D24" t="s">
        <v>40</v>
      </c>
      <c r="E24">
        <v>91</v>
      </c>
      <c r="F24" t="s">
        <v>117</v>
      </c>
      <c r="G24" s="7" t="s">
        <v>40</v>
      </c>
      <c r="H24">
        <v>21</v>
      </c>
      <c r="I24">
        <v>0.73</v>
      </c>
      <c r="K24">
        <v>236</v>
      </c>
      <c r="L24">
        <v>529</v>
      </c>
      <c r="M24" t="s">
        <v>40</v>
      </c>
      <c r="N24">
        <v>70.8</v>
      </c>
      <c r="O24" t="s">
        <v>40</v>
      </c>
      <c r="P24" t="s">
        <v>40</v>
      </c>
      <c r="Q24" t="s">
        <v>40</v>
      </c>
      <c r="R24">
        <v>60.9</v>
      </c>
      <c r="S24" t="s">
        <v>40</v>
      </c>
      <c r="T24" t="s">
        <v>40</v>
      </c>
      <c r="X24" t="s">
        <v>40</v>
      </c>
      <c r="Y24" t="s">
        <v>40</v>
      </c>
      <c r="Z24" t="s">
        <v>40</v>
      </c>
      <c r="AA24" t="s">
        <v>40</v>
      </c>
      <c r="AB24" t="s">
        <v>40</v>
      </c>
      <c r="AC24" t="s">
        <v>40</v>
      </c>
      <c r="AF24" t="s">
        <v>40</v>
      </c>
      <c r="AG24" t="s">
        <v>40</v>
      </c>
      <c r="AH24" t="s">
        <v>40</v>
      </c>
      <c r="AJ24" s="20"/>
      <c r="AM24">
        <v>4</v>
      </c>
      <c r="AN24">
        <v>2</v>
      </c>
      <c r="AO24">
        <v>1</v>
      </c>
      <c r="AQ24">
        <f t="shared" si="0"/>
        <v>8.317766166719343</v>
      </c>
      <c r="AS24">
        <f t="shared" si="1"/>
        <v>6.5916737320086582</v>
      </c>
    </row>
    <row r="25" spans="2:45" x14ac:dyDescent="0.2">
      <c r="B25" s="20" t="s">
        <v>119</v>
      </c>
      <c r="C25" s="20"/>
      <c r="D25" t="s">
        <v>40</v>
      </c>
      <c r="E25">
        <v>91</v>
      </c>
      <c r="F25" t="s">
        <v>117</v>
      </c>
      <c r="G25" s="7" t="s">
        <v>40</v>
      </c>
      <c r="H25">
        <v>17</v>
      </c>
      <c r="I25">
        <v>0.82199999999999995</v>
      </c>
      <c r="K25">
        <v>236</v>
      </c>
      <c r="L25">
        <v>529</v>
      </c>
      <c r="M25" t="s">
        <v>40</v>
      </c>
      <c r="N25">
        <v>64.2</v>
      </c>
      <c r="O25" t="s">
        <v>40</v>
      </c>
      <c r="P25" t="s">
        <v>40</v>
      </c>
      <c r="Q25" t="s">
        <v>40</v>
      </c>
      <c r="R25">
        <v>62.9</v>
      </c>
      <c r="S25" t="s">
        <v>40</v>
      </c>
      <c r="T25" t="s">
        <v>40</v>
      </c>
      <c r="X25" t="s">
        <v>40</v>
      </c>
      <c r="Y25" t="s">
        <v>40</v>
      </c>
      <c r="Z25" t="s">
        <v>40</v>
      </c>
      <c r="AA25" t="s">
        <v>40</v>
      </c>
      <c r="AB25" t="s">
        <v>40</v>
      </c>
      <c r="AC25" t="s">
        <v>40</v>
      </c>
      <c r="AF25" t="s">
        <v>40</v>
      </c>
      <c r="AG25" t="s">
        <v>40</v>
      </c>
      <c r="AH25" t="s">
        <v>40</v>
      </c>
      <c r="AJ25" s="20"/>
      <c r="AM25">
        <v>4</v>
      </c>
      <c r="AN25">
        <v>2</v>
      </c>
      <c r="AO25">
        <v>1</v>
      </c>
      <c r="AQ25">
        <f t="shared" si="0"/>
        <v>8.317766166719343</v>
      </c>
      <c r="AS25">
        <f t="shared" si="1"/>
        <v>6.5916737320086582</v>
      </c>
    </row>
    <row r="26" spans="2:45" x14ac:dyDescent="0.2">
      <c r="B26" s="20" t="s">
        <v>119</v>
      </c>
      <c r="C26" s="20"/>
      <c r="D26" t="s">
        <v>40</v>
      </c>
      <c r="E26">
        <v>91</v>
      </c>
      <c r="F26" t="s">
        <v>117</v>
      </c>
      <c r="G26" s="7" t="s">
        <v>40</v>
      </c>
      <c r="H26">
        <v>12</v>
      </c>
      <c r="I26">
        <v>0.745</v>
      </c>
      <c r="K26">
        <v>236</v>
      </c>
      <c r="L26">
        <v>529</v>
      </c>
      <c r="M26" t="s">
        <v>40</v>
      </c>
      <c r="N26">
        <v>41.5</v>
      </c>
      <c r="O26" t="s">
        <v>40</v>
      </c>
      <c r="P26" t="s">
        <v>40</v>
      </c>
      <c r="Q26" t="s">
        <v>40</v>
      </c>
      <c r="R26">
        <v>32.299999999999997</v>
      </c>
      <c r="S26" t="s">
        <v>40</v>
      </c>
      <c r="T26" t="s">
        <v>40</v>
      </c>
      <c r="X26" t="s">
        <v>40</v>
      </c>
      <c r="Y26" t="s">
        <v>40</v>
      </c>
      <c r="Z26" t="s">
        <v>40</v>
      </c>
      <c r="AA26" t="s">
        <v>40</v>
      </c>
      <c r="AB26" t="s">
        <v>40</v>
      </c>
      <c r="AC26" t="s">
        <v>40</v>
      </c>
      <c r="AF26" t="s">
        <v>40</v>
      </c>
      <c r="AG26" t="s">
        <v>40</v>
      </c>
      <c r="AH26" t="s">
        <v>40</v>
      </c>
      <c r="AJ26" s="20"/>
      <c r="AM26">
        <v>4</v>
      </c>
      <c r="AN26">
        <v>2</v>
      </c>
      <c r="AO26">
        <v>1</v>
      </c>
      <c r="AQ26">
        <f t="shared" si="0"/>
        <v>8.317766166719343</v>
      </c>
      <c r="AS26">
        <f t="shared" si="1"/>
        <v>6.5916737320086582</v>
      </c>
    </row>
    <row r="27" spans="2:45" x14ac:dyDescent="0.2">
      <c r="B27" s="20" t="s">
        <v>44</v>
      </c>
      <c r="C27" s="20"/>
      <c r="D27" t="s">
        <v>40</v>
      </c>
      <c r="E27">
        <v>82</v>
      </c>
      <c r="F27" t="s">
        <v>117</v>
      </c>
      <c r="G27" s="7" t="s">
        <v>40</v>
      </c>
      <c r="H27">
        <v>24</v>
      </c>
      <c r="I27">
        <v>0.372</v>
      </c>
      <c r="K27">
        <v>236</v>
      </c>
      <c r="L27">
        <v>529</v>
      </c>
      <c r="M27" t="s">
        <v>40</v>
      </c>
      <c r="N27">
        <v>45.2</v>
      </c>
      <c r="O27" t="s">
        <v>40</v>
      </c>
      <c r="P27" t="s">
        <v>40</v>
      </c>
      <c r="Q27" t="s">
        <v>40</v>
      </c>
      <c r="R27">
        <v>34.4</v>
      </c>
      <c r="S27" t="s">
        <v>40</v>
      </c>
      <c r="T27" t="s">
        <v>40</v>
      </c>
      <c r="X27" t="s">
        <v>40</v>
      </c>
      <c r="Y27" t="s">
        <v>40</v>
      </c>
      <c r="Z27" t="s">
        <v>40</v>
      </c>
      <c r="AA27" t="s">
        <v>40</v>
      </c>
      <c r="AB27" t="s">
        <v>40</v>
      </c>
      <c r="AC27" t="s">
        <v>40</v>
      </c>
      <c r="AF27" t="s">
        <v>40</v>
      </c>
      <c r="AG27" t="s">
        <v>40</v>
      </c>
      <c r="AH27" t="s">
        <v>40</v>
      </c>
      <c r="AJ27" s="20"/>
      <c r="AM27">
        <v>1</v>
      </c>
      <c r="AN27">
        <v>2</v>
      </c>
      <c r="AO27">
        <v>1</v>
      </c>
      <c r="AQ27">
        <f>(AN27+AM27)*LN((AN27+2))</f>
        <v>4.1588830833596715</v>
      </c>
      <c r="AS27">
        <f>(AN27+AM27)*LN(AO27+2)</f>
        <v>3.2958368660043291</v>
      </c>
    </row>
    <row r="28" spans="2:45" x14ac:dyDescent="0.2">
      <c r="B28" s="20" t="s">
        <v>44</v>
      </c>
      <c r="C28" s="20"/>
      <c r="D28" t="s">
        <v>40</v>
      </c>
      <c r="E28">
        <v>82</v>
      </c>
      <c r="F28" t="s">
        <v>117</v>
      </c>
      <c r="G28" s="7" t="s">
        <v>40</v>
      </c>
      <c r="H28">
        <v>21</v>
      </c>
      <c r="I28">
        <v>0.65500000000000003</v>
      </c>
      <c r="K28">
        <v>236</v>
      </c>
      <c r="L28">
        <v>529</v>
      </c>
      <c r="M28" t="s">
        <v>40</v>
      </c>
      <c r="N28">
        <v>56.7</v>
      </c>
      <c r="O28" t="s">
        <v>40</v>
      </c>
      <c r="P28" t="s">
        <v>40</v>
      </c>
      <c r="Q28" t="s">
        <v>40</v>
      </c>
      <c r="R28">
        <v>62.1</v>
      </c>
      <c r="S28" t="s">
        <v>40</v>
      </c>
      <c r="T28" t="s">
        <v>40</v>
      </c>
      <c r="X28" t="s">
        <v>40</v>
      </c>
      <c r="Y28" t="s">
        <v>40</v>
      </c>
      <c r="Z28" t="s">
        <v>40</v>
      </c>
      <c r="AA28" t="s">
        <v>40</v>
      </c>
      <c r="AB28" t="s">
        <v>40</v>
      </c>
      <c r="AC28" t="s">
        <v>40</v>
      </c>
      <c r="AF28" t="s">
        <v>40</v>
      </c>
      <c r="AG28" t="s">
        <v>40</v>
      </c>
      <c r="AH28" t="s">
        <v>40</v>
      </c>
      <c r="AJ28" s="20"/>
      <c r="AM28">
        <v>1</v>
      </c>
      <c r="AN28">
        <v>2</v>
      </c>
      <c r="AO28">
        <v>1</v>
      </c>
      <c r="AQ28">
        <f t="shared" ref="AQ28:AQ31" si="2">(AN28+AM28)*LN((AN28+2))</f>
        <v>4.1588830833596715</v>
      </c>
      <c r="AS28">
        <f t="shared" ref="AS28:AS31" si="3">(AN28+AM28)*LN(AO28+2)</f>
        <v>3.2958368660043291</v>
      </c>
    </row>
    <row r="29" spans="2:45" x14ac:dyDescent="0.2">
      <c r="B29" s="20" t="s">
        <v>44</v>
      </c>
      <c r="C29" s="20"/>
      <c r="D29" t="s">
        <v>40</v>
      </c>
      <c r="E29">
        <v>82</v>
      </c>
      <c r="F29" t="s">
        <v>117</v>
      </c>
      <c r="G29" s="7" t="s">
        <v>40</v>
      </c>
      <c r="H29">
        <v>16</v>
      </c>
      <c r="I29">
        <v>0.78300000000000003</v>
      </c>
      <c r="K29">
        <v>236</v>
      </c>
      <c r="L29">
        <v>529</v>
      </c>
      <c r="M29" t="s">
        <v>40</v>
      </c>
      <c r="N29">
        <v>56.7</v>
      </c>
      <c r="O29" t="s">
        <v>40</v>
      </c>
      <c r="P29" t="s">
        <v>40</v>
      </c>
      <c r="Q29" t="s">
        <v>40</v>
      </c>
      <c r="R29">
        <v>54.7</v>
      </c>
      <c r="S29" t="s">
        <v>40</v>
      </c>
      <c r="T29" t="s">
        <v>40</v>
      </c>
      <c r="X29" t="s">
        <v>40</v>
      </c>
      <c r="Y29" t="s">
        <v>40</v>
      </c>
      <c r="Z29" t="s">
        <v>40</v>
      </c>
      <c r="AA29" t="s">
        <v>40</v>
      </c>
      <c r="AB29" t="s">
        <v>40</v>
      </c>
      <c r="AC29" t="s">
        <v>40</v>
      </c>
      <c r="AF29" t="s">
        <v>40</v>
      </c>
      <c r="AG29" t="s">
        <v>40</v>
      </c>
      <c r="AH29" t="s">
        <v>40</v>
      </c>
      <c r="AJ29" s="20"/>
      <c r="AM29">
        <v>1</v>
      </c>
      <c r="AN29">
        <v>2</v>
      </c>
      <c r="AO29">
        <v>1</v>
      </c>
      <c r="AQ29">
        <f t="shared" si="2"/>
        <v>4.1588830833596715</v>
      </c>
      <c r="AS29">
        <f t="shared" si="3"/>
        <v>3.2958368660043291</v>
      </c>
    </row>
    <row r="30" spans="2:45" x14ac:dyDescent="0.2">
      <c r="B30" s="20" t="s">
        <v>44</v>
      </c>
      <c r="C30" s="20"/>
      <c r="D30" t="s">
        <v>40</v>
      </c>
      <c r="E30">
        <v>82</v>
      </c>
      <c r="F30" t="s">
        <v>117</v>
      </c>
      <c r="G30" s="7" t="s">
        <v>40</v>
      </c>
      <c r="H30">
        <v>11</v>
      </c>
      <c r="I30">
        <v>1.3939999999999999</v>
      </c>
      <c r="K30">
        <v>236</v>
      </c>
      <c r="L30">
        <v>529</v>
      </c>
      <c r="M30" t="s">
        <v>40</v>
      </c>
      <c r="N30">
        <v>59.8</v>
      </c>
      <c r="O30" t="s">
        <v>40</v>
      </c>
      <c r="P30" t="s">
        <v>40</v>
      </c>
      <c r="Q30" t="s">
        <v>40</v>
      </c>
      <c r="R30">
        <v>53.4</v>
      </c>
      <c r="S30" t="s">
        <v>40</v>
      </c>
      <c r="T30" t="s">
        <v>40</v>
      </c>
      <c r="X30" t="s">
        <v>40</v>
      </c>
      <c r="Y30" t="s">
        <v>40</v>
      </c>
      <c r="Z30" t="s">
        <v>40</v>
      </c>
      <c r="AA30" t="s">
        <v>40</v>
      </c>
      <c r="AB30" t="s">
        <v>40</v>
      </c>
      <c r="AC30" t="s">
        <v>40</v>
      </c>
      <c r="AF30" t="s">
        <v>40</v>
      </c>
      <c r="AG30" t="s">
        <v>40</v>
      </c>
      <c r="AH30" t="s">
        <v>40</v>
      </c>
      <c r="AJ30" s="20"/>
      <c r="AM30">
        <v>1</v>
      </c>
      <c r="AN30">
        <v>2</v>
      </c>
      <c r="AO30">
        <v>1</v>
      </c>
      <c r="AQ30">
        <f t="shared" si="2"/>
        <v>4.1588830833596715</v>
      </c>
      <c r="AS30">
        <f t="shared" si="3"/>
        <v>3.2958368660043291</v>
      </c>
    </row>
    <row r="31" spans="2:45" x14ac:dyDescent="0.2">
      <c r="B31" s="20" t="s">
        <v>120</v>
      </c>
      <c r="C31" s="20"/>
      <c r="D31" t="s">
        <v>40</v>
      </c>
      <c r="E31">
        <v>104</v>
      </c>
      <c r="F31" t="s">
        <v>118</v>
      </c>
      <c r="G31" s="7" t="s">
        <v>40</v>
      </c>
      <c r="H31">
        <v>23</v>
      </c>
      <c r="I31">
        <v>0.373</v>
      </c>
      <c r="K31">
        <v>211</v>
      </c>
      <c r="L31">
        <v>534</v>
      </c>
      <c r="M31" t="s">
        <v>40</v>
      </c>
      <c r="N31">
        <v>65.8</v>
      </c>
      <c r="O31" t="s">
        <v>40</v>
      </c>
      <c r="P31" t="s">
        <v>40</v>
      </c>
      <c r="Q31" t="s">
        <v>40</v>
      </c>
      <c r="R31">
        <v>44.7</v>
      </c>
      <c r="S31" t="s">
        <v>40</v>
      </c>
      <c r="T31" t="s">
        <v>40</v>
      </c>
      <c r="X31" t="s">
        <v>40</v>
      </c>
      <c r="Y31" t="s">
        <v>40</v>
      </c>
      <c r="Z31" t="s">
        <v>40</v>
      </c>
      <c r="AA31" t="s">
        <v>40</v>
      </c>
      <c r="AB31" t="s">
        <v>40</v>
      </c>
      <c r="AC31" t="s">
        <v>40</v>
      </c>
      <c r="AF31" t="s">
        <v>40</v>
      </c>
      <c r="AG31" t="s">
        <v>40</v>
      </c>
      <c r="AH31" t="s">
        <v>40</v>
      </c>
      <c r="AJ31" s="20"/>
      <c r="AM31">
        <v>2</v>
      </c>
      <c r="AN31">
        <v>2</v>
      </c>
      <c r="AO31">
        <v>1</v>
      </c>
      <c r="AQ31">
        <f t="shared" si="2"/>
        <v>5.5451774444795623</v>
      </c>
      <c r="AS31">
        <f t="shared" si="3"/>
        <v>4.3944491546724391</v>
      </c>
    </row>
    <row r="32" spans="2:45" x14ac:dyDescent="0.2">
      <c r="B32" s="20" t="s">
        <v>120</v>
      </c>
      <c r="C32" s="20"/>
      <c r="D32" t="s">
        <v>40</v>
      </c>
      <c r="E32">
        <v>104</v>
      </c>
      <c r="F32" t="s">
        <v>118</v>
      </c>
      <c r="G32" s="7" t="s">
        <v>40</v>
      </c>
      <c r="H32">
        <v>22</v>
      </c>
      <c r="I32">
        <v>0.52600000000000002</v>
      </c>
      <c r="K32">
        <v>211</v>
      </c>
      <c r="L32">
        <v>534</v>
      </c>
      <c r="M32" t="s">
        <v>40</v>
      </c>
      <c r="N32">
        <v>62.8</v>
      </c>
      <c r="O32" t="s">
        <v>40</v>
      </c>
      <c r="P32" t="s">
        <v>40</v>
      </c>
      <c r="Q32" t="s">
        <v>40</v>
      </c>
      <c r="R32">
        <v>42.6</v>
      </c>
      <c r="S32" t="s">
        <v>40</v>
      </c>
      <c r="T32" t="s">
        <v>40</v>
      </c>
      <c r="X32" t="s">
        <v>40</v>
      </c>
      <c r="Y32" t="s">
        <v>40</v>
      </c>
      <c r="Z32" t="s">
        <v>40</v>
      </c>
      <c r="AA32" t="s">
        <v>40</v>
      </c>
      <c r="AB32" t="s">
        <v>40</v>
      </c>
      <c r="AC32" t="s">
        <v>40</v>
      </c>
      <c r="AF32" t="s">
        <v>40</v>
      </c>
      <c r="AG32" t="s">
        <v>40</v>
      </c>
      <c r="AH32" t="s">
        <v>40</v>
      </c>
      <c r="AJ32" s="20"/>
      <c r="AM32">
        <v>2</v>
      </c>
      <c r="AN32">
        <v>2</v>
      </c>
      <c r="AO32">
        <v>1</v>
      </c>
      <c r="AQ32">
        <f t="shared" ref="AQ32:AQ34" si="4">(AN32+AM32)*LN((AN32+2))</f>
        <v>5.5451774444795623</v>
      </c>
      <c r="AS32">
        <f t="shared" ref="AS32:AS34" si="5">(AN32+AM32)*LN(AO32+2)</f>
        <v>4.3944491546724391</v>
      </c>
    </row>
    <row r="33" spans="2:45" x14ac:dyDescent="0.2">
      <c r="B33" s="20" t="s">
        <v>120</v>
      </c>
      <c r="C33" s="20"/>
      <c r="D33" t="s">
        <v>40</v>
      </c>
      <c r="E33">
        <v>104</v>
      </c>
      <c r="F33" t="s">
        <v>118</v>
      </c>
      <c r="G33" s="7" t="s">
        <v>40</v>
      </c>
      <c r="H33">
        <v>17</v>
      </c>
      <c r="I33">
        <v>0.751</v>
      </c>
      <c r="K33">
        <v>211</v>
      </c>
      <c r="L33">
        <v>534</v>
      </c>
      <c r="M33" t="s">
        <v>40</v>
      </c>
      <c r="N33">
        <v>69.2</v>
      </c>
      <c r="O33" t="s">
        <v>40</v>
      </c>
      <c r="P33" t="s">
        <v>40</v>
      </c>
      <c r="Q33" t="s">
        <v>40</v>
      </c>
      <c r="R33">
        <v>43.6</v>
      </c>
      <c r="S33" t="s">
        <v>40</v>
      </c>
      <c r="T33" t="s">
        <v>40</v>
      </c>
      <c r="X33" t="s">
        <v>40</v>
      </c>
      <c r="Y33" t="s">
        <v>40</v>
      </c>
      <c r="Z33" t="s">
        <v>40</v>
      </c>
      <c r="AA33" t="s">
        <v>40</v>
      </c>
      <c r="AB33" t="s">
        <v>40</v>
      </c>
      <c r="AC33" t="s">
        <v>40</v>
      </c>
      <c r="AF33" t="s">
        <v>40</v>
      </c>
      <c r="AG33" t="s">
        <v>40</v>
      </c>
      <c r="AH33" t="s">
        <v>40</v>
      </c>
      <c r="AJ33" s="20"/>
      <c r="AM33">
        <v>2</v>
      </c>
      <c r="AN33">
        <v>2</v>
      </c>
      <c r="AO33">
        <v>1</v>
      </c>
      <c r="AQ33">
        <f t="shared" si="4"/>
        <v>5.5451774444795623</v>
      </c>
      <c r="AS33">
        <f t="shared" si="5"/>
        <v>4.3944491546724391</v>
      </c>
    </row>
    <row r="34" spans="2:45" x14ac:dyDescent="0.2">
      <c r="B34" s="20" t="s">
        <v>120</v>
      </c>
      <c r="C34" s="20"/>
      <c r="D34" t="s">
        <v>40</v>
      </c>
      <c r="E34">
        <v>104</v>
      </c>
      <c r="F34" t="s">
        <v>118</v>
      </c>
      <c r="G34" s="7" t="s">
        <v>40</v>
      </c>
      <c r="H34">
        <v>14</v>
      </c>
      <c r="I34">
        <v>0.96799999999999997</v>
      </c>
      <c r="K34">
        <v>211</v>
      </c>
      <c r="L34">
        <v>534</v>
      </c>
      <c r="M34" t="s">
        <v>40</v>
      </c>
      <c r="N34">
        <v>64.3</v>
      </c>
      <c r="O34" t="s">
        <v>40</v>
      </c>
      <c r="P34" t="s">
        <v>40</v>
      </c>
      <c r="Q34" t="s">
        <v>40</v>
      </c>
      <c r="R34">
        <v>51.2</v>
      </c>
      <c r="S34" t="s">
        <v>40</v>
      </c>
      <c r="T34" t="s">
        <v>40</v>
      </c>
      <c r="X34" t="s">
        <v>40</v>
      </c>
      <c r="Y34" t="s">
        <v>40</v>
      </c>
      <c r="Z34" t="s">
        <v>40</v>
      </c>
      <c r="AA34" t="s">
        <v>40</v>
      </c>
      <c r="AB34" t="s">
        <v>40</v>
      </c>
      <c r="AC34" t="s">
        <v>40</v>
      </c>
      <c r="AF34" t="s">
        <v>40</v>
      </c>
      <c r="AG34" t="s">
        <v>40</v>
      </c>
      <c r="AH34" t="s">
        <v>40</v>
      </c>
      <c r="AJ34" s="20"/>
      <c r="AM34">
        <v>2</v>
      </c>
      <c r="AN34">
        <v>2</v>
      </c>
      <c r="AO34">
        <v>1</v>
      </c>
      <c r="AQ34">
        <f t="shared" si="4"/>
        <v>5.5451774444795623</v>
      </c>
      <c r="AS34">
        <f t="shared" si="5"/>
        <v>4.3944491546724391</v>
      </c>
    </row>
    <row r="35" spans="2:45" x14ac:dyDescent="0.2">
      <c r="B35" s="20" t="s">
        <v>44</v>
      </c>
      <c r="C35" s="20"/>
      <c r="D35" t="s">
        <v>40</v>
      </c>
      <c r="E35">
        <v>82</v>
      </c>
      <c r="F35" t="s">
        <v>118</v>
      </c>
      <c r="G35" s="7" t="s">
        <v>40</v>
      </c>
      <c r="H35">
        <v>21</v>
      </c>
      <c r="I35">
        <v>0.47</v>
      </c>
      <c r="K35">
        <v>211</v>
      </c>
      <c r="L35">
        <v>534</v>
      </c>
      <c r="M35" t="s">
        <v>40</v>
      </c>
      <c r="N35">
        <v>55.2</v>
      </c>
      <c r="O35" t="s">
        <v>40</v>
      </c>
      <c r="P35" t="s">
        <v>40</v>
      </c>
      <c r="Q35" t="s">
        <v>40</v>
      </c>
      <c r="R35">
        <v>45.7</v>
      </c>
      <c r="S35" t="s">
        <v>40</v>
      </c>
      <c r="T35" t="s">
        <v>40</v>
      </c>
      <c r="X35" t="s">
        <v>40</v>
      </c>
      <c r="Y35" t="s">
        <v>40</v>
      </c>
      <c r="Z35" t="s">
        <v>40</v>
      </c>
      <c r="AA35" t="s">
        <v>40</v>
      </c>
      <c r="AB35" t="s">
        <v>40</v>
      </c>
      <c r="AC35" t="s">
        <v>40</v>
      </c>
      <c r="AF35" t="s">
        <v>40</v>
      </c>
      <c r="AG35" t="s">
        <v>40</v>
      </c>
      <c r="AH35" t="s">
        <v>40</v>
      </c>
      <c r="AJ35" s="20"/>
      <c r="AM35">
        <v>1</v>
      </c>
      <c r="AN35">
        <v>2</v>
      </c>
      <c r="AO35">
        <v>1</v>
      </c>
      <c r="AQ35">
        <f>(AN35+AM35)*LN((AN35+2))</f>
        <v>4.1588830833596715</v>
      </c>
      <c r="AS35">
        <f>(AN35+AM35)*LN(AO35+2)</f>
        <v>3.2958368660043291</v>
      </c>
    </row>
    <row r="36" spans="2:45" x14ac:dyDescent="0.2">
      <c r="B36" s="20" t="s">
        <v>44</v>
      </c>
      <c r="C36" s="20"/>
      <c r="D36" t="s">
        <v>40</v>
      </c>
      <c r="E36">
        <v>82</v>
      </c>
      <c r="F36" t="s">
        <v>118</v>
      </c>
      <c r="G36" s="7" t="s">
        <v>40</v>
      </c>
      <c r="H36">
        <v>17</v>
      </c>
      <c r="I36">
        <v>0.751</v>
      </c>
      <c r="K36">
        <v>211</v>
      </c>
      <c r="L36">
        <v>534</v>
      </c>
      <c r="M36" t="s">
        <v>40</v>
      </c>
      <c r="N36">
        <v>67.3</v>
      </c>
      <c r="O36" t="s">
        <v>40</v>
      </c>
      <c r="P36" t="s">
        <v>40</v>
      </c>
      <c r="Q36" t="s">
        <v>40</v>
      </c>
      <c r="R36">
        <v>44.5</v>
      </c>
      <c r="S36" t="s">
        <v>40</v>
      </c>
      <c r="T36" t="s">
        <v>40</v>
      </c>
      <c r="X36" t="s">
        <v>40</v>
      </c>
      <c r="Y36" t="s">
        <v>40</v>
      </c>
      <c r="Z36" t="s">
        <v>40</v>
      </c>
      <c r="AA36" t="s">
        <v>40</v>
      </c>
      <c r="AB36" t="s">
        <v>40</v>
      </c>
      <c r="AC36" t="s">
        <v>40</v>
      </c>
      <c r="AF36" t="s">
        <v>40</v>
      </c>
      <c r="AG36" t="s">
        <v>40</v>
      </c>
      <c r="AH36" t="s">
        <v>40</v>
      </c>
      <c r="AJ36" s="20"/>
      <c r="AM36">
        <v>1</v>
      </c>
      <c r="AN36">
        <v>2</v>
      </c>
      <c r="AO36">
        <v>1</v>
      </c>
      <c r="AQ36">
        <f t="shared" ref="AQ36:AQ40" si="6">(AN36+AM36)*LN((AN36+2))</f>
        <v>4.1588830833596715</v>
      </c>
      <c r="AS36">
        <f t="shared" ref="AS36:AS40" si="7">(AN36+AM36)*LN(AO36+2)</f>
        <v>3.2958368660043291</v>
      </c>
    </row>
    <row r="37" spans="2:45" x14ac:dyDescent="0.2">
      <c r="B37" s="20" t="s">
        <v>44</v>
      </c>
      <c r="C37" s="20"/>
      <c r="D37" t="s">
        <v>40</v>
      </c>
      <c r="E37">
        <v>82</v>
      </c>
      <c r="F37" t="s">
        <v>118</v>
      </c>
      <c r="G37" s="7" t="s">
        <v>40</v>
      </c>
      <c r="H37">
        <v>13</v>
      </c>
      <c r="I37">
        <v>0.84199999999999997</v>
      </c>
      <c r="K37">
        <v>211</v>
      </c>
      <c r="L37">
        <v>534</v>
      </c>
      <c r="M37" t="s">
        <v>40</v>
      </c>
      <c r="N37">
        <v>68.099999999999994</v>
      </c>
      <c r="O37" t="s">
        <v>40</v>
      </c>
      <c r="P37" t="s">
        <v>40</v>
      </c>
      <c r="Q37" t="s">
        <v>40</v>
      </c>
      <c r="R37">
        <v>42.1</v>
      </c>
      <c r="S37" t="s">
        <v>40</v>
      </c>
      <c r="T37" t="s">
        <v>40</v>
      </c>
      <c r="X37" t="s">
        <v>40</v>
      </c>
      <c r="Y37" t="s">
        <v>40</v>
      </c>
      <c r="Z37" t="s">
        <v>40</v>
      </c>
      <c r="AA37" t="s">
        <v>40</v>
      </c>
      <c r="AB37" t="s">
        <v>40</v>
      </c>
      <c r="AC37" t="s">
        <v>40</v>
      </c>
      <c r="AF37" t="s">
        <v>40</v>
      </c>
      <c r="AG37" t="s">
        <v>40</v>
      </c>
      <c r="AH37" t="s">
        <v>40</v>
      </c>
      <c r="AJ37" s="20"/>
      <c r="AM37">
        <v>1</v>
      </c>
      <c r="AN37">
        <v>2</v>
      </c>
      <c r="AO37">
        <v>1</v>
      </c>
      <c r="AQ37">
        <f t="shared" si="6"/>
        <v>4.1588830833596715</v>
      </c>
      <c r="AS37">
        <f t="shared" si="7"/>
        <v>3.2958368660043291</v>
      </c>
    </row>
    <row r="38" spans="2:45" x14ac:dyDescent="0.2">
      <c r="B38" s="20" t="s">
        <v>44</v>
      </c>
      <c r="C38" s="20"/>
      <c r="D38" t="s">
        <v>40</v>
      </c>
      <c r="E38">
        <v>82</v>
      </c>
      <c r="F38" t="s">
        <v>118</v>
      </c>
      <c r="G38" s="7" t="s">
        <v>40</v>
      </c>
      <c r="H38">
        <v>8</v>
      </c>
      <c r="I38">
        <v>1.232</v>
      </c>
      <c r="K38">
        <v>211</v>
      </c>
      <c r="L38">
        <v>534</v>
      </c>
      <c r="M38" t="s">
        <v>40</v>
      </c>
      <c r="N38">
        <v>63.4</v>
      </c>
      <c r="O38" t="s">
        <v>40</v>
      </c>
      <c r="P38" t="s">
        <v>40</v>
      </c>
      <c r="Q38" t="s">
        <v>40</v>
      </c>
      <c r="R38">
        <v>54.6</v>
      </c>
      <c r="S38" t="s">
        <v>40</v>
      </c>
      <c r="T38" t="s">
        <v>40</v>
      </c>
      <c r="X38" t="s">
        <v>40</v>
      </c>
      <c r="Y38" t="s">
        <v>40</v>
      </c>
      <c r="Z38" t="s">
        <v>40</v>
      </c>
      <c r="AA38" t="s">
        <v>40</v>
      </c>
      <c r="AB38" t="s">
        <v>40</v>
      </c>
      <c r="AC38" t="s">
        <v>40</v>
      </c>
      <c r="AF38" t="s">
        <v>40</v>
      </c>
      <c r="AG38" t="s">
        <v>40</v>
      </c>
      <c r="AH38" t="s">
        <v>40</v>
      </c>
      <c r="AJ38" s="20"/>
      <c r="AM38">
        <v>1</v>
      </c>
      <c r="AN38">
        <v>2</v>
      </c>
      <c r="AO38">
        <v>1</v>
      </c>
      <c r="AQ38">
        <f t="shared" si="6"/>
        <v>4.1588830833596715</v>
      </c>
      <c r="AS38">
        <f t="shared" si="7"/>
        <v>3.2958368660043291</v>
      </c>
    </row>
    <row r="39" spans="2:45" ht="15" x14ac:dyDescent="0.25">
      <c r="B39" s="20" t="s">
        <v>44</v>
      </c>
      <c r="C39" s="20"/>
      <c r="D39" t="s">
        <v>40</v>
      </c>
      <c r="E39">
        <v>570</v>
      </c>
      <c r="F39" t="s">
        <v>122</v>
      </c>
      <c r="G39" s="7" t="s">
        <v>40</v>
      </c>
      <c r="H39">
        <f>4.7*365</f>
        <v>1715.5</v>
      </c>
      <c r="I39" s="5">
        <f>((L39*(E39/H39)*24)/1000)/E39</f>
        <v>1.2171378606820167E-2</v>
      </c>
      <c r="K39">
        <v>657</v>
      </c>
      <c r="L39">
        <v>870</v>
      </c>
      <c r="M39">
        <v>275</v>
      </c>
      <c r="N39">
        <v>58</v>
      </c>
      <c r="O39" t="s">
        <v>40</v>
      </c>
      <c r="P39" t="s">
        <v>40</v>
      </c>
      <c r="Q39">
        <v>501</v>
      </c>
      <c r="R39">
        <v>42</v>
      </c>
      <c r="S39" t="s">
        <v>40</v>
      </c>
      <c r="T39" t="s">
        <v>40</v>
      </c>
      <c r="X39" t="s">
        <v>40</v>
      </c>
      <c r="Y39" t="s">
        <v>40</v>
      </c>
      <c r="Z39" t="s">
        <v>40</v>
      </c>
      <c r="AA39" t="s">
        <v>40</v>
      </c>
      <c r="AB39" t="s">
        <v>40</v>
      </c>
      <c r="AC39" t="s">
        <v>40</v>
      </c>
      <c r="AF39" t="s">
        <v>40</v>
      </c>
      <c r="AG39" t="s">
        <v>40</v>
      </c>
      <c r="AH39" t="s">
        <v>40</v>
      </c>
      <c r="AJ39" s="21" t="s">
        <v>121</v>
      </c>
      <c r="AM39">
        <v>2</v>
      </c>
      <c r="AN39">
        <v>2</v>
      </c>
      <c r="AO39">
        <v>1</v>
      </c>
      <c r="AQ39">
        <f t="shared" si="6"/>
        <v>5.5451774444795623</v>
      </c>
      <c r="AS39">
        <f t="shared" si="7"/>
        <v>4.3944491546724391</v>
      </c>
    </row>
    <row r="40" spans="2:45" ht="15" x14ac:dyDescent="0.25">
      <c r="B40" s="20" t="s">
        <v>44</v>
      </c>
      <c r="C40" s="20"/>
      <c r="D40" t="s">
        <v>40</v>
      </c>
      <c r="E40">
        <v>570</v>
      </c>
      <c r="F40" t="s">
        <v>123</v>
      </c>
      <c r="G40" s="7" t="s">
        <v>40</v>
      </c>
      <c r="H40">
        <f>4.7*365</f>
        <v>1715.5</v>
      </c>
      <c r="I40" s="5">
        <f>((L40*(E40/H40)*24)/1000)/E40</f>
        <v>1.2031477703293502E-2</v>
      </c>
      <c r="K40">
        <v>565</v>
      </c>
      <c r="L40">
        <v>860</v>
      </c>
      <c r="M40">
        <v>161</v>
      </c>
      <c r="N40">
        <v>72</v>
      </c>
      <c r="O40" t="s">
        <v>40</v>
      </c>
      <c r="P40" t="s">
        <v>40</v>
      </c>
      <c r="Q40">
        <v>403</v>
      </c>
      <c r="R40">
        <v>53</v>
      </c>
      <c r="S40" t="s">
        <v>40</v>
      </c>
      <c r="T40" t="s">
        <v>40</v>
      </c>
      <c r="X40" t="s">
        <v>40</v>
      </c>
      <c r="Y40" t="s">
        <v>40</v>
      </c>
      <c r="Z40" t="s">
        <v>40</v>
      </c>
      <c r="AA40" t="s">
        <v>40</v>
      </c>
      <c r="AB40" t="s">
        <v>40</v>
      </c>
      <c r="AC40" t="s">
        <v>40</v>
      </c>
      <c r="AF40" t="s">
        <v>40</v>
      </c>
      <c r="AG40" t="s">
        <v>40</v>
      </c>
      <c r="AH40" t="s">
        <v>40</v>
      </c>
      <c r="AJ40" s="21"/>
      <c r="AM40">
        <v>2</v>
      </c>
      <c r="AN40">
        <v>2</v>
      </c>
      <c r="AO40">
        <v>1</v>
      </c>
      <c r="AQ40">
        <f t="shared" si="6"/>
        <v>5.5451774444795623</v>
      </c>
      <c r="AS40">
        <f t="shared" si="7"/>
        <v>4.3944491546724391</v>
      </c>
    </row>
    <row r="41" spans="2:45" x14ac:dyDescent="0.2">
      <c r="B41" s="20" t="s">
        <v>44</v>
      </c>
      <c r="C41" s="20"/>
      <c r="D41" t="s">
        <v>40</v>
      </c>
      <c r="E41">
        <v>3437</v>
      </c>
      <c r="F41">
        <v>25</v>
      </c>
      <c r="G41" s="7" t="s">
        <v>40</v>
      </c>
      <c r="H41">
        <v>48</v>
      </c>
      <c r="I41">
        <v>0.26</v>
      </c>
      <c r="K41">
        <v>219</v>
      </c>
      <c r="L41">
        <v>523</v>
      </c>
      <c r="M41">
        <v>72</v>
      </c>
      <c r="N41">
        <v>72</v>
      </c>
      <c r="O41" t="s">
        <v>40</v>
      </c>
      <c r="P41" t="s">
        <v>40</v>
      </c>
      <c r="Q41">
        <v>170</v>
      </c>
      <c r="R41">
        <v>68</v>
      </c>
      <c r="S41" t="s">
        <v>40</v>
      </c>
      <c r="T41" t="s">
        <v>40</v>
      </c>
      <c r="X41" t="s">
        <v>40</v>
      </c>
      <c r="Y41" t="s">
        <v>40</v>
      </c>
      <c r="Z41" t="s">
        <v>40</v>
      </c>
      <c r="AA41" t="s">
        <v>40</v>
      </c>
      <c r="AB41" t="s">
        <v>40</v>
      </c>
      <c r="AC41" t="s">
        <v>40</v>
      </c>
      <c r="AF41" t="s">
        <v>40</v>
      </c>
      <c r="AG41" t="s">
        <v>40</v>
      </c>
      <c r="AH41" t="s">
        <v>40</v>
      </c>
      <c r="AJ41" t="s">
        <v>126</v>
      </c>
      <c r="AK41" t="s">
        <v>125</v>
      </c>
      <c r="AM41" t="s">
        <v>40</v>
      </c>
      <c r="AN41" t="s">
        <v>40</v>
      </c>
      <c r="AO41" t="s">
        <v>40</v>
      </c>
      <c r="AQ41" t="s">
        <v>40</v>
      </c>
      <c r="AS41" t="s">
        <v>40</v>
      </c>
    </row>
    <row r="42" spans="2:45" x14ac:dyDescent="0.2">
      <c r="B42" s="20" t="s">
        <v>44</v>
      </c>
      <c r="C42" s="20"/>
      <c r="D42" t="s">
        <v>40</v>
      </c>
      <c r="E42">
        <v>3437</v>
      </c>
      <c r="F42" t="s">
        <v>127</v>
      </c>
      <c r="G42">
        <v>4</v>
      </c>
      <c r="H42">
        <v>48</v>
      </c>
      <c r="I42" t="s">
        <v>40</v>
      </c>
      <c r="K42" t="s">
        <v>40</v>
      </c>
      <c r="L42" t="s">
        <v>40</v>
      </c>
      <c r="M42" t="s">
        <v>40</v>
      </c>
      <c r="N42">
        <f>(30+12+77.3+55)/4</f>
        <v>43.575000000000003</v>
      </c>
      <c r="O42" t="s">
        <v>40</v>
      </c>
      <c r="P42" t="s">
        <v>40</v>
      </c>
      <c r="Q42" t="s">
        <v>40</v>
      </c>
      <c r="R42">
        <f>(66.9+63.6+53.8+58.3)/4</f>
        <v>60.650000000000006</v>
      </c>
      <c r="S42" t="s">
        <v>40</v>
      </c>
      <c r="T42" t="s">
        <v>40</v>
      </c>
      <c r="X42">
        <v>0.04</v>
      </c>
      <c r="Y42" t="s">
        <v>40</v>
      </c>
      <c r="Z42" t="s">
        <v>40</v>
      </c>
      <c r="AA42" t="s">
        <v>40</v>
      </c>
      <c r="AB42" t="s">
        <v>40</v>
      </c>
      <c r="AC42" t="s">
        <v>40</v>
      </c>
      <c r="AF42" t="s">
        <v>40</v>
      </c>
      <c r="AG42" t="s">
        <v>40</v>
      </c>
      <c r="AH42" t="s">
        <v>40</v>
      </c>
      <c r="AJ42" s="20" t="s">
        <v>87</v>
      </c>
      <c r="AM42" t="s">
        <v>40</v>
      </c>
      <c r="AN42" t="s">
        <v>40</v>
      </c>
      <c r="AO42" t="s">
        <v>40</v>
      </c>
      <c r="AQ42" t="s">
        <v>40</v>
      </c>
      <c r="AS42" t="s">
        <v>40</v>
      </c>
    </row>
    <row r="43" spans="2:45" x14ac:dyDescent="0.2">
      <c r="B43" s="20" t="s">
        <v>44</v>
      </c>
      <c r="C43" s="20"/>
      <c r="D43" t="s">
        <v>40</v>
      </c>
      <c r="E43">
        <v>4468</v>
      </c>
      <c r="F43" t="s">
        <v>128</v>
      </c>
      <c r="G43">
        <v>4</v>
      </c>
      <c r="H43">
        <v>48</v>
      </c>
      <c r="I43" t="s">
        <v>40</v>
      </c>
      <c r="K43" t="s">
        <v>40</v>
      </c>
      <c r="L43" t="s">
        <v>40</v>
      </c>
      <c r="M43" t="s">
        <v>40</v>
      </c>
      <c r="N43">
        <f>(43.9+47.4+47.4+42.7)/4</f>
        <v>45.349999999999994</v>
      </c>
      <c r="O43" t="s">
        <v>40</v>
      </c>
      <c r="P43" t="s">
        <v>40</v>
      </c>
      <c r="Q43" t="s">
        <v>40</v>
      </c>
      <c r="R43">
        <f>(35.1+56.1+73.7+70.3)/4</f>
        <v>58.8</v>
      </c>
      <c r="S43" t="s">
        <v>40</v>
      </c>
      <c r="T43" t="s">
        <v>40</v>
      </c>
      <c r="X43">
        <v>5.5E-2</v>
      </c>
      <c r="Y43" t="s">
        <v>40</v>
      </c>
      <c r="Z43" t="s">
        <v>40</v>
      </c>
      <c r="AA43" t="s">
        <v>40</v>
      </c>
      <c r="AB43" t="s">
        <v>40</v>
      </c>
      <c r="AC43" t="s">
        <v>40</v>
      </c>
      <c r="AF43" t="s">
        <v>40</v>
      </c>
      <c r="AG43" t="s">
        <v>40</v>
      </c>
      <c r="AH43" t="s">
        <v>40</v>
      </c>
      <c r="AJ43" s="20"/>
      <c r="AM43" t="s">
        <v>40</v>
      </c>
      <c r="AN43" t="s">
        <v>40</v>
      </c>
      <c r="AO43" t="s">
        <v>40</v>
      </c>
      <c r="AQ43" t="s">
        <v>40</v>
      </c>
      <c r="AS43" t="s">
        <v>40</v>
      </c>
    </row>
    <row r="44" spans="2:45" x14ac:dyDescent="0.2">
      <c r="B44" s="20" t="s">
        <v>44</v>
      </c>
      <c r="C44" s="20"/>
      <c r="D44" t="s">
        <v>40</v>
      </c>
      <c r="E44">
        <f>2*6*3.45</f>
        <v>41.400000000000006</v>
      </c>
      <c r="F44" t="s">
        <v>40</v>
      </c>
      <c r="G44" s="7" t="s">
        <v>40</v>
      </c>
      <c r="H44">
        <v>24</v>
      </c>
      <c r="I44" t="s">
        <v>40</v>
      </c>
      <c r="K44">
        <v>283</v>
      </c>
      <c r="L44" t="s">
        <v>40</v>
      </c>
      <c r="M44">
        <v>61</v>
      </c>
      <c r="N44">
        <f>((K44-M44)/K44)*100</f>
        <v>78.445229681978802</v>
      </c>
      <c r="O44" t="s">
        <v>40</v>
      </c>
      <c r="P44" t="s">
        <v>40</v>
      </c>
      <c r="Q44" t="s">
        <v>40</v>
      </c>
      <c r="R44" t="s">
        <v>40</v>
      </c>
      <c r="S44" t="s">
        <v>40</v>
      </c>
      <c r="T44" t="s">
        <v>40</v>
      </c>
      <c r="X44" t="s">
        <v>40</v>
      </c>
      <c r="Y44" t="s">
        <v>40</v>
      </c>
      <c r="Z44" t="s">
        <v>40</v>
      </c>
      <c r="AA44" t="s">
        <v>40</v>
      </c>
      <c r="AB44" t="s">
        <v>40</v>
      </c>
      <c r="AC44" t="s">
        <v>40</v>
      </c>
      <c r="AF44" t="s">
        <v>40</v>
      </c>
      <c r="AG44" t="s">
        <v>40</v>
      </c>
      <c r="AH44" t="s">
        <v>40</v>
      </c>
      <c r="AJ44" t="s">
        <v>90</v>
      </c>
      <c r="AM44" t="s">
        <v>40</v>
      </c>
      <c r="AN44" t="s">
        <v>40</v>
      </c>
      <c r="AO44" t="s">
        <v>40</v>
      </c>
      <c r="AQ44" t="s">
        <v>40</v>
      </c>
      <c r="AS44" t="s">
        <v>40</v>
      </c>
    </row>
    <row r="45" spans="2:45" x14ac:dyDescent="0.2">
      <c r="B45" s="20" t="s">
        <v>44</v>
      </c>
      <c r="C45" s="20"/>
      <c r="D45" t="s">
        <v>40</v>
      </c>
      <c r="E45">
        <f>2*6*3.45</f>
        <v>41.400000000000006</v>
      </c>
      <c r="F45" t="s">
        <v>40</v>
      </c>
      <c r="G45" s="7" t="s">
        <v>40</v>
      </c>
      <c r="H45">
        <v>12</v>
      </c>
      <c r="I45" t="s">
        <v>40</v>
      </c>
      <c r="K45">
        <v>298</v>
      </c>
      <c r="L45" t="s">
        <v>40</v>
      </c>
      <c r="M45">
        <v>167</v>
      </c>
      <c r="N45">
        <f>((K45-M45)/K45)*100</f>
        <v>43.959731543624159</v>
      </c>
      <c r="O45" t="s">
        <v>40</v>
      </c>
      <c r="P45" t="s">
        <v>40</v>
      </c>
      <c r="Q45" t="s">
        <v>40</v>
      </c>
      <c r="R45" t="s">
        <v>40</v>
      </c>
      <c r="S45" t="s">
        <v>40</v>
      </c>
      <c r="T45" t="s">
        <v>40</v>
      </c>
      <c r="X45" t="s">
        <v>40</v>
      </c>
      <c r="Y45" t="s">
        <v>40</v>
      </c>
      <c r="Z45" t="s">
        <v>40</v>
      </c>
      <c r="AA45" t="s">
        <v>40</v>
      </c>
      <c r="AB45" t="s">
        <v>40</v>
      </c>
      <c r="AC45" t="s">
        <v>40</v>
      </c>
      <c r="AF45" t="s">
        <v>40</v>
      </c>
      <c r="AG45" t="s">
        <v>40</v>
      </c>
      <c r="AH45" t="s">
        <v>40</v>
      </c>
      <c r="AJ45" t="s">
        <v>90</v>
      </c>
      <c r="AM45" t="s">
        <v>40</v>
      </c>
      <c r="AN45" t="s">
        <v>40</v>
      </c>
      <c r="AO45" t="s">
        <v>40</v>
      </c>
      <c r="AQ45" t="s">
        <v>40</v>
      </c>
      <c r="AS45" t="s">
        <v>40</v>
      </c>
    </row>
    <row r="46" spans="2:45" x14ac:dyDescent="0.2">
      <c r="B46" s="20" t="s">
        <v>44</v>
      </c>
      <c r="C46" s="20"/>
      <c r="D46" t="s">
        <v>40</v>
      </c>
      <c r="E46">
        <v>11475</v>
      </c>
      <c r="F46">
        <v>17</v>
      </c>
      <c r="G46" s="7" t="s">
        <v>40</v>
      </c>
      <c r="H46">
        <v>60</v>
      </c>
      <c r="I46">
        <v>0.3</v>
      </c>
      <c r="K46">
        <v>347</v>
      </c>
      <c r="L46" s="6">
        <v>745</v>
      </c>
      <c r="M46" s="6">
        <v>71</v>
      </c>
      <c r="N46">
        <v>79</v>
      </c>
      <c r="O46" t="s">
        <v>40</v>
      </c>
      <c r="P46" t="s">
        <v>40</v>
      </c>
      <c r="Q46">
        <v>153</v>
      </c>
      <c r="R46">
        <v>79</v>
      </c>
      <c r="S46" t="s">
        <v>40</v>
      </c>
      <c r="T46" t="s">
        <v>40</v>
      </c>
      <c r="X46" t="s">
        <v>40</v>
      </c>
      <c r="Y46" t="s">
        <v>40</v>
      </c>
      <c r="Z46" t="s">
        <v>40</v>
      </c>
      <c r="AA46" t="s">
        <v>40</v>
      </c>
      <c r="AB46" t="s">
        <v>40</v>
      </c>
      <c r="AC46" t="s">
        <v>40</v>
      </c>
      <c r="AF46" t="s">
        <v>40</v>
      </c>
      <c r="AG46" t="s">
        <v>40</v>
      </c>
      <c r="AH46" t="s">
        <v>40</v>
      </c>
      <c r="AJ46" t="s">
        <v>91</v>
      </c>
      <c r="AM46" t="s">
        <v>40</v>
      </c>
      <c r="AN46" t="s">
        <v>40</v>
      </c>
      <c r="AO46" t="s">
        <v>40</v>
      </c>
      <c r="AQ46" t="s">
        <v>40</v>
      </c>
      <c r="AS46" t="s">
        <v>40</v>
      </c>
    </row>
    <row r="47" spans="2:45" ht="15" x14ac:dyDescent="0.25">
      <c r="B47" s="20" t="s">
        <v>150</v>
      </c>
      <c r="C47" s="20"/>
      <c r="D47" t="s">
        <v>40</v>
      </c>
      <c r="E47" s="15">
        <f>230/1000</f>
        <v>0.23</v>
      </c>
      <c r="F47" s="17">
        <v>10.5</v>
      </c>
      <c r="G47" s="16">
        <v>110</v>
      </c>
      <c r="H47" s="3">
        <v>55.2</v>
      </c>
      <c r="I47" s="5">
        <f>((L47*(E47/H47)*24)/1000)/E47</f>
        <v>0.19608695652173913</v>
      </c>
      <c r="K47" s="14">
        <v>277</v>
      </c>
      <c r="L47" s="14">
        <v>451</v>
      </c>
      <c r="M47" s="14">
        <v>80</v>
      </c>
      <c r="N47" s="6">
        <f>((K47-M47)/K47)*100</f>
        <v>71.119133574007222</v>
      </c>
      <c r="O47" s="3">
        <v>76</v>
      </c>
      <c r="P47" s="3"/>
      <c r="Q47" s="3">
        <v>239</v>
      </c>
      <c r="R47" s="6">
        <f>((L47-Q47)/L47)*100</f>
        <v>47.006651884700666</v>
      </c>
      <c r="S47" s="18">
        <v>130</v>
      </c>
      <c r="T47" s="18">
        <v>73</v>
      </c>
      <c r="U47" s="18">
        <v>109</v>
      </c>
      <c r="V47" s="18">
        <v>-15</v>
      </c>
      <c r="X47">
        <v>0.04</v>
      </c>
      <c r="Y47" s="13" t="s">
        <v>40</v>
      </c>
      <c r="Z47" s="3" t="s">
        <v>40</v>
      </c>
      <c r="AA47" s="13" t="s">
        <v>40</v>
      </c>
      <c r="AB47" s="3" t="s">
        <v>40</v>
      </c>
      <c r="AC47">
        <v>1.5800000000000002E-2</v>
      </c>
      <c r="AE47" s="3">
        <v>3.36</v>
      </c>
      <c r="AF47" s="3" t="s">
        <v>40</v>
      </c>
      <c r="AG47" s="12"/>
      <c r="AH47" s="12"/>
      <c r="AJ47" s="3" t="s">
        <v>149</v>
      </c>
      <c r="AK47" s="1"/>
    </row>
    <row r="48" spans="2:45" x14ac:dyDescent="0.2">
      <c r="B48" t="s">
        <v>150</v>
      </c>
      <c r="D48" t="s">
        <v>40</v>
      </c>
      <c r="E48">
        <v>0.23</v>
      </c>
      <c r="F48">
        <v>16.5</v>
      </c>
      <c r="G48">
        <v>534</v>
      </c>
      <c r="H48">
        <v>73.599999999999994</v>
      </c>
      <c r="I48">
        <v>0.18</v>
      </c>
      <c r="K48">
        <v>277</v>
      </c>
      <c r="L48">
        <v>317.95199999999994</v>
      </c>
      <c r="N48">
        <v>76.7</v>
      </c>
      <c r="P48">
        <v>74.3</v>
      </c>
      <c r="R48">
        <v>52.4</v>
      </c>
      <c r="T48">
        <v>69</v>
      </c>
      <c r="V48">
        <v>-17</v>
      </c>
      <c r="X48">
        <v>6.4000000000000003E-3</v>
      </c>
      <c r="Y48" t="s">
        <v>40</v>
      </c>
      <c r="Z48">
        <v>1.55</v>
      </c>
      <c r="AA48">
        <v>2.81</v>
      </c>
      <c r="AB48">
        <v>171</v>
      </c>
      <c r="AC48">
        <v>3.1899999999999998E-2</v>
      </c>
      <c r="AE48">
        <v>3.36</v>
      </c>
      <c r="AF48" t="s">
        <v>40</v>
      </c>
      <c r="AG48" t="s">
        <v>40</v>
      </c>
      <c r="AH48" t="s">
        <v>40</v>
      </c>
      <c r="AJ48" t="s">
        <v>151</v>
      </c>
      <c r="AS48">
        <f>MEDIAN(AS3:AS46)</f>
        <v>4.3944491546724391</v>
      </c>
    </row>
    <row r="49" spans="45:45" x14ac:dyDescent="0.2">
      <c r="AS49">
        <f>_xlfn.PERCENTILE.INC(AS3:AS46,0.25)</f>
        <v>3.2958368660043291</v>
      </c>
    </row>
    <row r="50" spans="45:45" x14ac:dyDescent="0.2">
      <c r="AS50">
        <f>_xlfn.PERCENTILE.INC(AS3:AS46,0.75)</f>
        <v>4.3944491546724391</v>
      </c>
    </row>
    <row r="52" spans="45:45" x14ac:dyDescent="0.2">
      <c r="AS52">
        <f>MAX(AS3:AS46)</f>
        <v>6.5916737320086582</v>
      </c>
    </row>
    <row r="53" spans="45:45" x14ac:dyDescent="0.2">
      <c r="AS53">
        <f>MIN(AS4:AS46)</f>
        <v>3.2958368660043291</v>
      </c>
    </row>
  </sheetData>
  <mergeCells count="45">
    <mergeCell ref="B45:C45"/>
    <mergeCell ref="B41:C41"/>
    <mergeCell ref="B42:C42"/>
    <mergeCell ref="AJ42:AJ43"/>
    <mergeCell ref="B43:C43"/>
    <mergeCell ref="B44:C44"/>
    <mergeCell ref="B40:C40"/>
    <mergeCell ref="AJ39:AJ40"/>
    <mergeCell ref="B32:C32"/>
    <mergeCell ref="B33:C33"/>
    <mergeCell ref="B34:C34"/>
    <mergeCell ref="B35:C35"/>
    <mergeCell ref="B36:C36"/>
    <mergeCell ref="B3:C3"/>
    <mergeCell ref="B46:C46"/>
    <mergeCell ref="B5:C5"/>
    <mergeCell ref="B6:C6"/>
    <mergeCell ref="B7:C7"/>
    <mergeCell ref="B8:C8"/>
    <mergeCell ref="B12:C12"/>
    <mergeCell ref="B15:C15"/>
    <mergeCell ref="B16:C16"/>
    <mergeCell ref="B17:C17"/>
    <mergeCell ref="B9:C9"/>
    <mergeCell ref="B10:C10"/>
    <mergeCell ref="B11:C11"/>
    <mergeCell ref="B18:C18"/>
    <mergeCell ref="B23:C23"/>
    <mergeCell ref="B24:C24"/>
    <mergeCell ref="B47:C47"/>
    <mergeCell ref="B4:C4"/>
    <mergeCell ref="B13:C13"/>
    <mergeCell ref="AJ13:AJ14"/>
    <mergeCell ref="B14:C14"/>
    <mergeCell ref="B25:C25"/>
    <mergeCell ref="B26:C26"/>
    <mergeCell ref="B37:C37"/>
    <mergeCell ref="B38:C38"/>
    <mergeCell ref="AJ15:AJ38"/>
    <mergeCell ref="B39:C39"/>
    <mergeCell ref="B27:C27"/>
    <mergeCell ref="B28:C28"/>
    <mergeCell ref="B29:C29"/>
    <mergeCell ref="B30:C30"/>
    <mergeCell ref="B31:C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C1DB-57FE-4453-9248-9DC89E88BEA6}">
  <dimension ref="B1:AI43"/>
  <sheetViews>
    <sheetView topLeftCell="O4" workbookViewId="0">
      <selection activeCell="AF33" sqref="AF33:AF34"/>
    </sheetView>
  </sheetViews>
  <sheetFormatPr defaultRowHeight="14.25" x14ac:dyDescent="0.2"/>
  <sheetData>
    <row r="1" spans="2:35" ht="114" x14ac:dyDescent="0.2">
      <c r="C1" t="s">
        <v>12</v>
      </c>
      <c r="D1" s="4" t="s">
        <v>13</v>
      </c>
      <c r="E1" s="4" t="s">
        <v>14</v>
      </c>
      <c r="F1" s="4" t="s">
        <v>15</v>
      </c>
      <c r="G1" s="4" t="s">
        <v>16</v>
      </c>
      <c r="H1" s="4" t="s">
        <v>17</v>
      </c>
      <c r="I1" s="4" t="s">
        <v>18</v>
      </c>
      <c r="K1" s="4" t="s">
        <v>19</v>
      </c>
      <c r="L1" s="4" t="s">
        <v>20</v>
      </c>
      <c r="M1" s="4" t="s">
        <v>21</v>
      </c>
      <c r="N1" s="4" t="s">
        <v>22</v>
      </c>
      <c r="O1" s="4" t="s">
        <v>23</v>
      </c>
      <c r="P1" s="4" t="s">
        <v>24</v>
      </c>
      <c r="Q1" s="4" t="s">
        <v>25</v>
      </c>
      <c r="R1" s="4" t="s">
        <v>26</v>
      </c>
      <c r="S1" s="4" t="s">
        <v>27</v>
      </c>
      <c r="T1" s="4" t="s">
        <v>28</v>
      </c>
      <c r="V1" s="4" t="s">
        <v>29</v>
      </c>
      <c r="W1" s="4" t="s">
        <v>30</v>
      </c>
      <c r="X1" s="4" t="s">
        <v>31</v>
      </c>
      <c r="Y1" s="4" t="s">
        <v>32</v>
      </c>
      <c r="Z1" s="4" t="s">
        <v>33</v>
      </c>
      <c r="AA1" s="4" t="s">
        <v>34</v>
      </c>
      <c r="AC1" s="4" t="s">
        <v>35</v>
      </c>
      <c r="AD1" s="4" t="s">
        <v>36</v>
      </c>
      <c r="AE1" s="4" t="s">
        <v>37</v>
      </c>
      <c r="AF1" s="4" t="s">
        <v>38</v>
      </c>
      <c r="AH1" s="4" t="s">
        <v>39</v>
      </c>
    </row>
    <row r="2" spans="2:35" x14ac:dyDescent="0.2">
      <c r="B2" s="20" t="s">
        <v>44</v>
      </c>
      <c r="C2" s="20"/>
      <c r="D2" t="s">
        <v>102</v>
      </c>
      <c r="E2">
        <v>5000</v>
      </c>
      <c r="F2">
        <v>18.600000000000001</v>
      </c>
      <c r="G2" s="7" t="s">
        <v>106</v>
      </c>
      <c r="H2">
        <v>115</v>
      </c>
      <c r="I2">
        <v>0.12</v>
      </c>
      <c r="K2">
        <v>256</v>
      </c>
      <c r="L2" s="6">
        <v>589</v>
      </c>
      <c r="M2" s="6"/>
      <c r="N2">
        <v>55</v>
      </c>
      <c r="P2" t="s">
        <v>40</v>
      </c>
      <c r="R2">
        <v>22</v>
      </c>
      <c r="T2">
        <v>38</v>
      </c>
      <c r="V2">
        <v>1.7000000000000001E-2</v>
      </c>
      <c r="W2" t="s">
        <v>40</v>
      </c>
      <c r="X2">
        <v>0.31</v>
      </c>
      <c r="Z2">
        <v>168</v>
      </c>
      <c r="AA2">
        <v>5.45E-2</v>
      </c>
      <c r="AE2">
        <v>0.1</v>
      </c>
      <c r="AF2" t="s">
        <v>40</v>
      </c>
      <c r="AH2" t="s">
        <v>107</v>
      </c>
    </row>
    <row r="3" spans="2:35" x14ac:dyDescent="0.2">
      <c r="B3" s="20" t="s">
        <v>44</v>
      </c>
      <c r="C3" s="20"/>
      <c r="D3" t="s">
        <v>40</v>
      </c>
      <c r="E3">
        <v>1</v>
      </c>
      <c r="F3">
        <v>18</v>
      </c>
      <c r="G3" t="s">
        <v>40</v>
      </c>
      <c r="H3">
        <v>24</v>
      </c>
      <c r="I3">
        <v>0.83</v>
      </c>
      <c r="K3">
        <v>484</v>
      </c>
      <c r="L3" s="6">
        <v>832</v>
      </c>
      <c r="M3" s="6"/>
      <c r="N3">
        <v>56</v>
      </c>
      <c r="P3" t="s">
        <v>40</v>
      </c>
      <c r="R3">
        <v>48</v>
      </c>
      <c r="S3" t="s">
        <v>40</v>
      </c>
      <c r="T3" t="s">
        <v>40</v>
      </c>
      <c r="W3" t="s">
        <v>40</v>
      </c>
      <c r="X3" t="s">
        <v>40</v>
      </c>
      <c r="Y3" t="s">
        <v>40</v>
      </c>
      <c r="Z3" t="s">
        <v>40</v>
      </c>
      <c r="AA3" t="s">
        <v>40</v>
      </c>
      <c r="AD3" t="s">
        <v>40</v>
      </c>
      <c r="AE3" t="s">
        <v>40</v>
      </c>
      <c r="AF3" t="s">
        <v>40</v>
      </c>
      <c r="AH3" t="s">
        <v>108</v>
      </c>
    </row>
    <row r="4" spans="2:35" ht="15" x14ac:dyDescent="0.25">
      <c r="B4" s="20" t="s">
        <v>44</v>
      </c>
      <c r="C4" s="20"/>
      <c r="D4" t="s">
        <v>40</v>
      </c>
      <c r="E4">
        <f>2*50*31</f>
        <v>3100</v>
      </c>
      <c r="F4" s="6">
        <f>AVERAGE(20,20.5,19.5,18,20,24,25,26.2,24.9,28,26,25)</f>
        <v>23.091666666666669</v>
      </c>
      <c r="G4">
        <v>365</v>
      </c>
      <c r="H4" s="6">
        <f>(E4/1469)*24</f>
        <v>50.646698434309059</v>
      </c>
      <c r="I4" s="5">
        <f>((L4*(E4/H4)*24)/1000)/E4</f>
        <v>0.27989978494623652</v>
      </c>
      <c r="K4" s="6">
        <f>AVERAGE(411,176,392,248,168,164,172,340,297,307,384,428)</f>
        <v>290.58333333333331</v>
      </c>
      <c r="L4" s="6">
        <f>AVERAGE(477,441,579,1373,861,473,524,365,503,542,502,448)</f>
        <v>590.66666666666663</v>
      </c>
      <c r="N4">
        <v>66.28</v>
      </c>
      <c r="O4" t="s">
        <v>40</v>
      </c>
      <c r="P4" t="s">
        <v>40</v>
      </c>
      <c r="R4">
        <v>41.68</v>
      </c>
      <c r="S4" t="s">
        <v>40</v>
      </c>
      <c r="T4" t="s">
        <v>40</v>
      </c>
      <c r="W4" t="s">
        <v>40</v>
      </c>
      <c r="X4" t="s">
        <v>40</v>
      </c>
      <c r="Y4" t="s">
        <v>40</v>
      </c>
      <c r="Z4" t="s">
        <v>40</v>
      </c>
      <c r="AA4" t="s">
        <v>40</v>
      </c>
      <c r="AD4" t="s">
        <v>40</v>
      </c>
      <c r="AE4" t="s">
        <v>40</v>
      </c>
      <c r="AF4" t="s">
        <v>40</v>
      </c>
      <c r="AH4" t="s">
        <v>48</v>
      </c>
    </row>
    <row r="5" spans="2:35" x14ac:dyDescent="0.2">
      <c r="B5" s="20" t="s">
        <v>44</v>
      </c>
      <c r="C5" s="20"/>
      <c r="D5" t="s">
        <v>40</v>
      </c>
      <c r="E5">
        <f>7000/11.2</f>
        <v>625</v>
      </c>
      <c r="F5" t="s">
        <v>109</v>
      </c>
      <c r="G5">
        <v>365</v>
      </c>
      <c r="H5">
        <f>11.7*24</f>
        <v>280.79999999999995</v>
      </c>
      <c r="K5">
        <v>341.5</v>
      </c>
      <c r="L5" s="6">
        <v>199.3</v>
      </c>
      <c r="M5" s="6"/>
      <c r="N5">
        <v>58.1</v>
      </c>
      <c r="O5" t="s">
        <v>40</v>
      </c>
      <c r="P5" t="s">
        <v>40</v>
      </c>
      <c r="R5">
        <v>26.24</v>
      </c>
      <c r="S5" t="s">
        <v>40</v>
      </c>
      <c r="T5" t="s">
        <v>40</v>
      </c>
      <c r="W5" t="s">
        <v>40</v>
      </c>
      <c r="X5" t="s">
        <v>40</v>
      </c>
      <c r="Y5" t="s">
        <v>40</v>
      </c>
      <c r="Z5" t="s">
        <v>40</v>
      </c>
      <c r="AA5" t="s">
        <v>40</v>
      </c>
      <c r="AD5" t="s">
        <v>40</v>
      </c>
      <c r="AE5" t="s">
        <v>40</v>
      </c>
      <c r="AF5" t="s">
        <v>40</v>
      </c>
      <c r="AH5" t="s">
        <v>110</v>
      </c>
    </row>
    <row r="6" spans="2:35" x14ac:dyDescent="0.2">
      <c r="B6" s="20" t="s">
        <v>44</v>
      </c>
      <c r="C6" s="20"/>
      <c r="D6" t="s">
        <v>40</v>
      </c>
      <c r="E6">
        <f>26*2</f>
        <v>52</v>
      </c>
      <c r="F6">
        <f>(30.5+12)/2</f>
        <v>21.25</v>
      </c>
      <c r="G6">
        <v>365</v>
      </c>
      <c r="H6">
        <v>48</v>
      </c>
      <c r="I6" t="s">
        <v>40</v>
      </c>
      <c r="K6">
        <v>320</v>
      </c>
      <c r="L6" t="s">
        <v>40</v>
      </c>
      <c r="M6">
        <v>150</v>
      </c>
      <c r="N6">
        <v>48.6</v>
      </c>
      <c r="O6" t="s">
        <v>40</v>
      </c>
      <c r="P6" t="s">
        <v>40</v>
      </c>
      <c r="Q6" t="s">
        <v>40</v>
      </c>
      <c r="R6" t="s">
        <v>40</v>
      </c>
      <c r="S6" t="s">
        <v>40</v>
      </c>
      <c r="T6" t="s">
        <v>40</v>
      </c>
      <c r="V6" t="s">
        <v>40</v>
      </c>
      <c r="W6" t="s">
        <v>40</v>
      </c>
      <c r="X6" t="s">
        <v>40</v>
      </c>
      <c r="Y6" t="s">
        <v>40</v>
      </c>
      <c r="Z6" t="s">
        <v>40</v>
      </c>
      <c r="AA6" t="s">
        <v>40</v>
      </c>
      <c r="AD6" t="s">
        <v>40</v>
      </c>
      <c r="AE6" t="s">
        <v>40</v>
      </c>
      <c r="AF6" t="s">
        <v>40</v>
      </c>
      <c r="AH6" t="s">
        <v>43</v>
      </c>
    </row>
    <row r="7" spans="2:35" x14ac:dyDescent="0.2">
      <c r="B7" s="20" t="s">
        <v>44</v>
      </c>
      <c r="C7" s="20"/>
      <c r="D7" t="s">
        <v>40</v>
      </c>
      <c r="E7">
        <f>3200*0.6</f>
        <v>1920</v>
      </c>
      <c r="F7">
        <v>16.600000000000001</v>
      </c>
      <c r="G7" t="s">
        <v>40</v>
      </c>
      <c r="H7">
        <f>0.4*24</f>
        <v>9.6000000000000014</v>
      </c>
      <c r="I7" t="s">
        <v>40</v>
      </c>
      <c r="K7">
        <f>(52.9+45.2)/2</f>
        <v>49.05</v>
      </c>
      <c r="L7" t="s">
        <v>40</v>
      </c>
      <c r="M7" t="s">
        <v>40</v>
      </c>
      <c r="N7">
        <f>(61.8+67.1)/2</f>
        <v>64.449999999999989</v>
      </c>
      <c r="O7" t="s">
        <v>40</v>
      </c>
      <c r="P7">
        <f>59</f>
        <v>59</v>
      </c>
      <c r="Q7" t="s">
        <v>40</v>
      </c>
      <c r="R7" t="s">
        <v>40</v>
      </c>
      <c r="S7" t="s">
        <v>40</v>
      </c>
      <c r="T7" t="s">
        <v>40</v>
      </c>
      <c r="V7">
        <v>2.5999999999999999E-2</v>
      </c>
      <c r="W7" t="s">
        <v>40</v>
      </c>
      <c r="X7" s="10">
        <f>(38.9*1000)/(3200*365)</f>
        <v>3.3304794520547944E-2</v>
      </c>
      <c r="Y7" t="s">
        <v>40</v>
      </c>
      <c r="Z7" t="s">
        <v>40</v>
      </c>
      <c r="AA7" t="s">
        <v>40</v>
      </c>
      <c r="AC7" t="s">
        <v>40</v>
      </c>
      <c r="AD7" t="s">
        <v>40</v>
      </c>
      <c r="AE7" t="s">
        <v>40</v>
      </c>
      <c r="AF7" t="s">
        <v>40</v>
      </c>
      <c r="AH7" t="s">
        <v>68</v>
      </c>
    </row>
    <row r="8" spans="2:35" ht="15" x14ac:dyDescent="0.25">
      <c r="B8" s="20" t="s">
        <v>44</v>
      </c>
      <c r="C8" s="20"/>
      <c r="D8" t="s">
        <v>113</v>
      </c>
      <c r="E8">
        <v>1400</v>
      </c>
      <c r="F8">
        <v>23.4</v>
      </c>
      <c r="G8">
        <f>10*4*7</f>
        <v>280</v>
      </c>
      <c r="H8" s="6">
        <f>E8/((225/2)/24)</f>
        <v>298.66666666666669</v>
      </c>
      <c r="I8" s="5">
        <f>((L8*(E8/H8)*24)/1000)/E8</f>
        <v>4.5482142857142853E-2</v>
      </c>
      <c r="K8">
        <v>283</v>
      </c>
      <c r="L8">
        <v>566</v>
      </c>
      <c r="M8">
        <v>214</v>
      </c>
      <c r="N8">
        <f>((K8-M8)/K8)*100</f>
        <v>24.381625441696116</v>
      </c>
      <c r="Q8">
        <v>402.5</v>
      </c>
      <c r="R8">
        <f>((L8-Q8)/L8)*100</f>
        <v>28.886925795053003</v>
      </c>
      <c r="V8" t="s">
        <v>40</v>
      </c>
      <c r="W8" t="s">
        <v>40</v>
      </c>
      <c r="X8" t="s">
        <v>40</v>
      </c>
      <c r="Y8" t="s">
        <v>40</v>
      </c>
      <c r="Z8" t="s">
        <v>40</v>
      </c>
      <c r="AA8" t="s">
        <v>40</v>
      </c>
      <c r="AD8" t="s">
        <v>40</v>
      </c>
      <c r="AE8" t="s">
        <v>40</v>
      </c>
      <c r="AF8" t="s">
        <v>40</v>
      </c>
      <c r="AH8" t="s">
        <v>70</v>
      </c>
    </row>
    <row r="9" spans="2:35" x14ac:dyDescent="0.2">
      <c r="B9" s="20" t="s">
        <v>44</v>
      </c>
      <c r="C9" s="20"/>
      <c r="D9" t="s">
        <v>40</v>
      </c>
      <c r="E9">
        <v>570</v>
      </c>
      <c r="F9">
        <v>18</v>
      </c>
      <c r="G9" s="7" t="s">
        <v>103</v>
      </c>
      <c r="H9">
        <v>115</v>
      </c>
      <c r="I9">
        <v>0.2</v>
      </c>
      <c r="K9">
        <v>594</v>
      </c>
      <c r="L9">
        <v>947</v>
      </c>
      <c r="M9">
        <v>217</v>
      </c>
      <c r="N9">
        <v>63</v>
      </c>
      <c r="O9">
        <v>146</v>
      </c>
      <c r="P9">
        <v>72</v>
      </c>
      <c r="Q9">
        <v>461</v>
      </c>
      <c r="R9">
        <v>51</v>
      </c>
      <c r="S9" t="s">
        <v>40</v>
      </c>
      <c r="T9" t="s">
        <v>40</v>
      </c>
      <c r="V9" t="s">
        <v>40</v>
      </c>
      <c r="W9" t="s">
        <v>40</v>
      </c>
      <c r="X9" t="s">
        <v>40</v>
      </c>
      <c r="Y9" t="s">
        <v>40</v>
      </c>
      <c r="Z9" t="s">
        <v>40</v>
      </c>
      <c r="AA9" t="s">
        <v>40</v>
      </c>
      <c r="AE9" t="s">
        <v>40</v>
      </c>
      <c r="AF9" t="s">
        <v>40</v>
      </c>
      <c r="AH9" s="21" t="s">
        <v>104</v>
      </c>
    </row>
    <row r="10" spans="2:35" x14ac:dyDescent="0.2">
      <c r="B10" s="20" t="s">
        <v>44</v>
      </c>
      <c r="C10" s="20"/>
      <c r="D10" t="s">
        <v>40</v>
      </c>
      <c r="E10">
        <v>570</v>
      </c>
      <c r="F10">
        <v>18</v>
      </c>
      <c r="G10" s="7" t="s">
        <v>105</v>
      </c>
      <c r="H10">
        <f>3.8*24</f>
        <v>91.199999999999989</v>
      </c>
      <c r="I10">
        <v>0.24</v>
      </c>
      <c r="K10">
        <v>504</v>
      </c>
      <c r="L10" s="6">
        <v>907</v>
      </c>
      <c r="M10" s="6">
        <v>170</v>
      </c>
      <c r="N10">
        <v>66</v>
      </c>
      <c r="O10">
        <v>120</v>
      </c>
      <c r="P10">
        <v>71</v>
      </c>
      <c r="Q10">
        <v>365</v>
      </c>
      <c r="R10">
        <v>60</v>
      </c>
      <c r="S10" t="s">
        <v>40</v>
      </c>
      <c r="T10" t="s">
        <v>40</v>
      </c>
      <c r="V10" t="s">
        <v>40</v>
      </c>
      <c r="W10" t="s">
        <v>40</v>
      </c>
      <c r="X10" t="s">
        <v>40</v>
      </c>
      <c r="Y10" t="s">
        <v>40</v>
      </c>
      <c r="Z10" t="s">
        <v>40</v>
      </c>
      <c r="AA10" t="s">
        <v>40</v>
      </c>
      <c r="AE10" t="s">
        <v>40</v>
      </c>
      <c r="AF10" t="s">
        <v>40</v>
      </c>
      <c r="AH10" s="21"/>
    </row>
    <row r="11" spans="2:35" x14ac:dyDescent="0.2">
      <c r="B11" s="20" t="s">
        <v>115</v>
      </c>
      <c r="C11" s="20"/>
      <c r="D11" t="s">
        <v>40</v>
      </c>
      <c r="E11">
        <v>88.4</v>
      </c>
      <c r="F11" t="s">
        <v>117</v>
      </c>
      <c r="G11" s="7" t="s">
        <v>40</v>
      </c>
      <c r="H11">
        <v>25</v>
      </c>
      <c r="I11">
        <v>0.61299999999999999</v>
      </c>
      <c r="K11">
        <v>236</v>
      </c>
      <c r="L11">
        <v>529</v>
      </c>
      <c r="M11" t="s">
        <v>40</v>
      </c>
      <c r="N11">
        <v>64.5</v>
      </c>
      <c r="O11" t="s">
        <v>40</v>
      </c>
      <c r="P11" t="s">
        <v>40</v>
      </c>
      <c r="Q11" t="s">
        <v>40</v>
      </c>
      <c r="R11">
        <v>60</v>
      </c>
      <c r="S11" t="s">
        <v>40</v>
      </c>
      <c r="T11" t="s">
        <v>40</v>
      </c>
      <c r="V11" t="s">
        <v>40</v>
      </c>
      <c r="W11" t="s">
        <v>40</v>
      </c>
      <c r="X11" t="s">
        <v>40</v>
      </c>
      <c r="Y11" t="s">
        <v>40</v>
      </c>
      <c r="Z11" t="s">
        <v>40</v>
      </c>
      <c r="AA11" t="s">
        <v>40</v>
      </c>
      <c r="AD11" t="s">
        <v>40</v>
      </c>
      <c r="AE11" t="s">
        <v>40</v>
      </c>
      <c r="AF11" t="s">
        <v>40</v>
      </c>
      <c r="AH11" s="20" t="s">
        <v>75</v>
      </c>
      <c r="AI11">
        <v>1</v>
      </c>
    </row>
    <row r="12" spans="2:35" x14ac:dyDescent="0.2">
      <c r="B12" s="20" t="s">
        <v>115</v>
      </c>
      <c r="C12" s="20"/>
      <c r="D12" t="s">
        <v>40</v>
      </c>
      <c r="E12">
        <v>88.4</v>
      </c>
      <c r="F12" t="s">
        <v>117</v>
      </c>
      <c r="G12" s="7" t="s">
        <v>40</v>
      </c>
      <c r="H12">
        <v>21</v>
      </c>
      <c r="I12">
        <v>0.42499999999999999</v>
      </c>
      <c r="K12">
        <v>236</v>
      </c>
      <c r="L12">
        <v>529</v>
      </c>
      <c r="M12" t="s">
        <v>40</v>
      </c>
      <c r="N12">
        <v>39</v>
      </c>
      <c r="O12" t="s">
        <v>40</v>
      </c>
      <c r="P12" t="s">
        <v>40</v>
      </c>
      <c r="Q12" t="s">
        <v>40</v>
      </c>
      <c r="R12">
        <v>39.6</v>
      </c>
      <c r="S12" t="s">
        <v>40</v>
      </c>
      <c r="T12" t="s">
        <v>40</v>
      </c>
      <c r="V12" t="s">
        <v>40</v>
      </c>
      <c r="W12" t="s">
        <v>40</v>
      </c>
      <c r="X12" t="s">
        <v>40</v>
      </c>
      <c r="Y12" t="s">
        <v>40</v>
      </c>
      <c r="Z12" t="s">
        <v>40</v>
      </c>
      <c r="AA12" t="s">
        <v>40</v>
      </c>
      <c r="AD12" t="s">
        <v>40</v>
      </c>
      <c r="AE12" t="s">
        <v>40</v>
      </c>
      <c r="AF12" t="s">
        <v>40</v>
      </c>
      <c r="AH12" s="20"/>
      <c r="AI12">
        <v>2</v>
      </c>
    </row>
    <row r="13" spans="2:35" x14ac:dyDescent="0.2">
      <c r="B13" s="20" t="s">
        <v>115</v>
      </c>
      <c r="C13" s="20"/>
      <c r="D13" t="s">
        <v>40</v>
      </c>
      <c r="E13">
        <v>88.4</v>
      </c>
      <c r="F13" t="s">
        <v>117</v>
      </c>
      <c r="G13" s="7" t="s">
        <v>40</v>
      </c>
      <c r="H13">
        <v>16</v>
      </c>
      <c r="I13">
        <v>0.873</v>
      </c>
      <c r="K13">
        <v>236</v>
      </c>
      <c r="L13">
        <v>529</v>
      </c>
      <c r="M13" t="s">
        <v>40</v>
      </c>
      <c r="N13">
        <v>53.2</v>
      </c>
      <c r="O13" t="s">
        <v>40</v>
      </c>
      <c r="P13" t="s">
        <v>40</v>
      </c>
      <c r="Q13" t="s">
        <v>40</v>
      </c>
      <c r="R13">
        <v>57</v>
      </c>
      <c r="S13" t="s">
        <v>40</v>
      </c>
      <c r="T13" t="s">
        <v>40</v>
      </c>
      <c r="V13" t="s">
        <v>40</v>
      </c>
      <c r="W13" t="s">
        <v>40</v>
      </c>
      <c r="X13" t="s">
        <v>40</v>
      </c>
      <c r="Y13" t="s">
        <v>40</v>
      </c>
      <c r="Z13" t="s">
        <v>40</v>
      </c>
      <c r="AA13" t="s">
        <v>40</v>
      </c>
      <c r="AD13" t="s">
        <v>40</v>
      </c>
      <c r="AE13" t="s">
        <v>40</v>
      </c>
      <c r="AF13" t="s">
        <v>40</v>
      </c>
      <c r="AH13" s="20"/>
      <c r="AI13">
        <v>3</v>
      </c>
    </row>
    <row r="14" spans="2:35" x14ac:dyDescent="0.2">
      <c r="B14" s="20" t="s">
        <v>115</v>
      </c>
      <c r="C14" s="20"/>
      <c r="D14" t="s">
        <v>40</v>
      </c>
      <c r="E14">
        <v>88.4</v>
      </c>
      <c r="F14" t="s">
        <v>117</v>
      </c>
      <c r="G14" s="7" t="s">
        <v>40</v>
      </c>
      <c r="H14">
        <v>13</v>
      </c>
      <c r="I14">
        <v>0.96299999999999997</v>
      </c>
      <c r="K14">
        <v>236</v>
      </c>
      <c r="L14">
        <v>529</v>
      </c>
      <c r="M14" t="s">
        <v>40</v>
      </c>
      <c r="N14">
        <v>61.1</v>
      </c>
      <c r="O14" t="s">
        <v>40</v>
      </c>
      <c r="P14" t="s">
        <v>40</v>
      </c>
      <c r="Q14" t="s">
        <v>40</v>
      </c>
      <c r="R14">
        <v>54.6</v>
      </c>
      <c r="S14" t="s">
        <v>40</v>
      </c>
      <c r="T14" t="s">
        <v>40</v>
      </c>
      <c r="V14" t="s">
        <v>40</v>
      </c>
      <c r="W14" t="s">
        <v>40</v>
      </c>
      <c r="X14" t="s">
        <v>40</v>
      </c>
      <c r="Y14" t="s">
        <v>40</v>
      </c>
      <c r="Z14" t="s">
        <v>40</v>
      </c>
      <c r="AA14" t="s">
        <v>40</v>
      </c>
      <c r="AD14" t="s">
        <v>40</v>
      </c>
      <c r="AE14" t="s">
        <v>40</v>
      </c>
      <c r="AF14" t="s">
        <v>40</v>
      </c>
      <c r="AH14" s="20"/>
      <c r="AI14">
        <v>4</v>
      </c>
    </row>
    <row r="15" spans="2:35" x14ac:dyDescent="0.2">
      <c r="B15" t="s">
        <v>116</v>
      </c>
      <c r="D15" t="s">
        <v>40</v>
      </c>
      <c r="E15">
        <v>88.4</v>
      </c>
      <c r="F15" t="s">
        <v>118</v>
      </c>
      <c r="G15" s="7" t="s">
        <v>40</v>
      </c>
      <c r="H15">
        <v>25</v>
      </c>
      <c r="I15">
        <v>0.56999999999999995</v>
      </c>
      <c r="K15">
        <v>211</v>
      </c>
      <c r="L15">
        <v>534</v>
      </c>
      <c r="M15" t="s">
        <v>40</v>
      </c>
      <c r="N15">
        <v>74.7</v>
      </c>
      <c r="O15" t="s">
        <v>40</v>
      </c>
      <c r="P15" t="s">
        <v>40</v>
      </c>
      <c r="Q15" t="s">
        <v>40</v>
      </c>
      <c r="R15">
        <v>51.7</v>
      </c>
      <c r="S15" t="s">
        <v>40</v>
      </c>
      <c r="T15" t="s">
        <v>40</v>
      </c>
      <c r="V15" t="s">
        <v>40</v>
      </c>
      <c r="W15" t="s">
        <v>40</v>
      </c>
      <c r="X15" t="s">
        <v>40</v>
      </c>
      <c r="Y15" t="s">
        <v>40</v>
      </c>
      <c r="Z15" t="s">
        <v>40</v>
      </c>
      <c r="AA15" t="s">
        <v>40</v>
      </c>
      <c r="AD15" t="s">
        <v>40</v>
      </c>
      <c r="AE15" t="s">
        <v>40</v>
      </c>
      <c r="AF15" t="s">
        <v>40</v>
      </c>
      <c r="AH15" s="20"/>
      <c r="AI15">
        <v>5</v>
      </c>
    </row>
    <row r="16" spans="2:35" x14ac:dyDescent="0.2">
      <c r="B16" t="s">
        <v>116</v>
      </c>
      <c r="D16" t="s">
        <v>40</v>
      </c>
      <c r="E16">
        <v>88.4</v>
      </c>
      <c r="F16" t="s">
        <v>118</v>
      </c>
      <c r="G16" s="7" t="s">
        <v>40</v>
      </c>
      <c r="H16">
        <v>21</v>
      </c>
      <c r="I16">
        <v>0.60099999999999998</v>
      </c>
      <c r="K16">
        <v>211</v>
      </c>
      <c r="L16">
        <v>534</v>
      </c>
      <c r="M16" t="s">
        <v>40</v>
      </c>
      <c r="N16">
        <v>61.3</v>
      </c>
      <c r="O16" t="s">
        <v>40</v>
      </c>
      <c r="P16" t="s">
        <v>40</v>
      </c>
      <c r="Q16" t="s">
        <v>40</v>
      </c>
      <c r="R16">
        <v>39.5</v>
      </c>
      <c r="S16" t="s">
        <v>40</v>
      </c>
      <c r="T16" t="s">
        <v>40</v>
      </c>
      <c r="V16" t="s">
        <v>40</v>
      </c>
      <c r="W16" t="s">
        <v>40</v>
      </c>
      <c r="X16" t="s">
        <v>40</v>
      </c>
      <c r="Y16" t="s">
        <v>40</v>
      </c>
      <c r="Z16" t="s">
        <v>40</v>
      </c>
      <c r="AA16" t="s">
        <v>40</v>
      </c>
      <c r="AD16" t="s">
        <v>40</v>
      </c>
      <c r="AE16" t="s">
        <v>40</v>
      </c>
      <c r="AF16" t="s">
        <v>40</v>
      </c>
      <c r="AH16" s="20"/>
      <c r="AI16">
        <v>6</v>
      </c>
    </row>
    <row r="17" spans="2:35" x14ac:dyDescent="0.2">
      <c r="B17" t="s">
        <v>116</v>
      </c>
      <c r="D17" t="s">
        <v>40</v>
      </c>
      <c r="E17">
        <v>88.4</v>
      </c>
      <c r="F17" t="s">
        <v>118</v>
      </c>
      <c r="G17" s="7" t="s">
        <v>40</v>
      </c>
      <c r="H17">
        <v>16</v>
      </c>
      <c r="I17">
        <v>0.84699999999999998</v>
      </c>
      <c r="K17">
        <v>211</v>
      </c>
      <c r="L17">
        <v>534</v>
      </c>
      <c r="M17" t="s">
        <v>40</v>
      </c>
      <c r="N17">
        <v>64.900000000000006</v>
      </c>
      <c r="O17" t="s">
        <v>40</v>
      </c>
      <c r="P17" t="s">
        <v>40</v>
      </c>
      <c r="Q17" t="s">
        <v>40</v>
      </c>
      <c r="R17">
        <v>53.1</v>
      </c>
      <c r="S17" t="s">
        <v>40</v>
      </c>
      <c r="T17" t="s">
        <v>40</v>
      </c>
      <c r="V17" t="s">
        <v>40</v>
      </c>
      <c r="W17" t="s">
        <v>40</v>
      </c>
      <c r="X17" t="s">
        <v>40</v>
      </c>
      <c r="Y17" t="s">
        <v>40</v>
      </c>
      <c r="Z17" t="s">
        <v>40</v>
      </c>
      <c r="AA17" t="s">
        <v>40</v>
      </c>
      <c r="AD17" t="s">
        <v>40</v>
      </c>
      <c r="AE17" t="s">
        <v>40</v>
      </c>
      <c r="AF17" t="s">
        <v>40</v>
      </c>
      <c r="AH17" s="20"/>
      <c r="AI17">
        <v>7</v>
      </c>
    </row>
    <row r="18" spans="2:35" x14ac:dyDescent="0.2">
      <c r="B18" t="s">
        <v>116</v>
      </c>
      <c r="D18" t="s">
        <v>40</v>
      </c>
      <c r="E18">
        <v>88.4</v>
      </c>
      <c r="F18" t="s">
        <v>118</v>
      </c>
      <c r="G18" s="7" t="s">
        <v>40</v>
      </c>
      <c r="H18">
        <v>12</v>
      </c>
      <c r="I18">
        <v>0.90200000000000002</v>
      </c>
      <c r="K18">
        <v>211</v>
      </c>
      <c r="L18">
        <v>534</v>
      </c>
      <c r="M18" t="s">
        <v>40</v>
      </c>
      <c r="N18">
        <v>54.1</v>
      </c>
      <c r="O18" t="s">
        <v>40</v>
      </c>
      <c r="P18" t="s">
        <v>40</v>
      </c>
      <c r="Q18" t="s">
        <v>40</v>
      </c>
      <c r="R18">
        <v>40.200000000000003</v>
      </c>
      <c r="S18" t="s">
        <v>40</v>
      </c>
      <c r="T18" t="s">
        <v>40</v>
      </c>
      <c r="V18" t="s">
        <v>40</v>
      </c>
      <c r="W18" t="s">
        <v>40</v>
      </c>
      <c r="X18" t="s">
        <v>40</v>
      </c>
      <c r="Y18" t="s">
        <v>40</v>
      </c>
      <c r="Z18" t="s">
        <v>40</v>
      </c>
      <c r="AA18" t="s">
        <v>40</v>
      </c>
      <c r="AD18" t="s">
        <v>40</v>
      </c>
      <c r="AE18" t="s">
        <v>40</v>
      </c>
      <c r="AF18" t="s">
        <v>40</v>
      </c>
      <c r="AH18" s="20"/>
      <c r="AI18">
        <v>8</v>
      </c>
    </row>
    <row r="19" spans="2:35" x14ac:dyDescent="0.2">
      <c r="B19" s="20" t="s">
        <v>119</v>
      </c>
      <c r="C19" s="20"/>
      <c r="D19" t="s">
        <v>40</v>
      </c>
      <c r="E19">
        <v>91</v>
      </c>
      <c r="F19" t="s">
        <v>117</v>
      </c>
      <c r="G19" s="7" t="s">
        <v>40</v>
      </c>
      <c r="H19">
        <v>25</v>
      </c>
      <c r="I19">
        <v>0.501</v>
      </c>
      <c r="K19">
        <v>236</v>
      </c>
      <c r="L19">
        <v>529</v>
      </c>
      <c r="M19" t="s">
        <v>40</v>
      </c>
      <c r="N19">
        <v>59.7</v>
      </c>
      <c r="O19" t="s">
        <v>40</v>
      </c>
      <c r="P19" t="s">
        <v>40</v>
      </c>
      <c r="Q19" t="s">
        <v>40</v>
      </c>
      <c r="R19">
        <v>56.8</v>
      </c>
      <c r="S19" t="s">
        <v>40</v>
      </c>
      <c r="T19" t="s">
        <v>40</v>
      </c>
      <c r="V19" t="s">
        <v>40</v>
      </c>
      <c r="W19" t="s">
        <v>40</v>
      </c>
      <c r="X19" t="s">
        <v>40</v>
      </c>
      <c r="Y19" t="s">
        <v>40</v>
      </c>
      <c r="Z19" t="s">
        <v>40</v>
      </c>
      <c r="AA19" t="s">
        <v>40</v>
      </c>
      <c r="AD19" t="s">
        <v>40</v>
      </c>
      <c r="AE19" t="s">
        <v>40</v>
      </c>
      <c r="AF19" t="s">
        <v>40</v>
      </c>
      <c r="AH19" s="20"/>
      <c r="AI19">
        <v>9</v>
      </c>
    </row>
    <row r="20" spans="2:35" x14ac:dyDescent="0.2">
      <c r="B20" s="20" t="s">
        <v>119</v>
      </c>
      <c r="C20" s="20"/>
      <c r="D20" t="s">
        <v>40</v>
      </c>
      <c r="E20">
        <v>91</v>
      </c>
      <c r="F20" t="s">
        <v>117</v>
      </c>
      <c r="G20" s="7" t="s">
        <v>40</v>
      </c>
      <c r="H20">
        <v>21</v>
      </c>
      <c r="I20">
        <v>0.73</v>
      </c>
      <c r="K20">
        <v>236</v>
      </c>
      <c r="L20">
        <v>529</v>
      </c>
      <c r="M20" t="s">
        <v>40</v>
      </c>
      <c r="N20">
        <v>70.8</v>
      </c>
      <c r="O20" t="s">
        <v>40</v>
      </c>
      <c r="P20" t="s">
        <v>40</v>
      </c>
      <c r="Q20" t="s">
        <v>40</v>
      </c>
      <c r="R20">
        <v>60.9</v>
      </c>
      <c r="S20" t="s">
        <v>40</v>
      </c>
      <c r="T20" t="s">
        <v>40</v>
      </c>
      <c r="V20" t="s">
        <v>40</v>
      </c>
      <c r="W20" t="s">
        <v>40</v>
      </c>
      <c r="X20" t="s">
        <v>40</v>
      </c>
      <c r="Y20" t="s">
        <v>40</v>
      </c>
      <c r="Z20" t="s">
        <v>40</v>
      </c>
      <c r="AA20" t="s">
        <v>40</v>
      </c>
      <c r="AD20" t="s">
        <v>40</v>
      </c>
      <c r="AE20" t="s">
        <v>40</v>
      </c>
      <c r="AF20" t="s">
        <v>40</v>
      </c>
      <c r="AH20" s="20"/>
      <c r="AI20">
        <v>10</v>
      </c>
    </row>
    <row r="21" spans="2:35" x14ac:dyDescent="0.2">
      <c r="B21" s="20" t="s">
        <v>119</v>
      </c>
      <c r="C21" s="20"/>
      <c r="D21" t="s">
        <v>40</v>
      </c>
      <c r="E21">
        <v>91</v>
      </c>
      <c r="F21" t="s">
        <v>117</v>
      </c>
      <c r="G21" s="7" t="s">
        <v>40</v>
      </c>
      <c r="H21">
        <v>17</v>
      </c>
      <c r="I21">
        <v>0.82199999999999995</v>
      </c>
      <c r="K21">
        <v>236</v>
      </c>
      <c r="L21">
        <v>529</v>
      </c>
      <c r="M21" t="s">
        <v>40</v>
      </c>
      <c r="N21">
        <v>64.2</v>
      </c>
      <c r="O21" t="s">
        <v>40</v>
      </c>
      <c r="P21" t="s">
        <v>40</v>
      </c>
      <c r="Q21" t="s">
        <v>40</v>
      </c>
      <c r="R21">
        <v>62.9</v>
      </c>
      <c r="S21" t="s">
        <v>40</v>
      </c>
      <c r="T21" t="s">
        <v>40</v>
      </c>
      <c r="V21" t="s">
        <v>40</v>
      </c>
      <c r="W21" t="s">
        <v>40</v>
      </c>
      <c r="X21" t="s">
        <v>40</v>
      </c>
      <c r="Y21" t="s">
        <v>40</v>
      </c>
      <c r="Z21" t="s">
        <v>40</v>
      </c>
      <c r="AA21" t="s">
        <v>40</v>
      </c>
      <c r="AD21" t="s">
        <v>40</v>
      </c>
      <c r="AE21" t="s">
        <v>40</v>
      </c>
      <c r="AF21" t="s">
        <v>40</v>
      </c>
      <c r="AH21" s="20"/>
      <c r="AI21">
        <v>11</v>
      </c>
    </row>
    <row r="22" spans="2:35" x14ac:dyDescent="0.2">
      <c r="B22" s="20" t="s">
        <v>119</v>
      </c>
      <c r="C22" s="20"/>
      <c r="D22" t="s">
        <v>40</v>
      </c>
      <c r="E22">
        <v>91</v>
      </c>
      <c r="F22" t="s">
        <v>117</v>
      </c>
      <c r="G22" s="7" t="s">
        <v>40</v>
      </c>
      <c r="H22">
        <v>12</v>
      </c>
      <c r="I22">
        <v>0.745</v>
      </c>
      <c r="K22">
        <v>236</v>
      </c>
      <c r="L22">
        <v>529</v>
      </c>
      <c r="M22" t="s">
        <v>40</v>
      </c>
      <c r="N22">
        <v>41.5</v>
      </c>
      <c r="O22" t="s">
        <v>40</v>
      </c>
      <c r="P22" t="s">
        <v>40</v>
      </c>
      <c r="Q22" t="s">
        <v>40</v>
      </c>
      <c r="R22">
        <v>32.299999999999997</v>
      </c>
      <c r="S22" t="s">
        <v>40</v>
      </c>
      <c r="T22" t="s">
        <v>40</v>
      </c>
      <c r="V22" t="s">
        <v>40</v>
      </c>
      <c r="W22" t="s">
        <v>40</v>
      </c>
      <c r="X22" t="s">
        <v>40</v>
      </c>
      <c r="Y22" t="s">
        <v>40</v>
      </c>
      <c r="Z22" t="s">
        <v>40</v>
      </c>
      <c r="AA22" t="s">
        <v>40</v>
      </c>
      <c r="AD22" t="s">
        <v>40</v>
      </c>
      <c r="AE22" t="s">
        <v>40</v>
      </c>
      <c r="AF22" t="s">
        <v>40</v>
      </c>
      <c r="AH22" s="20"/>
      <c r="AI22">
        <v>12</v>
      </c>
    </row>
    <row r="23" spans="2:35" x14ac:dyDescent="0.2">
      <c r="B23" s="20" t="s">
        <v>44</v>
      </c>
      <c r="C23" s="20"/>
      <c r="D23" t="s">
        <v>40</v>
      </c>
      <c r="E23">
        <v>82</v>
      </c>
      <c r="F23" t="s">
        <v>117</v>
      </c>
      <c r="G23" s="7" t="s">
        <v>40</v>
      </c>
      <c r="H23">
        <v>24</v>
      </c>
      <c r="I23">
        <v>0.372</v>
      </c>
      <c r="K23">
        <v>236</v>
      </c>
      <c r="L23">
        <v>529</v>
      </c>
      <c r="M23" t="s">
        <v>40</v>
      </c>
      <c r="N23">
        <v>45.2</v>
      </c>
      <c r="O23" t="s">
        <v>40</v>
      </c>
      <c r="P23" t="s">
        <v>40</v>
      </c>
      <c r="Q23" t="s">
        <v>40</v>
      </c>
      <c r="R23">
        <v>34.4</v>
      </c>
      <c r="S23" t="s">
        <v>40</v>
      </c>
      <c r="T23" t="s">
        <v>40</v>
      </c>
      <c r="V23" t="s">
        <v>40</v>
      </c>
      <c r="W23" t="s">
        <v>40</v>
      </c>
      <c r="X23" t="s">
        <v>40</v>
      </c>
      <c r="Y23" t="s">
        <v>40</v>
      </c>
      <c r="Z23" t="s">
        <v>40</v>
      </c>
      <c r="AA23" t="s">
        <v>40</v>
      </c>
      <c r="AD23" t="s">
        <v>40</v>
      </c>
      <c r="AE23" t="s">
        <v>40</v>
      </c>
      <c r="AF23" t="s">
        <v>40</v>
      </c>
      <c r="AH23" s="20"/>
      <c r="AI23">
        <v>13</v>
      </c>
    </row>
    <row r="24" spans="2:35" x14ac:dyDescent="0.2">
      <c r="B24" s="20" t="s">
        <v>44</v>
      </c>
      <c r="C24" s="20"/>
      <c r="D24" t="s">
        <v>40</v>
      </c>
      <c r="E24">
        <v>82</v>
      </c>
      <c r="F24" t="s">
        <v>117</v>
      </c>
      <c r="G24" s="7" t="s">
        <v>40</v>
      </c>
      <c r="H24">
        <v>21</v>
      </c>
      <c r="I24">
        <v>0.65500000000000003</v>
      </c>
      <c r="K24">
        <v>236</v>
      </c>
      <c r="L24">
        <v>529</v>
      </c>
      <c r="M24" t="s">
        <v>40</v>
      </c>
      <c r="N24">
        <v>56.7</v>
      </c>
      <c r="O24" t="s">
        <v>40</v>
      </c>
      <c r="P24" t="s">
        <v>40</v>
      </c>
      <c r="Q24" t="s">
        <v>40</v>
      </c>
      <c r="R24">
        <v>62.1</v>
      </c>
      <c r="S24" t="s">
        <v>40</v>
      </c>
      <c r="T24" t="s">
        <v>40</v>
      </c>
      <c r="V24" t="s">
        <v>40</v>
      </c>
      <c r="W24" t="s">
        <v>40</v>
      </c>
      <c r="X24" t="s">
        <v>40</v>
      </c>
      <c r="Y24" t="s">
        <v>40</v>
      </c>
      <c r="Z24" t="s">
        <v>40</v>
      </c>
      <c r="AA24" t="s">
        <v>40</v>
      </c>
      <c r="AD24" t="s">
        <v>40</v>
      </c>
      <c r="AE24" t="s">
        <v>40</v>
      </c>
      <c r="AF24" t="s">
        <v>40</v>
      </c>
      <c r="AH24" s="20"/>
      <c r="AI24">
        <v>14</v>
      </c>
    </row>
    <row r="25" spans="2:35" x14ac:dyDescent="0.2">
      <c r="B25" s="20" t="s">
        <v>44</v>
      </c>
      <c r="C25" s="20"/>
      <c r="D25" t="s">
        <v>40</v>
      </c>
      <c r="E25">
        <v>82</v>
      </c>
      <c r="F25" t="s">
        <v>117</v>
      </c>
      <c r="G25" s="7" t="s">
        <v>40</v>
      </c>
      <c r="H25">
        <v>16</v>
      </c>
      <c r="I25">
        <v>0.78300000000000003</v>
      </c>
      <c r="K25">
        <v>236</v>
      </c>
      <c r="L25">
        <v>529</v>
      </c>
      <c r="M25" t="s">
        <v>40</v>
      </c>
      <c r="N25">
        <v>56.7</v>
      </c>
      <c r="O25" t="s">
        <v>40</v>
      </c>
      <c r="P25" t="s">
        <v>40</v>
      </c>
      <c r="Q25" t="s">
        <v>40</v>
      </c>
      <c r="R25">
        <v>54.7</v>
      </c>
      <c r="S25" t="s">
        <v>40</v>
      </c>
      <c r="T25" t="s">
        <v>40</v>
      </c>
      <c r="V25" t="s">
        <v>40</v>
      </c>
      <c r="W25" t="s">
        <v>40</v>
      </c>
      <c r="X25" t="s">
        <v>40</v>
      </c>
      <c r="Y25" t="s">
        <v>40</v>
      </c>
      <c r="Z25" t="s">
        <v>40</v>
      </c>
      <c r="AA25" t="s">
        <v>40</v>
      </c>
      <c r="AD25" t="s">
        <v>40</v>
      </c>
      <c r="AE25" t="s">
        <v>40</v>
      </c>
      <c r="AF25" t="s">
        <v>40</v>
      </c>
      <c r="AH25" s="20"/>
      <c r="AI25">
        <v>15</v>
      </c>
    </row>
    <row r="26" spans="2:35" x14ac:dyDescent="0.2">
      <c r="B26" s="20" t="s">
        <v>44</v>
      </c>
      <c r="C26" s="20"/>
      <c r="D26" t="s">
        <v>40</v>
      </c>
      <c r="E26">
        <v>82</v>
      </c>
      <c r="F26" t="s">
        <v>117</v>
      </c>
      <c r="G26" s="7" t="s">
        <v>40</v>
      </c>
      <c r="H26">
        <v>11</v>
      </c>
      <c r="I26">
        <v>1.3939999999999999</v>
      </c>
      <c r="K26">
        <v>236</v>
      </c>
      <c r="L26">
        <v>529</v>
      </c>
      <c r="M26" t="s">
        <v>40</v>
      </c>
      <c r="N26">
        <v>59.8</v>
      </c>
      <c r="O26" t="s">
        <v>40</v>
      </c>
      <c r="P26" t="s">
        <v>40</v>
      </c>
      <c r="Q26" t="s">
        <v>40</v>
      </c>
      <c r="R26">
        <v>53.4</v>
      </c>
      <c r="S26" t="s">
        <v>40</v>
      </c>
      <c r="T26" t="s">
        <v>40</v>
      </c>
      <c r="V26" t="s">
        <v>40</v>
      </c>
      <c r="W26" t="s">
        <v>40</v>
      </c>
      <c r="X26" t="s">
        <v>40</v>
      </c>
      <c r="Y26" t="s">
        <v>40</v>
      </c>
      <c r="Z26" t="s">
        <v>40</v>
      </c>
      <c r="AA26" t="s">
        <v>40</v>
      </c>
      <c r="AD26" t="s">
        <v>40</v>
      </c>
      <c r="AE26" t="s">
        <v>40</v>
      </c>
      <c r="AF26" t="s">
        <v>40</v>
      </c>
      <c r="AH26" s="20"/>
      <c r="AI26">
        <v>16</v>
      </c>
    </row>
    <row r="27" spans="2:35" x14ac:dyDescent="0.2">
      <c r="B27" s="20" t="s">
        <v>120</v>
      </c>
      <c r="C27" s="20"/>
      <c r="D27" t="s">
        <v>40</v>
      </c>
      <c r="E27">
        <v>104</v>
      </c>
      <c r="F27" t="s">
        <v>118</v>
      </c>
      <c r="G27" s="7" t="s">
        <v>40</v>
      </c>
      <c r="H27">
        <v>23</v>
      </c>
      <c r="I27">
        <v>0.373</v>
      </c>
      <c r="K27">
        <v>211</v>
      </c>
      <c r="L27">
        <v>534</v>
      </c>
      <c r="M27" t="s">
        <v>40</v>
      </c>
      <c r="N27">
        <v>65.8</v>
      </c>
      <c r="O27" t="s">
        <v>40</v>
      </c>
      <c r="P27" t="s">
        <v>40</v>
      </c>
      <c r="Q27" t="s">
        <v>40</v>
      </c>
      <c r="R27">
        <v>44.7</v>
      </c>
      <c r="S27" t="s">
        <v>40</v>
      </c>
      <c r="T27" t="s">
        <v>40</v>
      </c>
      <c r="V27" t="s">
        <v>40</v>
      </c>
      <c r="W27" t="s">
        <v>40</v>
      </c>
      <c r="X27" t="s">
        <v>40</v>
      </c>
      <c r="Y27" t="s">
        <v>40</v>
      </c>
      <c r="Z27" t="s">
        <v>40</v>
      </c>
      <c r="AA27" t="s">
        <v>40</v>
      </c>
      <c r="AD27" t="s">
        <v>40</v>
      </c>
      <c r="AE27" t="s">
        <v>40</v>
      </c>
      <c r="AF27" t="s">
        <v>40</v>
      </c>
      <c r="AH27" s="20"/>
      <c r="AI27">
        <v>17</v>
      </c>
    </row>
    <row r="28" spans="2:35" x14ac:dyDescent="0.2">
      <c r="B28" s="20" t="s">
        <v>120</v>
      </c>
      <c r="C28" s="20"/>
      <c r="D28" t="s">
        <v>40</v>
      </c>
      <c r="E28">
        <v>104</v>
      </c>
      <c r="F28" t="s">
        <v>118</v>
      </c>
      <c r="G28" s="7" t="s">
        <v>40</v>
      </c>
      <c r="H28">
        <v>22</v>
      </c>
      <c r="I28">
        <v>0.52600000000000002</v>
      </c>
      <c r="K28">
        <v>211</v>
      </c>
      <c r="L28">
        <v>534</v>
      </c>
      <c r="M28" t="s">
        <v>40</v>
      </c>
      <c r="N28">
        <v>62.8</v>
      </c>
      <c r="O28" t="s">
        <v>40</v>
      </c>
      <c r="P28" t="s">
        <v>40</v>
      </c>
      <c r="Q28" t="s">
        <v>40</v>
      </c>
      <c r="R28">
        <v>42.6</v>
      </c>
      <c r="S28" t="s">
        <v>40</v>
      </c>
      <c r="T28" t="s">
        <v>40</v>
      </c>
      <c r="V28" t="s">
        <v>40</v>
      </c>
      <c r="W28" t="s">
        <v>40</v>
      </c>
      <c r="X28" t="s">
        <v>40</v>
      </c>
      <c r="Y28" t="s">
        <v>40</v>
      </c>
      <c r="Z28" t="s">
        <v>40</v>
      </c>
      <c r="AA28" t="s">
        <v>40</v>
      </c>
      <c r="AD28" t="s">
        <v>40</v>
      </c>
      <c r="AE28" t="s">
        <v>40</v>
      </c>
      <c r="AF28" t="s">
        <v>40</v>
      </c>
      <c r="AH28" s="20"/>
      <c r="AI28">
        <v>18</v>
      </c>
    </row>
    <row r="29" spans="2:35" x14ac:dyDescent="0.2">
      <c r="B29" s="20" t="s">
        <v>120</v>
      </c>
      <c r="C29" s="20"/>
      <c r="D29" t="s">
        <v>40</v>
      </c>
      <c r="E29">
        <v>104</v>
      </c>
      <c r="F29" t="s">
        <v>118</v>
      </c>
      <c r="G29" s="7" t="s">
        <v>40</v>
      </c>
      <c r="H29">
        <v>17</v>
      </c>
      <c r="I29">
        <v>0.751</v>
      </c>
      <c r="K29">
        <v>211</v>
      </c>
      <c r="L29">
        <v>534</v>
      </c>
      <c r="M29" t="s">
        <v>40</v>
      </c>
      <c r="N29">
        <v>69.2</v>
      </c>
      <c r="O29" t="s">
        <v>40</v>
      </c>
      <c r="P29" t="s">
        <v>40</v>
      </c>
      <c r="Q29" t="s">
        <v>40</v>
      </c>
      <c r="R29">
        <v>43.6</v>
      </c>
      <c r="S29" t="s">
        <v>40</v>
      </c>
      <c r="T29" t="s">
        <v>40</v>
      </c>
      <c r="V29" t="s">
        <v>40</v>
      </c>
      <c r="W29" t="s">
        <v>40</v>
      </c>
      <c r="X29" t="s">
        <v>40</v>
      </c>
      <c r="Y29" t="s">
        <v>40</v>
      </c>
      <c r="Z29" t="s">
        <v>40</v>
      </c>
      <c r="AA29" t="s">
        <v>40</v>
      </c>
      <c r="AD29" t="s">
        <v>40</v>
      </c>
      <c r="AE29" t="s">
        <v>40</v>
      </c>
      <c r="AF29" t="s">
        <v>40</v>
      </c>
      <c r="AH29" s="20"/>
      <c r="AI29">
        <v>19</v>
      </c>
    </row>
    <row r="30" spans="2:35" x14ac:dyDescent="0.2">
      <c r="B30" s="20" t="s">
        <v>120</v>
      </c>
      <c r="C30" s="20"/>
      <c r="D30" t="s">
        <v>40</v>
      </c>
      <c r="E30">
        <v>104</v>
      </c>
      <c r="F30" t="s">
        <v>118</v>
      </c>
      <c r="G30" s="7" t="s">
        <v>40</v>
      </c>
      <c r="H30">
        <v>14</v>
      </c>
      <c r="I30">
        <v>0.96799999999999997</v>
      </c>
      <c r="K30">
        <v>211</v>
      </c>
      <c r="L30">
        <v>534</v>
      </c>
      <c r="M30" t="s">
        <v>40</v>
      </c>
      <c r="N30">
        <v>64.3</v>
      </c>
      <c r="O30" t="s">
        <v>40</v>
      </c>
      <c r="P30" t="s">
        <v>40</v>
      </c>
      <c r="Q30" t="s">
        <v>40</v>
      </c>
      <c r="R30">
        <v>51.2</v>
      </c>
      <c r="S30" t="s">
        <v>40</v>
      </c>
      <c r="T30" t="s">
        <v>40</v>
      </c>
      <c r="V30" t="s">
        <v>40</v>
      </c>
      <c r="W30" t="s">
        <v>40</v>
      </c>
      <c r="X30" t="s">
        <v>40</v>
      </c>
      <c r="Y30" t="s">
        <v>40</v>
      </c>
      <c r="Z30" t="s">
        <v>40</v>
      </c>
      <c r="AA30" t="s">
        <v>40</v>
      </c>
      <c r="AD30" t="s">
        <v>40</v>
      </c>
      <c r="AE30" t="s">
        <v>40</v>
      </c>
      <c r="AF30" t="s">
        <v>40</v>
      </c>
      <c r="AH30" s="20"/>
      <c r="AI30">
        <v>20</v>
      </c>
    </row>
    <row r="31" spans="2:35" x14ac:dyDescent="0.2">
      <c r="B31" s="20" t="s">
        <v>44</v>
      </c>
      <c r="C31" s="20"/>
      <c r="D31" t="s">
        <v>40</v>
      </c>
      <c r="E31">
        <v>82</v>
      </c>
      <c r="F31" t="s">
        <v>118</v>
      </c>
      <c r="G31" s="7" t="s">
        <v>40</v>
      </c>
      <c r="H31">
        <v>21</v>
      </c>
      <c r="I31">
        <v>0.47</v>
      </c>
      <c r="K31">
        <v>211</v>
      </c>
      <c r="L31">
        <v>534</v>
      </c>
      <c r="M31" t="s">
        <v>40</v>
      </c>
      <c r="N31">
        <v>55.2</v>
      </c>
      <c r="O31" t="s">
        <v>40</v>
      </c>
      <c r="P31" t="s">
        <v>40</v>
      </c>
      <c r="Q31" t="s">
        <v>40</v>
      </c>
      <c r="R31">
        <v>45.7</v>
      </c>
      <c r="S31" t="s">
        <v>40</v>
      </c>
      <c r="T31" t="s">
        <v>40</v>
      </c>
      <c r="V31" t="s">
        <v>40</v>
      </c>
      <c r="W31" t="s">
        <v>40</v>
      </c>
      <c r="X31" t="s">
        <v>40</v>
      </c>
      <c r="Y31" t="s">
        <v>40</v>
      </c>
      <c r="Z31" t="s">
        <v>40</v>
      </c>
      <c r="AA31" t="s">
        <v>40</v>
      </c>
      <c r="AD31" t="s">
        <v>40</v>
      </c>
      <c r="AE31" t="s">
        <v>40</v>
      </c>
      <c r="AF31" t="s">
        <v>40</v>
      </c>
      <c r="AH31" s="20"/>
      <c r="AI31">
        <v>21</v>
      </c>
    </row>
    <row r="32" spans="2:35" x14ac:dyDescent="0.2">
      <c r="B32" s="20" t="s">
        <v>44</v>
      </c>
      <c r="C32" s="20"/>
      <c r="D32" t="s">
        <v>40</v>
      </c>
      <c r="E32">
        <v>82</v>
      </c>
      <c r="F32" t="s">
        <v>118</v>
      </c>
      <c r="G32" s="7" t="s">
        <v>40</v>
      </c>
      <c r="H32">
        <v>17</v>
      </c>
      <c r="I32">
        <v>0.751</v>
      </c>
      <c r="K32">
        <v>211</v>
      </c>
      <c r="L32">
        <v>534</v>
      </c>
      <c r="M32" t="s">
        <v>40</v>
      </c>
      <c r="N32">
        <v>67.3</v>
      </c>
      <c r="O32" t="s">
        <v>40</v>
      </c>
      <c r="P32" t="s">
        <v>40</v>
      </c>
      <c r="Q32" t="s">
        <v>40</v>
      </c>
      <c r="R32">
        <v>44.5</v>
      </c>
      <c r="S32" t="s">
        <v>40</v>
      </c>
      <c r="T32" t="s">
        <v>40</v>
      </c>
      <c r="V32" t="s">
        <v>40</v>
      </c>
      <c r="W32" t="s">
        <v>40</v>
      </c>
      <c r="X32" t="s">
        <v>40</v>
      </c>
      <c r="Y32" t="s">
        <v>40</v>
      </c>
      <c r="Z32" t="s">
        <v>40</v>
      </c>
      <c r="AA32" t="s">
        <v>40</v>
      </c>
      <c r="AD32" t="s">
        <v>40</v>
      </c>
      <c r="AE32" t="s">
        <v>40</v>
      </c>
      <c r="AF32" t="s">
        <v>40</v>
      </c>
      <c r="AH32" s="20"/>
      <c r="AI32">
        <v>22</v>
      </c>
    </row>
    <row r="33" spans="2:35" x14ac:dyDescent="0.2">
      <c r="B33" s="20" t="s">
        <v>44</v>
      </c>
      <c r="C33" s="20"/>
      <c r="D33" t="s">
        <v>40</v>
      </c>
      <c r="E33">
        <v>82</v>
      </c>
      <c r="F33" t="s">
        <v>118</v>
      </c>
      <c r="G33" s="7" t="s">
        <v>40</v>
      </c>
      <c r="H33">
        <v>13</v>
      </c>
      <c r="I33">
        <v>0.84199999999999997</v>
      </c>
      <c r="K33">
        <v>211</v>
      </c>
      <c r="L33">
        <v>534</v>
      </c>
      <c r="M33" t="s">
        <v>40</v>
      </c>
      <c r="N33">
        <v>68.099999999999994</v>
      </c>
      <c r="O33" t="s">
        <v>40</v>
      </c>
      <c r="P33" t="s">
        <v>40</v>
      </c>
      <c r="Q33" t="s">
        <v>40</v>
      </c>
      <c r="R33">
        <v>42.1</v>
      </c>
      <c r="S33" t="s">
        <v>40</v>
      </c>
      <c r="T33" t="s">
        <v>40</v>
      </c>
      <c r="V33" t="s">
        <v>40</v>
      </c>
      <c r="W33" t="s">
        <v>40</v>
      </c>
      <c r="X33" t="s">
        <v>40</v>
      </c>
      <c r="Y33" t="s">
        <v>40</v>
      </c>
      <c r="Z33" t="s">
        <v>40</v>
      </c>
      <c r="AA33" t="s">
        <v>40</v>
      </c>
      <c r="AD33" t="s">
        <v>40</v>
      </c>
      <c r="AE33" t="s">
        <v>40</v>
      </c>
      <c r="AF33" t="s">
        <v>40</v>
      </c>
      <c r="AH33" s="20"/>
      <c r="AI33">
        <v>23</v>
      </c>
    </row>
    <row r="34" spans="2:35" x14ac:dyDescent="0.2">
      <c r="B34" s="20" t="s">
        <v>44</v>
      </c>
      <c r="C34" s="20"/>
      <c r="D34" t="s">
        <v>40</v>
      </c>
      <c r="E34">
        <v>82</v>
      </c>
      <c r="F34" t="s">
        <v>118</v>
      </c>
      <c r="G34" s="7" t="s">
        <v>40</v>
      </c>
      <c r="H34">
        <v>8</v>
      </c>
      <c r="I34">
        <v>1.232</v>
      </c>
      <c r="K34">
        <v>211</v>
      </c>
      <c r="L34">
        <v>534</v>
      </c>
      <c r="M34" t="s">
        <v>40</v>
      </c>
      <c r="N34">
        <v>63.4</v>
      </c>
      <c r="O34" t="s">
        <v>40</v>
      </c>
      <c r="P34" t="s">
        <v>40</v>
      </c>
      <c r="Q34" t="s">
        <v>40</v>
      </c>
      <c r="R34">
        <v>54.6</v>
      </c>
      <c r="S34" t="s">
        <v>40</v>
      </c>
      <c r="T34" t="s">
        <v>40</v>
      </c>
      <c r="V34" t="s">
        <v>40</v>
      </c>
      <c r="W34" t="s">
        <v>40</v>
      </c>
      <c r="X34" t="s">
        <v>40</v>
      </c>
      <c r="Y34" t="s">
        <v>40</v>
      </c>
      <c r="Z34" t="s">
        <v>40</v>
      </c>
      <c r="AA34" t="s">
        <v>40</v>
      </c>
      <c r="AD34" t="s">
        <v>40</v>
      </c>
      <c r="AE34" t="s">
        <v>40</v>
      </c>
      <c r="AF34" t="s">
        <v>40</v>
      </c>
      <c r="AH34" s="20"/>
      <c r="AI34">
        <v>24</v>
      </c>
    </row>
    <row r="35" spans="2:35" ht="15" x14ac:dyDescent="0.25">
      <c r="B35" s="20" t="s">
        <v>44</v>
      </c>
      <c r="C35" s="20"/>
      <c r="D35" t="s">
        <v>40</v>
      </c>
      <c r="E35">
        <v>570</v>
      </c>
      <c r="F35" t="s">
        <v>122</v>
      </c>
      <c r="G35" s="7" t="s">
        <v>40</v>
      </c>
      <c r="H35">
        <f>4.7*365</f>
        <v>1715.5</v>
      </c>
      <c r="I35" s="5">
        <f>((L35*(E35/H35)*24)/1000)/E35</f>
        <v>1.2171378606820167E-2</v>
      </c>
      <c r="K35">
        <v>657</v>
      </c>
      <c r="L35">
        <v>870</v>
      </c>
      <c r="M35">
        <v>275</v>
      </c>
      <c r="N35">
        <v>58</v>
      </c>
      <c r="O35" t="s">
        <v>40</v>
      </c>
      <c r="P35" t="s">
        <v>40</v>
      </c>
      <c r="Q35">
        <v>501</v>
      </c>
      <c r="R35">
        <v>42</v>
      </c>
      <c r="S35" t="s">
        <v>40</v>
      </c>
      <c r="T35" t="s">
        <v>40</v>
      </c>
      <c r="V35" t="s">
        <v>40</v>
      </c>
      <c r="W35" t="s">
        <v>40</v>
      </c>
      <c r="X35" t="s">
        <v>40</v>
      </c>
      <c r="Y35" t="s">
        <v>40</v>
      </c>
      <c r="Z35" t="s">
        <v>40</v>
      </c>
      <c r="AA35" t="s">
        <v>40</v>
      </c>
      <c r="AD35" t="s">
        <v>40</v>
      </c>
      <c r="AE35" t="s">
        <v>40</v>
      </c>
      <c r="AF35" t="s">
        <v>40</v>
      </c>
      <c r="AH35" s="21" t="s">
        <v>121</v>
      </c>
    </row>
    <row r="36" spans="2:35" ht="15" x14ac:dyDescent="0.25">
      <c r="B36" s="20" t="s">
        <v>44</v>
      </c>
      <c r="C36" s="20"/>
      <c r="D36" t="s">
        <v>40</v>
      </c>
      <c r="E36">
        <v>570</v>
      </c>
      <c r="F36" t="s">
        <v>123</v>
      </c>
      <c r="G36" s="7" t="s">
        <v>40</v>
      </c>
      <c r="H36">
        <f>4.7*365</f>
        <v>1715.5</v>
      </c>
      <c r="I36" s="5">
        <f>((L36*(E36/H36)*24)/1000)/E36</f>
        <v>1.2031477703293502E-2</v>
      </c>
      <c r="K36">
        <v>565</v>
      </c>
      <c r="L36">
        <v>860</v>
      </c>
      <c r="M36">
        <v>161</v>
      </c>
      <c r="N36">
        <v>72</v>
      </c>
      <c r="O36" t="s">
        <v>40</v>
      </c>
      <c r="P36" t="s">
        <v>40</v>
      </c>
      <c r="Q36">
        <v>403</v>
      </c>
      <c r="R36">
        <v>53</v>
      </c>
      <c r="S36" t="s">
        <v>40</v>
      </c>
      <c r="T36" t="s">
        <v>40</v>
      </c>
      <c r="V36" t="s">
        <v>40</v>
      </c>
      <c r="W36" t="s">
        <v>40</v>
      </c>
      <c r="X36" t="s">
        <v>40</v>
      </c>
      <c r="Y36" t="s">
        <v>40</v>
      </c>
      <c r="Z36" t="s">
        <v>40</v>
      </c>
      <c r="AA36" t="s">
        <v>40</v>
      </c>
      <c r="AD36" t="s">
        <v>40</v>
      </c>
      <c r="AE36" t="s">
        <v>40</v>
      </c>
      <c r="AF36" t="s">
        <v>40</v>
      </c>
      <c r="AH36" s="21"/>
    </row>
    <row r="37" spans="2:35" x14ac:dyDescent="0.2">
      <c r="B37" s="20" t="s">
        <v>44</v>
      </c>
      <c r="C37" s="20"/>
      <c r="D37" t="s">
        <v>40</v>
      </c>
      <c r="E37">
        <v>3437</v>
      </c>
      <c r="F37">
        <v>25</v>
      </c>
      <c r="G37" s="7" t="s">
        <v>40</v>
      </c>
      <c r="H37">
        <v>48</v>
      </c>
      <c r="I37">
        <v>0.26</v>
      </c>
      <c r="K37">
        <v>219</v>
      </c>
      <c r="L37">
        <v>523</v>
      </c>
      <c r="M37">
        <v>72</v>
      </c>
      <c r="N37">
        <v>72</v>
      </c>
      <c r="O37" t="s">
        <v>40</v>
      </c>
      <c r="P37" t="s">
        <v>40</v>
      </c>
      <c r="Q37">
        <v>170</v>
      </c>
      <c r="R37">
        <v>68</v>
      </c>
      <c r="S37" t="s">
        <v>40</v>
      </c>
      <c r="T37" t="s">
        <v>40</v>
      </c>
      <c r="V37" t="s">
        <v>40</v>
      </c>
      <c r="W37" t="s">
        <v>40</v>
      </c>
      <c r="X37" t="s">
        <v>40</v>
      </c>
      <c r="Y37" t="s">
        <v>40</v>
      </c>
      <c r="Z37" t="s">
        <v>40</v>
      </c>
      <c r="AA37" t="s">
        <v>40</v>
      </c>
      <c r="AD37" t="s">
        <v>40</v>
      </c>
      <c r="AE37" t="s">
        <v>40</v>
      </c>
      <c r="AF37" t="s">
        <v>40</v>
      </c>
      <c r="AH37" t="s">
        <v>126</v>
      </c>
    </row>
    <row r="38" spans="2:35" x14ac:dyDescent="0.2">
      <c r="B38" s="20" t="s">
        <v>44</v>
      </c>
      <c r="C38" s="20"/>
      <c r="D38" t="s">
        <v>40</v>
      </c>
      <c r="E38">
        <v>3437</v>
      </c>
      <c r="F38" t="s">
        <v>127</v>
      </c>
      <c r="G38">
        <v>4</v>
      </c>
      <c r="H38">
        <v>48</v>
      </c>
      <c r="I38" t="s">
        <v>40</v>
      </c>
      <c r="K38" t="s">
        <v>40</v>
      </c>
      <c r="L38" t="s">
        <v>40</v>
      </c>
      <c r="M38" t="s">
        <v>40</v>
      </c>
      <c r="N38">
        <f>(30+12+77.3+55)/4</f>
        <v>43.575000000000003</v>
      </c>
      <c r="O38" t="s">
        <v>40</v>
      </c>
      <c r="P38" t="s">
        <v>40</v>
      </c>
      <c r="Q38" t="s">
        <v>40</v>
      </c>
      <c r="R38">
        <f>(66.9+63.6+53.8+58.3)/4</f>
        <v>60.650000000000006</v>
      </c>
      <c r="S38" t="s">
        <v>40</v>
      </c>
      <c r="T38" t="s">
        <v>40</v>
      </c>
      <c r="V38">
        <v>0.04</v>
      </c>
      <c r="W38" t="s">
        <v>40</v>
      </c>
      <c r="X38" t="s">
        <v>40</v>
      </c>
      <c r="Y38" t="s">
        <v>40</v>
      </c>
      <c r="Z38" t="s">
        <v>40</v>
      </c>
      <c r="AA38" t="s">
        <v>40</v>
      </c>
      <c r="AD38" t="s">
        <v>40</v>
      </c>
      <c r="AE38" t="s">
        <v>40</v>
      </c>
      <c r="AF38" t="s">
        <v>40</v>
      </c>
      <c r="AH38" s="20" t="s">
        <v>87</v>
      </c>
    </row>
    <row r="39" spans="2:35" x14ac:dyDescent="0.2">
      <c r="B39" s="20" t="s">
        <v>44</v>
      </c>
      <c r="C39" s="20"/>
      <c r="D39" t="s">
        <v>40</v>
      </c>
      <c r="E39">
        <v>4468</v>
      </c>
      <c r="F39" t="s">
        <v>128</v>
      </c>
      <c r="G39">
        <v>4</v>
      </c>
      <c r="H39">
        <v>48</v>
      </c>
      <c r="I39" t="s">
        <v>40</v>
      </c>
      <c r="K39" t="s">
        <v>40</v>
      </c>
      <c r="L39" t="s">
        <v>40</v>
      </c>
      <c r="M39" t="s">
        <v>40</v>
      </c>
      <c r="N39">
        <f>(43.9+47.4+47.4+42.7)/4</f>
        <v>45.349999999999994</v>
      </c>
      <c r="O39" t="s">
        <v>40</v>
      </c>
      <c r="P39" t="s">
        <v>40</v>
      </c>
      <c r="Q39" t="s">
        <v>40</v>
      </c>
      <c r="R39">
        <f>(35.1+56.1+73.7+70.3)/4</f>
        <v>58.8</v>
      </c>
      <c r="S39" t="s">
        <v>40</v>
      </c>
      <c r="T39" t="s">
        <v>40</v>
      </c>
      <c r="V39">
        <v>5.5E-2</v>
      </c>
      <c r="W39" t="s">
        <v>40</v>
      </c>
      <c r="X39" t="s">
        <v>40</v>
      </c>
      <c r="Y39" t="s">
        <v>40</v>
      </c>
      <c r="Z39" t="s">
        <v>40</v>
      </c>
      <c r="AA39" t="s">
        <v>40</v>
      </c>
      <c r="AD39" t="s">
        <v>40</v>
      </c>
      <c r="AE39" t="s">
        <v>40</v>
      </c>
      <c r="AF39" t="s">
        <v>40</v>
      </c>
      <c r="AH39" s="20"/>
    </row>
    <row r="40" spans="2:35" x14ac:dyDescent="0.2">
      <c r="B40" s="20" t="s">
        <v>44</v>
      </c>
      <c r="C40" s="20"/>
      <c r="D40" t="s">
        <v>40</v>
      </c>
      <c r="E40">
        <v>11475</v>
      </c>
      <c r="F40">
        <v>17</v>
      </c>
      <c r="G40" s="7" t="s">
        <v>40</v>
      </c>
      <c r="H40">
        <v>60</v>
      </c>
      <c r="I40">
        <v>0.3</v>
      </c>
      <c r="K40">
        <v>347</v>
      </c>
      <c r="L40" s="6">
        <v>745</v>
      </c>
      <c r="M40" s="6">
        <v>71</v>
      </c>
      <c r="N40">
        <v>79</v>
      </c>
      <c r="O40" t="s">
        <v>40</v>
      </c>
      <c r="P40" t="s">
        <v>40</v>
      </c>
      <c r="Q40">
        <v>153</v>
      </c>
      <c r="R40">
        <v>79</v>
      </c>
      <c r="S40" t="s">
        <v>40</v>
      </c>
      <c r="T40" t="s">
        <v>40</v>
      </c>
      <c r="V40" t="s">
        <v>40</v>
      </c>
      <c r="W40" t="s">
        <v>40</v>
      </c>
      <c r="X40" t="s">
        <v>40</v>
      </c>
      <c r="Y40" t="s">
        <v>40</v>
      </c>
      <c r="Z40" t="s">
        <v>40</v>
      </c>
      <c r="AA40" t="s">
        <v>40</v>
      </c>
      <c r="AD40" t="s">
        <v>40</v>
      </c>
      <c r="AE40" t="s">
        <v>40</v>
      </c>
      <c r="AF40" t="s">
        <v>40</v>
      </c>
      <c r="AH40" t="s">
        <v>91</v>
      </c>
    </row>
    <row r="43" spans="2:35" x14ac:dyDescent="0.2">
      <c r="F43">
        <f>COUNT(H2:H40)</f>
        <v>39</v>
      </c>
    </row>
  </sheetData>
  <mergeCells count="39">
    <mergeCell ref="B2:C2"/>
    <mergeCell ref="B3:C3"/>
    <mergeCell ref="B4:C4"/>
    <mergeCell ref="B5:C5"/>
    <mergeCell ref="B6:C6"/>
    <mergeCell ref="B7:C7"/>
    <mergeCell ref="B8:C8"/>
    <mergeCell ref="B9:C9"/>
    <mergeCell ref="AH9:AH10"/>
    <mergeCell ref="B10:C10"/>
    <mergeCell ref="B29:C29"/>
    <mergeCell ref="B11:C11"/>
    <mergeCell ref="AH11:AH34"/>
    <mergeCell ref="B12:C12"/>
    <mergeCell ref="B13:C13"/>
    <mergeCell ref="B14:C14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30:C30"/>
    <mergeCell ref="B31:C31"/>
    <mergeCell ref="B32:C32"/>
    <mergeCell ref="B33:C33"/>
    <mergeCell ref="B34:C34"/>
    <mergeCell ref="B40:C40"/>
    <mergeCell ref="AH35:AH36"/>
    <mergeCell ref="B36:C36"/>
    <mergeCell ref="B37:C37"/>
    <mergeCell ref="B38:C38"/>
    <mergeCell ref="AH38:AH39"/>
    <mergeCell ref="B39:C39"/>
    <mergeCell ref="B35:C3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4D631-4845-4C64-A2EB-0F946E8CED1E}">
  <dimension ref="A1:AL53"/>
  <sheetViews>
    <sheetView topLeftCell="A6" workbookViewId="0">
      <selection activeCell="M36" sqref="M36"/>
    </sheetView>
  </sheetViews>
  <sheetFormatPr defaultRowHeight="14.25" x14ac:dyDescent="0.2"/>
  <cols>
    <col min="18" max="18" width="9.5" customWidth="1"/>
  </cols>
  <sheetData>
    <row r="1" spans="1:38" ht="28.5" x14ac:dyDescent="0.2">
      <c r="A1" t="s">
        <v>15</v>
      </c>
      <c r="B1" t="s">
        <v>17</v>
      </c>
      <c r="C1" t="s">
        <v>18</v>
      </c>
      <c r="D1" t="s">
        <v>26</v>
      </c>
      <c r="J1" t="s">
        <v>15</v>
      </c>
      <c r="K1" t="s">
        <v>17</v>
      </c>
      <c r="L1" t="s">
        <v>18</v>
      </c>
      <c r="M1" t="s">
        <v>22</v>
      </c>
      <c r="P1" s="4" t="s">
        <v>15</v>
      </c>
      <c r="Q1" s="4" t="s">
        <v>17</v>
      </c>
      <c r="R1" s="4" t="s">
        <v>19</v>
      </c>
      <c r="S1" s="4" t="s">
        <v>21</v>
      </c>
      <c r="T1" s="4" t="s">
        <v>22</v>
      </c>
      <c r="W1" s="4" t="s">
        <v>19</v>
      </c>
      <c r="X1" s="4" t="s">
        <v>15</v>
      </c>
      <c r="Y1" s="4" t="s">
        <v>17</v>
      </c>
      <c r="Z1" s="4" t="s">
        <v>21</v>
      </c>
    </row>
    <row r="2" spans="1:38" x14ac:dyDescent="0.2">
      <c r="A2">
        <v>17</v>
      </c>
      <c r="B2">
        <v>60</v>
      </c>
      <c r="C2">
        <v>0.3</v>
      </c>
      <c r="D2">
        <v>79</v>
      </c>
      <c r="J2">
        <v>16.600000000000001</v>
      </c>
      <c r="K2">
        <v>9.6000000000000014</v>
      </c>
      <c r="L2" t="s">
        <v>40</v>
      </c>
      <c r="M2">
        <v>64.449999999999989</v>
      </c>
      <c r="P2">
        <v>16.600000000000001</v>
      </c>
      <c r="Q2">
        <v>9.6000000000000014</v>
      </c>
      <c r="R2">
        <v>49.05</v>
      </c>
      <c r="S2">
        <v>17.437275000000007</v>
      </c>
      <c r="T2">
        <v>64.449999999999989</v>
      </c>
      <c r="U2">
        <f>R2-R2*(T2/100)</f>
        <v>17.437275000000007</v>
      </c>
      <c r="W2">
        <v>49.05</v>
      </c>
      <c r="X2">
        <v>16.600000000000001</v>
      </c>
      <c r="Y2">
        <v>9.6000000000000014</v>
      </c>
      <c r="Z2">
        <v>17.437275000000007</v>
      </c>
    </row>
    <row r="3" spans="1:38" x14ac:dyDescent="0.2">
      <c r="A3">
        <v>18</v>
      </c>
      <c r="B3">
        <v>24</v>
      </c>
      <c r="C3">
        <v>0.83</v>
      </c>
      <c r="D3">
        <v>48</v>
      </c>
      <c r="J3">
        <v>17</v>
      </c>
      <c r="K3">
        <v>60</v>
      </c>
      <c r="L3">
        <v>0.3</v>
      </c>
      <c r="M3">
        <v>79</v>
      </c>
      <c r="P3">
        <v>17</v>
      </c>
      <c r="Q3">
        <v>60</v>
      </c>
      <c r="R3">
        <v>347</v>
      </c>
      <c r="S3" s="6">
        <v>71</v>
      </c>
      <c r="T3">
        <v>79</v>
      </c>
      <c r="U3">
        <f t="shared" ref="U3:U23" si="0">R3-R3*(T3/100)</f>
        <v>72.87</v>
      </c>
      <c r="W3">
        <v>347</v>
      </c>
      <c r="X3">
        <v>17</v>
      </c>
      <c r="Y3">
        <v>60</v>
      </c>
      <c r="Z3" s="6">
        <v>71</v>
      </c>
      <c r="AH3" t="s">
        <v>147</v>
      </c>
      <c r="AL3" t="s">
        <v>148</v>
      </c>
    </row>
    <row r="4" spans="1:38" x14ac:dyDescent="0.2">
      <c r="A4">
        <v>18</v>
      </c>
      <c r="B4">
        <v>115</v>
      </c>
      <c r="C4">
        <v>0.2</v>
      </c>
      <c r="D4">
        <v>51</v>
      </c>
      <c r="J4">
        <v>18</v>
      </c>
      <c r="K4">
        <v>24</v>
      </c>
      <c r="L4">
        <v>0.83</v>
      </c>
      <c r="M4">
        <v>56</v>
      </c>
      <c r="P4">
        <v>18</v>
      </c>
      <c r="Q4">
        <v>24</v>
      </c>
      <c r="R4">
        <v>484</v>
      </c>
      <c r="S4" s="6">
        <v>212.95999999999998</v>
      </c>
      <c r="T4">
        <v>56</v>
      </c>
      <c r="U4">
        <f t="shared" si="0"/>
        <v>212.95999999999998</v>
      </c>
      <c r="W4">
        <v>484</v>
      </c>
      <c r="X4">
        <v>18</v>
      </c>
      <c r="Y4">
        <v>24</v>
      </c>
      <c r="Z4" s="6">
        <v>212.95999999999998</v>
      </c>
      <c r="AF4">
        <v>1</v>
      </c>
      <c r="AG4">
        <v>24</v>
      </c>
      <c r="AH4">
        <v>45.2</v>
      </c>
      <c r="AI4" t="s">
        <v>40</v>
      </c>
      <c r="AJ4" t="s">
        <v>40</v>
      </c>
      <c r="AK4" t="s">
        <v>40</v>
      </c>
      <c r="AL4">
        <v>34.4</v>
      </c>
    </row>
    <row r="5" spans="1:38" x14ac:dyDescent="0.2">
      <c r="A5">
        <v>18</v>
      </c>
      <c r="B5">
        <v>91.199999999999989</v>
      </c>
      <c r="C5">
        <v>0.24</v>
      </c>
      <c r="D5">
        <v>60</v>
      </c>
      <c r="J5">
        <v>18</v>
      </c>
      <c r="K5">
        <v>115</v>
      </c>
      <c r="L5">
        <v>0.2</v>
      </c>
      <c r="M5">
        <v>63</v>
      </c>
      <c r="P5">
        <v>18</v>
      </c>
      <c r="Q5">
        <v>115</v>
      </c>
      <c r="R5">
        <v>594</v>
      </c>
      <c r="S5">
        <v>217</v>
      </c>
      <c r="T5">
        <v>63</v>
      </c>
      <c r="U5">
        <f t="shared" si="0"/>
        <v>219.77999999999997</v>
      </c>
      <c r="W5">
        <v>594</v>
      </c>
      <c r="X5">
        <v>18</v>
      </c>
      <c r="Y5">
        <v>115</v>
      </c>
      <c r="Z5">
        <v>217</v>
      </c>
      <c r="AF5">
        <v>2</v>
      </c>
      <c r="AG5">
        <v>21</v>
      </c>
      <c r="AH5">
        <v>56.7</v>
      </c>
      <c r="AI5" t="s">
        <v>40</v>
      </c>
      <c r="AJ5" t="s">
        <v>40</v>
      </c>
      <c r="AK5" t="s">
        <v>40</v>
      </c>
      <c r="AL5">
        <v>62.1</v>
      </c>
    </row>
    <row r="6" spans="1:38" x14ac:dyDescent="0.2">
      <c r="A6">
        <v>18.600000000000001</v>
      </c>
      <c r="B6">
        <v>115</v>
      </c>
      <c r="C6">
        <v>0.12</v>
      </c>
      <c r="D6">
        <v>22</v>
      </c>
      <c r="J6">
        <v>18</v>
      </c>
      <c r="K6">
        <v>91.199999999999989</v>
      </c>
      <c r="L6">
        <v>0.24</v>
      </c>
      <c r="M6">
        <v>66</v>
      </c>
      <c r="P6">
        <v>18</v>
      </c>
      <c r="Q6">
        <v>91.199999999999989</v>
      </c>
      <c r="R6">
        <v>504</v>
      </c>
      <c r="S6" s="6">
        <v>170</v>
      </c>
      <c r="T6">
        <v>66</v>
      </c>
      <c r="U6">
        <f t="shared" si="0"/>
        <v>171.35999999999996</v>
      </c>
      <c r="W6">
        <v>504</v>
      </c>
      <c r="X6">
        <v>18</v>
      </c>
      <c r="Y6">
        <v>91.199999999999989</v>
      </c>
      <c r="Z6" s="6">
        <v>170</v>
      </c>
      <c r="AF6">
        <v>3</v>
      </c>
      <c r="AG6">
        <v>16</v>
      </c>
      <c r="AH6">
        <v>56.7</v>
      </c>
      <c r="AI6" t="s">
        <v>40</v>
      </c>
      <c r="AJ6" t="s">
        <v>40</v>
      </c>
      <c r="AK6" t="s">
        <v>40</v>
      </c>
      <c r="AL6">
        <v>54.7</v>
      </c>
    </row>
    <row r="7" spans="1:38" x14ac:dyDescent="0.2">
      <c r="A7">
        <v>23.091666666666669</v>
      </c>
      <c r="B7">
        <v>50.646698434309059</v>
      </c>
      <c r="C7">
        <v>0.27989978494623652</v>
      </c>
      <c r="D7">
        <v>41.68</v>
      </c>
      <c r="J7">
        <v>18.600000000000001</v>
      </c>
      <c r="K7">
        <v>115</v>
      </c>
      <c r="L7">
        <v>0.12</v>
      </c>
      <c r="M7">
        <v>55</v>
      </c>
      <c r="P7">
        <v>18.600000000000001</v>
      </c>
      <c r="Q7">
        <v>115</v>
      </c>
      <c r="R7">
        <v>256</v>
      </c>
      <c r="S7" s="6">
        <v>115.19999999999999</v>
      </c>
      <c r="T7">
        <v>55</v>
      </c>
      <c r="U7">
        <f t="shared" si="0"/>
        <v>115.19999999999999</v>
      </c>
      <c r="W7">
        <v>256</v>
      </c>
      <c r="X7">
        <v>18.600000000000001</v>
      </c>
      <c r="Y7">
        <v>115</v>
      </c>
      <c r="Z7" s="6">
        <v>115.19999999999999</v>
      </c>
      <c r="AF7">
        <v>4</v>
      </c>
      <c r="AG7">
        <v>11</v>
      </c>
      <c r="AH7">
        <v>59.8</v>
      </c>
      <c r="AI7" t="s">
        <v>40</v>
      </c>
      <c r="AJ7" t="s">
        <v>40</v>
      </c>
      <c r="AK7" t="s">
        <v>40</v>
      </c>
      <c r="AL7">
        <v>53.4</v>
      </c>
    </row>
    <row r="8" spans="1:38" x14ac:dyDescent="0.2">
      <c r="A8">
        <v>23.4</v>
      </c>
      <c r="B8">
        <v>298.66666666666669</v>
      </c>
      <c r="C8">
        <v>4.5482142857142853E-2</v>
      </c>
      <c r="D8">
        <v>28.886925795053003</v>
      </c>
      <c r="J8">
        <v>21.25</v>
      </c>
      <c r="K8">
        <v>48</v>
      </c>
      <c r="L8" t="s">
        <v>40</v>
      </c>
      <c r="M8">
        <v>48.6</v>
      </c>
      <c r="P8">
        <v>21.25</v>
      </c>
      <c r="Q8">
        <v>48</v>
      </c>
      <c r="R8">
        <v>320</v>
      </c>
      <c r="S8">
        <v>150</v>
      </c>
      <c r="T8">
        <v>48.6</v>
      </c>
      <c r="U8">
        <f t="shared" si="0"/>
        <v>164.48000000000002</v>
      </c>
      <c r="W8">
        <v>320</v>
      </c>
      <c r="X8">
        <v>21.25</v>
      </c>
      <c r="Y8">
        <v>48</v>
      </c>
      <c r="Z8">
        <v>150</v>
      </c>
      <c r="AG8">
        <v>21</v>
      </c>
      <c r="AH8">
        <v>55.2</v>
      </c>
      <c r="AI8" t="s">
        <v>40</v>
      </c>
      <c r="AJ8" t="s">
        <v>40</v>
      </c>
      <c r="AK8" t="s">
        <v>40</v>
      </c>
      <c r="AL8">
        <v>45.7</v>
      </c>
    </row>
    <row r="9" spans="1:38" x14ac:dyDescent="0.2">
      <c r="A9">
        <v>24.45</v>
      </c>
      <c r="B9">
        <v>12</v>
      </c>
      <c r="C9">
        <v>0.745</v>
      </c>
      <c r="D9">
        <v>32.299999999999997</v>
      </c>
      <c r="J9">
        <v>23.091666666666669</v>
      </c>
      <c r="K9">
        <v>50.646698434309059</v>
      </c>
      <c r="L9">
        <v>0.27989978494623652</v>
      </c>
      <c r="M9">
        <v>66.28</v>
      </c>
      <c r="P9" s="6">
        <v>23.091666666666669</v>
      </c>
      <c r="Q9" s="6">
        <v>50.646698434309059</v>
      </c>
      <c r="R9" s="6">
        <v>290.58333333333331</v>
      </c>
      <c r="S9">
        <v>97.984699999999975</v>
      </c>
      <c r="T9">
        <v>66.28</v>
      </c>
      <c r="U9">
        <f t="shared" si="0"/>
        <v>97.984699999999975</v>
      </c>
      <c r="W9" s="6">
        <v>290.58333333333331</v>
      </c>
      <c r="X9" s="6">
        <v>23.091666666666669</v>
      </c>
      <c r="Y9" s="6">
        <v>50.646698434309059</v>
      </c>
      <c r="Z9">
        <v>97.984699999999975</v>
      </c>
      <c r="AF9">
        <v>5</v>
      </c>
      <c r="AG9">
        <v>17</v>
      </c>
      <c r="AH9">
        <v>67.3</v>
      </c>
      <c r="AI9" t="s">
        <v>40</v>
      </c>
      <c r="AJ9" t="s">
        <v>40</v>
      </c>
      <c r="AK9" t="s">
        <v>40</v>
      </c>
      <c r="AL9">
        <v>44.5</v>
      </c>
    </row>
    <row r="10" spans="1:38" x14ac:dyDescent="0.2">
      <c r="A10">
        <v>24.45</v>
      </c>
      <c r="B10">
        <v>24</v>
      </c>
      <c r="C10">
        <v>0.372</v>
      </c>
      <c r="D10">
        <v>34.4</v>
      </c>
      <c r="J10">
        <v>23.4</v>
      </c>
      <c r="K10">
        <v>298.66666666666669</v>
      </c>
      <c r="L10">
        <v>4.5482142857142853E-2</v>
      </c>
      <c r="M10">
        <v>24.381625441696116</v>
      </c>
      <c r="P10">
        <v>23.4</v>
      </c>
      <c r="Q10" s="6">
        <v>298.66666666666669</v>
      </c>
      <c r="R10">
        <v>283</v>
      </c>
      <c r="S10">
        <v>214</v>
      </c>
      <c r="T10">
        <v>24.381625441696116</v>
      </c>
      <c r="U10">
        <f t="shared" si="0"/>
        <v>214</v>
      </c>
      <c r="W10">
        <v>283</v>
      </c>
      <c r="X10">
        <v>23.4</v>
      </c>
      <c r="Y10" s="6">
        <v>298.66666666666669</v>
      </c>
      <c r="Z10">
        <v>214</v>
      </c>
      <c r="AF10">
        <v>6</v>
      </c>
      <c r="AG10">
        <v>13</v>
      </c>
      <c r="AH10">
        <v>68.099999999999994</v>
      </c>
      <c r="AI10" t="s">
        <v>40</v>
      </c>
      <c r="AJ10" t="s">
        <v>40</v>
      </c>
      <c r="AK10" t="s">
        <v>40</v>
      </c>
      <c r="AL10">
        <v>42.1</v>
      </c>
    </row>
    <row r="11" spans="1:38" x14ac:dyDescent="0.2">
      <c r="A11">
        <v>24.45</v>
      </c>
      <c r="B11">
        <v>21</v>
      </c>
      <c r="C11">
        <v>0.42499999999999999</v>
      </c>
      <c r="D11">
        <v>39.6</v>
      </c>
      <c r="J11">
        <v>24.45</v>
      </c>
      <c r="K11">
        <v>21</v>
      </c>
      <c r="L11">
        <v>0.42499999999999999</v>
      </c>
      <c r="M11">
        <v>39</v>
      </c>
      <c r="P11">
        <v>25</v>
      </c>
      <c r="Q11">
        <v>48</v>
      </c>
      <c r="R11">
        <v>219</v>
      </c>
      <c r="S11">
        <v>72</v>
      </c>
      <c r="T11">
        <v>72</v>
      </c>
      <c r="U11">
        <f t="shared" si="0"/>
        <v>61.319999999999993</v>
      </c>
      <c r="W11">
        <v>219</v>
      </c>
      <c r="X11">
        <v>25</v>
      </c>
      <c r="Y11">
        <v>48</v>
      </c>
      <c r="Z11">
        <v>72</v>
      </c>
      <c r="AF11">
        <v>7</v>
      </c>
      <c r="AG11">
        <v>8</v>
      </c>
      <c r="AH11">
        <v>63.4</v>
      </c>
      <c r="AI11" t="s">
        <v>40</v>
      </c>
      <c r="AJ11" t="s">
        <v>40</v>
      </c>
      <c r="AK11" t="s">
        <v>40</v>
      </c>
      <c r="AL11">
        <v>54.6</v>
      </c>
    </row>
    <row r="12" spans="1:38" x14ac:dyDescent="0.2">
      <c r="A12">
        <v>24.45</v>
      </c>
      <c r="B12">
        <v>11</v>
      </c>
      <c r="C12">
        <v>1.3939999999999999</v>
      </c>
      <c r="D12">
        <v>53.4</v>
      </c>
      <c r="J12">
        <v>24.45</v>
      </c>
      <c r="K12">
        <v>12</v>
      </c>
      <c r="L12">
        <v>0.745</v>
      </c>
      <c r="M12">
        <v>41.5</v>
      </c>
      <c r="P12">
        <v>24.45</v>
      </c>
      <c r="Q12">
        <v>25</v>
      </c>
      <c r="R12">
        <v>236</v>
      </c>
      <c r="S12">
        <v>83.78</v>
      </c>
      <c r="T12">
        <v>64.5</v>
      </c>
      <c r="U12">
        <f t="shared" si="0"/>
        <v>83.78</v>
      </c>
      <c r="W12">
        <v>236</v>
      </c>
      <c r="X12">
        <v>24.45</v>
      </c>
      <c r="Y12">
        <v>25</v>
      </c>
      <c r="Z12">
        <v>83.78</v>
      </c>
    </row>
    <row r="13" spans="1:38" x14ac:dyDescent="0.2">
      <c r="A13">
        <v>24.45</v>
      </c>
      <c r="B13">
        <v>13</v>
      </c>
      <c r="C13">
        <v>0.96299999999999997</v>
      </c>
      <c r="D13">
        <v>54.6</v>
      </c>
      <c r="J13">
        <v>24.45</v>
      </c>
      <c r="K13">
        <v>24</v>
      </c>
      <c r="L13">
        <v>0.372</v>
      </c>
      <c r="M13">
        <v>45.2</v>
      </c>
      <c r="P13">
        <v>24.45</v>
      </c>
      <c r="Q13">
        <v>21</v>
      </c>
      <c r="R13">
        <v>236</v>
      </c>
      <c r="S13">
        <v>143.95999999999998</v>
      </c>
      <c r="T13">
        <v>39</v>
      </c>
      <c r="U13">
        <f t="shared" si="0"/>
        <v>143.95999999999998</v>
      </c>
      <c r="W13">
        <v>236</v>
      </c>
      <c r="X13">
        <v>24.45</v>
      </c>
      <c r="Y13">
        <v>21</v>
      </c>
      <c r="Z13">
        <v>143.95999999999998</v>
      </c>
    </row>
    <row r="14" spans="1:38" x14ac:dyDescent="0.2">
      <c r="A14">
        <v>24.45</v>
      </c>
      <c r="B14">
        <v>16</v>
      </c>
      <c r="C14">
        <v>0.78300000000000003</v>
      </c>
      <c r="D14">
        <v>54.7</v>
      </c>
      <c r="J14">
        <v>24.45</v>
      </c>
      <c r="K14">
        <v>16</v>
      </c>
      <c r="L14">
        <v>0.873</v>
      </c>
      <c r="M14">
        <v>53.2</v>
      </c>
      <c r="P14">
        <v>24.45</v>
      </c>
      <c r="Q14">
        <v>16</v>
      </c>
      <c r="R14">
        <v>236</v>
      </c>
      <c r="S14">
        <v>110.44799999999999</v>
      </c>
      <c r="T14">
        <v>53.2</v>
      </c>
      <c r="U14">
        <f t="shared" si="0"/>
        <v>110.44799999999999</v>
      </c>
      <c r="W14">
        <v>236</v>
      </c>
      <c r="X14">
        <v>24.45</v>
      </c>
      <c r="Y14">
        <v>16</v>
      </c>
      <c r="Z14">
        <v>110.44799999999999</v>
      </c>
    </row>
    <row r="15" spans="1:38" x14ac:dyDescent="0.2">
      <c r="A15">
        <v>24.45</v>
      </c>
      <c r="B15">
        <v>25</v>
      </c>
      <c r="C15">
        <v>0.501</v>
      </c>
      <c r="D15">
        <v>56.8</v>
      </c>
      <c r="J15">
        <v>24.45</v>
      </c>
      <c r="K15">
        <v>21</v>
      </c>
      <c r="L15">
        <v>0.65500000000000003</v>
      </c>
      <c r="M15">
        <v>56.7</v>
      </c>
      <c r="P15">
        <v>24.45</v>
      </c>
      <c r="Q15">
        <v>13</v>
      </c>
      <c r="R15">
        <v>236</v>
      </c>
      <c r="S15">
        <v>91.804000000000002</v>
      </c>
      <c r="T15">
        <v>61.1</v>
      </c>
      <c r="U15">
        <f t="shared" si="0"/>
        <v>91.804000000000002</v>
      </c>
      <c r="W15">
        <v>236</v>
      </c>
      <c r="X15">
        <v>24.45</v>
      </c>
      <c r="Y15">
        <v>13</v>
      </c>
      <c r="Z15">
        <v>91.804000000000002</v>
      </c>
    </row>
    <row r="16" spans="1:38" x14ac:dyDescent="0.2">
      <c r="A16">
        <v>24.45</v>
      </c>
      <c r="B16">
        <v>16</v>
      </c>
      <c r="C16">
        <v>0.873</v>
      </c>
      <c r="D16">
        <v>57</v>
      </c>
      <c r="J16">
        <v>24.45</v>
      </c>
      <c r="K16">
        <v>16</v>
      </c>
      <c r="L16">
        <v>0.78300000000000003</v>
      </c>
      <c r="M16">
        <v>56.7</v>
      </c>
      <c r="P16">
        <v>24.45</v>
      </c>
      <c r="Q16">
        <v>25</v>
      </c>
      <c r="R16">
        <v>236</v>
      </c>
      <c r="S16">
        <v>95.108000000000004</v>
      </c>
      <c r="T16">
        <v>59.7</v>
      </c>
      <c r="U16">
        <f t="shared" si="0"/>
        <v>95.108000000000004</v>
      </c>
      <c r="W16">
        <v>236</v>
      </c>
      <c r="X16">
        <v>24.45</v>
      </c>
      <c r="Y16">
        <v>25</v>
      </c>
      <c r="Z16">
        <v>95.108000000000004</v>
      </c>
    </row>
    <row r="17" spans="1:26" x14ac:dyDescent="0.2">
      <c r="A17">
        <v>24.45</v>
      </c>
      <c r="B17">
        <v>25</v>
      </c>
      <c r="C17">
        <v>0.61299999999999999</v>
      </c>
      <c r="D17">
        <v>60</v>
      </c>
      <c r="J17">
        <v>24.45</v>
      </c>
      <c r="K17">
        <v>25</v>
      </c>
      <c r="L17">
        <v>0.501</v>
      </c>
      <c r="M17">
        <v>59.7</v>
      </c>
      <c r="P17">
        <v>24.45</v>
      </c>
      <c r="Q17">
        <v>21</v>
      </c>
      <c r="R17">
        <v>236</v>
      </c>
      <c r="S17">
        <v>68.912000000000006</v>
      </c>
      <c r="T17">
        <v>70.8</v>
      </c>
      <c r="U17">
        <f t="shared" si="0"/>
        <v>68.912000000000006</v>
      </c>
      <c r="W17">
        <v>236</v>
      </c>
      <c r="X17">
        <v>24.45</v>
      </c>
      <c r="Y17">
        <v>21</v>
      </c>
      <c r="Z17">
        <v>68.912000000000006</v>
      </c>
    </row>
    <row r="18" spans="1:26" x14ac:dyDescent="0.2">
      <c r="A18">
        <v>24.45</v>
      </c>
      <c r="B18">
        <v>21</v>
      </c>
      <c r="C18">
        <v>0.73</v>
      </c>
      <c r="D18">
        <v>60.9</v>
      </c>
      <c r="J18">
        <v>24.45</v>
      </c>
      <c r="K18">
        <v>11</v>
      </c>
      <c r="L18">
        <v>1.3939999999999999</v>
      </c>
      <c r="M18">
        <v>59.8</v>
      </c>
      <c r="P18">
        <v>24.45</v>
      </c>
      <c r="Q18">
        <v>17</v>
      </c>
      <c r="R18">
        <v>236</v>
      </c>
      <c r="S18">
        <v>84.488</v>
      </c>
      <c r="T18">
        <v>64.2</v>
      </c>
      <c r="U18">
        <f t="shared" si="0"/>
        <v>84.488</v>
      </c>
      <c r="W18">
        <v>236</v>
      </c>
      <c r="X18">
        <v>24.45</v>
      </c>
      <c r="Y18">
        <v>17</v>
      </c>
      <c r="Z18">
        <v>84.488</v>
      </c>
    </row>
    <row r="19" spans="1:26" x14ac:dyDescent="0.2">
      <c r="A19">
        <v>24.45</v>
      </c>
      <c r="B19">
        <v>21</v>
      </c>
      <c r="C19">
        <v>0.65500000000000003</v>
      </c>
      <c r="D19">
        <v>62.1</v>
      </c>
      <c r="J19">
        <v>24.45</v>
      </c>
      <c r="K19">
        <v>13</v>
      </c>
      <c r="L19">
        <v>0.96299999999999997</v>
      </c>
      <c r="M19">
        <v>61.1</v>
      </c>
      <c r="P19">
        <v>24.45</v>
      </c>
      <c r="Q19">
        <v>12</v>
      </c>
      <c r="R19">
        <v>236</v>
      </c>
      <c r="S19">
        <v>138.06</v>
      </c>
      <c r="T19">
        <v>41.5</v>
      </c>
      <c r="U19">
        <f t="shared" si="0"/>
        <v>138.06</v>
      </c>
      <c r="W19">
        <v>236</v>
      </c>
      <c r="X19">
        <v>24.45</v>
      </c>
      <c r="Y19">
        <v>12</v>
      </c>
      <c r="Z19">
        <v>138.06</v>
      </c>
    </row>
    <row r="20" spans="1:26" x14ac:dyDescent="0.2">
      <c r="A20">
        <v>24.45</v>
      </c>
      <c r="B20">
        <v>17</v>
      </c>
      <c r="C20">
        <v>0.82199999999999995</v>
      </c>
      <c r="D20">
        <v>62.9</v>
      </c>
      <c r="J20">
        <v>24.45</v>
      </c>
      <c r="K20">
        <v>17</v>
      </c>
      <c r="L20">
        <v>0.82199999999999995</v>
      </c>
      <c r="M20">
        <v>64.2</v>
      </c>
      <c r="P20">
        <v>24.45</v>
      </c>
      <c r="Q20">
        <v>24</v>
      </c>
      <c r="R20">
        <v>236</v>
      </c>
      <c r="S20">
        <v>129.328</v>
      </c>
      <c r="T20">
        <v>45.2</v>
      </c>
      <c r="U20">
        <f t="shared" si="0"/>
        <v>129.328</v>
      </c>
      <c r="W20">
        <v>236</v>
      </c>
      <c r="X20">
        <v>24.45</v>
      </c>
      <c r="Y20">
        <v>24</v>
      </c>
      <c r="Z20">
        <v>129.328</v>
      </c>
    </row>
    <row r="21" spans="1:26" x14ac:dyDescent="0.2">
      <c r="A21">
        <v>25</v>
      </c>
      <c r="B21">
        <v>48</v>
      </c>
      <c r="C21">
        <v>0.26</v>
      </c>
      <c r="D21">
        <v>68</v>
      </c>
      <c r="J21">
        <v>24.45</v>
      </c>
      <c r="K21">
        <v>25</v>
      </c>
      <c r="L21">
        <v>0.61299999999999999</v>
      </c>
      <c r="M21">
        <v>64.5</v>
      </c>
      <c r="P21">
        <v>24.45</v>
      </c>
      <c r="Q21">
        <v>21</v>
      </c>
      <c r="R21">
        <v>236</v>
      </c>
      <c r="S21">
        <v>102.18799999999999</v>
      </c>
      <c r="T21">
        <v>56.7</v>
      </c>
      <c r="U21">
        <f t="shared" si="0"/>
        <v>102.18799999999999</v>
      </c>
      <c r="W21">
        <v>236</v>
      </c>
      <c r="X21">
        <v>24.45</v>
      </c>
      <c r="Y21">
        <v>21</v>
      </c>
      <c r="Z21">
        <v>102.18799999999999</v>
      </c>
    </row>
    <row r="22" spans="1:26" x14ac:dyDescent="0.2">
      <c r="A22">
        <v>25.15</v>
      </c>
      <c r="B22">
        <v>48</v>
      </c>
      <c r="C22" t="s">
        <v>40</v>
      </c>
      <c r="D22">
        <v>60.650000000000006</v>
      </c>
      <c r="J22">
        <v>24.45</v>
      </c>
      <c r="K22">
        <v>21</v>
      </c>
      <c r="L22">
        <v>0.73</v>
      </c>
      <c r="M22">
        <v>70.8</v>
      </c>
      <c r="P22">
        <v>24.45</v>
      </c>
      <c r="Q22">
        <v>16</v>
      </c>
      <c r="R22">
        <v>236</v>
      </c>
      <c r="S22">
        <v>102.18799999999999</v>
      </c>
      <c r="T22">
        <v>56.7</v>
      </c>
      <c r="U22">
        <f t="shared" si="0"/>
        <v>102.18799999999999</v>
      </c>
      <c r="W22">
        <v>236</v>
      </c>
      <c r="X22">
        <v>24.45</v>
      </c>
      <c r="Y22">
        <v>16</v>
      </c>
      <c r="Z22">
        <v>102.18799999999999</v>
      </c>
    </row>
    <row r="23" spans="1:26" x14ac:dyDescent="0.2">
      <c r="A23">
        <v>25.2</v>
      </c>
      <c r="B23">
        <v>21</v>
      </c>
      <c r="C23">
        <v>0.60099999999999998</v>
      </c>
      <c r="D23">
        <v>39.5</v>
      </c>
      <c r="J23">
        <v>25</v>
      </c>
      <c r="K23">
        <v>48</v>
      </c>
      <c r="L23">
        <v>0.26</v>
      </c>
      <c r="M23">
        <v>72</v>
      </c>
      <c r="P23">
        <v>24.45</v>
      </c>
      <c r="Q23">
        <v>11</v>
      </c>
      <c r="R23">
        <v>236</v>
      </c>
      <c r="S23">
        <v>94.872000000000014</v>
      </c>
      <c r="T23">
        <v>59.8</v>
      </c>
      <c r="U23">
        <f t="shared" si="0"/>
        <v>94.872000000000014</v>
      </c>
      <c r="W23">
        <v>236</v>
      </c>
      <c r="X23">
        <v>24.45</v>
      </c>
      <c r="Y23">
        <v>11</v>
      </c>
      <c r="Z23">
        <v>94.872000000000014</v>
      </c>
    </row>
    <row r="24" spans="1:26" x14ac:dyDescent="0.2">
      <c r="A24">
        <v>25.2</v>
      </c>
      <c r="B24">
        <v>12</v>
      </c>
      <c r="C24">
        <v>0.90200000000000002</v>
      </c>
      <c r="D24">
        <v>40.200000000000003</v>
      </c>
      <c r="J24">
        <v>25.15</v>
      </c>
      <c r="K24">
        <v>48</v>
      </c>
      <c r="L24" t="s">
        <v>40</v>
      </c>
      <c r="M24">
        <v>43.575000000000003</v>
      </c>
      <c r="P24">
        <v>25.2</v>
      </c>
      <c r="Q24">
        <v>25</v>
      </c>
      <c r="R24">
        <v>211</v>
      </c>
      <c r="S24">
        <v>53.38300000000001</v>
      </c>
      <c r="T24">
        <v>74.7</v>
      </c>
      <c r="U24">
        <f t="shared" ref="U24:U36" si="1">R24-R24*(T24/100)</f>
        <v>53.38300000000001</v>
      </c>
      <c r="W24">
        <v>211</v>
      </c>
      <c r="X24">
        <v>25.2</v>
      </c>
      <c r="Y24">
        <v>25</v>
      </c>
      <c r="Z24">
        <v>53.38300000000001</v>
      </c>
    </row>
    <row r="25" spans="1:26" x14ac:dyDescent="0.2">
      <c r="A25">
        <v>25.2</v>
      </c>
      <c r="B25">
        <v>13</v>
      </c>
      <c r="C25">
        <v>0.84199999999999997</v>
      </c>
      <c r="D25">
        <v>42.1</v>
      </c>
      <c r="J25">
        <v>25.2</v>
      </c>
      <c r="K25">
        <v>12</v>
      </c>
      <c r="L25">
        <v>0.90200000000000002</v>
      </c>
      <c r="M25">
        <v>54.1</v>
      </c>
      <c r="P25">
        <v>25.2</v>
      </c>
      <c r="Q25">
        <v>21</v>
      </c>
      <c r="R25">
        <v>211</v>
      </c>
      <c r="S25">
        <v>81.657000000000011</v>
      </c>
      <c r="T25">
        <v>61.3</v>
      </c>
      <c r="U25">
        <f t="shared" si="1"/>
        <v>81.657000000000011</v>
      </c>
      <c r="W25">
        <v>211</v>
      </c>
      <c r="X25">
        <v>25.2</v>
      </c>
      <c r="Y25">
        <v>21</v>
      </c>
      <c r="Z25">
        <v>81.657000000000011</v>
      </c>
    </row>
    <row r="26" spans="1:26" x14ac:dyDescent="0.2">
      <c r="A26">
        <v>25.2</v>
      </c>
      <c r="B26">
        <v>22</v>
      </c>
      <c r="C26">
        <v>0.52600000000000002</v>
      </c>
      <c r="D26">
        <v>42.6</v>
      </c>
      <c r="J26">
        <v>25.2</v>
      </c>
      <c r="K26">
        <v>21</v>
      </c>
      <c r="L26">
        <v>0.47</v>
      </c>
      <c r="M26">
        <v>55.2</v>
      </c>
      <c r="P26">
        <v>25.2</v>
      </c>
      <c r="Q26">
        <v>16</v>
      </c>
      <c r="R26">
        <v>211</v>
      </c>
      <c r="S26">
        <v>74.061000000000007</v>
      </c>
      <c r="T26">
        <v>64.900000000000006</v>
      </c>
      <c r="U26">
        <f t="shared" si="1"/>
        <v>74.061000000000007</v>
      </c>
      <c r="W26">
        <v>211</v>
      </c>
      <c r="X26">
        <v>25.2</v>
      </c>
      <c r="Y26">
        <v>16</v>
      </c>
      <c r="Z26">
        <v>74.061000000000007</v>
      </c>
    </row>
    <row r="27" spans="1:26" x14ac:dyDescent="0.2">
      <c r="A27">
        <v>25.2</v>
      </c>
      <c r="B27">
        <v>17</v>
      </c>
      <c r="C27">
        <v>0.751</v>
      </c>
      <c r="D27">
        <v>43.6</v>
      </c>
      <c r="J27">
        <v>25.2</v>
      </c>
      <c r="K27">
        <v>21</v>
      </c>
      <c r="L27">
        <v>0.60099999999999998</v>
      </c>
      <c r="M27">
        <v>61.3</v>
      </c>
      <c r="P27">
        <v>25.2</v>
      </c>
      <c r="Q27">
        <v>12</v>
      </c>
      <c r="R27">
        <v>211</v>
      </c>
      <c r="S27">
        <v>96.84899999999999</v>
      </c>
      <c r="T27">
        <v>54.1</v>
      </c>
      <c r="U27">
        <f t="shared" si="1"/>
        <v>96.84899999999999</v>
      </c>
      <c r="W27">
        <v>211</v>
      </c>
      <c r="X27">
        <v>25.2</v>
      </c>
      <c r="Y27">
        <v>12</v>
      </c>
      <c r="Z27">
        <v>96.84899999999999</v>
      </c>
    </row>
    <row r="28" spans="1:26" x14ac:dyDescent="0.2">
      <c r="A28">
        <v>25.2</v>
      </c>
      <c r="B28">
        <v>17</v>
      </c>
      <c r="C28">
        <v>0.751</v>
      </c>
      <c r="D28">
        <v>44.5</v>
      </c>
      <c r="J28">
        <v>25.2</v>
      </c>
      <c r="K28">
        <v>22</v>
      </c>
      <c r="L28">
        <v>0.52600000000000002</v>
      </c>
      <c r="M28">
        <v>62.8</v>
      </c>
      <c r="P28">
        <v>25.2</v>
      </c>
      <c r="Q28">
        <v>23</v>
      </c>
      <c r="R28">
        <v>211</v>
      </c>
      <c r="S28">
        <v>72.162000000000006</v>
      </c>
      <c r="T28">
        <v>65.8</v>
      </c>
      <c r="U28">
        <f t="shared" si="1"/>
        <v>72.162000000000006</v>
      </c>
      <c r="W28">
        <v>211</v>
      </c>
      <c r="X28">
        <v>25.2</v>
      </c>
      <c r="Y28">
        <v>23</v>
      </c>
      <c r="Z28">
        <v>72.162000000000006</v>
      </c>
    </row>
    <row r="29" spans="1:26" x14ac:dyDescent="0.2">
      <c r="A29">
        <v>25.2</v>
      </c>
      <c r="B29">
        <v>23</v>
      </c>
      <c r="C29">
        <v>0.373</v>
      </c>
      <c r="D29">
        <v>44.7</v>
      </c>
      <c r="J29">
        <v>25.2</v>
      </c>
      <c r="K29">
        <v>8</v>
      </c>
      <c r="L29">
        <v>1.232</v>
      </c>
      <c r="M29">
        <v>63.4</v>
      </c>
      <c r="P29">
        <v>25.2</v>
      </c>
      <c r="Q29">
        <v>22</v>
      </c>
      <c r="R29">
        <v>211</v>
      </c>
      <c r="S29">
        <v>78.49199999999999</v>
      </c>
      <c r="T29">
        <v>62.8</v>
      </c>
      <c r="U29">
        <f t="shared" si="1"/>
        <v>78.49199999999999</v>
      </c>
      <c r="W29">
        <v>211</v>
      </c>
      <c r="X29">
        <v>25.2</v>
      </c>
      <c r="Y29">
        <v>22</v>
      </c>
      <c r="Z29">
        <v>78.49199999999999</v>
      </c>
    </row>
    <row r="30" spans="1:26" x14ac:dyDescent="0.2">
      <c r="A30">
        <v>25.2</v>
      </c>
      <c r="B30">
        <v>21</v>
      </c>
      <c r="C30">
        <v>0.47</v>
      </c>
      <c r="D30">
        <v>45.7</v>
      </c>
      <c r="J30">
        <v>25.2</v>
      </c>
      <c r="K30">
        <v>14</v>
      </c>
      <c r="L30">
        <v>0.96799999999999997</v>
      </c>
      <c r="M30">
        <v>64.3</v>
      </c>
      <c r="P30">
        <v>25.2</v>
      </c>
      <c r="Q30">
        <v>17</v>
      </c>
      <c r="R30">
        <v>211</v>
      </c>
      <c r="S30">
        <v>64.988</v>
      </c>
      <c r="T30">
        <v>69.2</v>
      </c>
      <c r="U30">
        <f t="shared" si="1"/>
        <v>64.988</v>
      </c>
      <c r="W30">
        <v>211</v>
      </c>
      <c r="X30">
        <v>25.2</v>
      </c>
      <c r="Y30">
        <v>17</v>
      </c>
      <c r="Z30">
        <v>64.988</v>
      </c>
    </row>
    <row r="31" spans="1:26" x14ac:dyDescent="0.2">
      <c r="A31">
        <v>25.2</v>
      </c>
      <c r="B31">
        <v>14</v>
      </c>
      <c r="C31">
        <v>0.96799999999999997</v>
      </c>
      <c r="D31">
        <v>51.2</v>
      </c>
      <c r="J31">
        <v>25.2</v>
      </c>
      <c r="K31">
        <v>16</v>
      </c>
      <c r="L31">
        <v>0.84699999999999998</v>
      </c>
      <c r="M31">
        <v>64.900000000000006</v>
      </c>
      <c r="P31">
        <v>25.2</v>
      </c>
      <c r="Q31">
        <v>14</v>
      </c>
      <c r="R31">
        <v>211</v>
      </c>
      <c r="S31">
        <v>75.326999999999998</v>
      </c>
      <c r="T31">
        <v>64.3</v>
      </c>
      <c r="U31">
        <f t="shared" si="1"/>
        <v>75.326999999999998</v>
      </c>
      <c r="W31">
        <v>211</v>
      </c>
      <c r="X31">
        <v>25.2</v>
      </c>
      <c r="Y31">
        <v>14</v>
      </c>
      <c r="Z31">
        <v>75.326999999999998</v>
      </c>
    </row>
    <row r="32" spans="1:26" x14ac:dyDescent="0.2">
      <c r="A32">
        <v>25.2</v>
      </c>
      <c r="B32">
        <v>25</v>
      </c>
      <c r="C32">
        <v>0.56999999999999995</v>
      </c>
      <c r="D32">
        <v>51.7</v>
      </c>
      <c r="J32">
        <v>25.2</v>
      </c>
      <c r="K32">
        <v>23</v>
      </c>
      <c r="L32">
        <v>0.373</v>
      </c>
      <c r="M32">
        <v>65.8</v>
      </c>
      <c r="P32">
        <v>25.2</v>
      </c>
      <c r="Q32">
        <v>21</v>
      </c>
      <c r="R32">
        <v>211</v>
      </c>
      <c r="S32">
        <v>94.527999999999992</v>
      </c>
      <c r="T32">
        <v>55.2</v>
      </c>
      <c r="U32">
        <f t="shared" si="1"/>
        <v>94.527999999999992</v>
      </c>
      <c r="W32">
        <v>211</v>
      </c>
      <c r="X32">
        <v>25.2</v>
      </c>
      <c r="Y32">
        <v>21</v>
      </c>
      <c r="Z32">
        <v>94.527999999999992</v>
      </c>
    </row>
    <row r="33" spans="1:26" x14ac:dyDescent="0.2">
      <c r="A33">
        <v>25.2</v>
      </c>
      <c r="B33">
        <v>16</v>
      </c>
      <c r="C33">
        <v>0.84699999999999998</v>
      </c>
      <c r="D33">
        <v>53.1</v>
      </c>
      <c r="J33">
        <v>25.2</v>
      </c>
      <c r="K33">
        <v>17</v>
      </c>
      <c r="L33">
        <v>0.751</v>
      </c>
      <c r="M33">
        <v>67.3</v>
      </c>
      <c r="P33">
        <v>25.2</v>
      </c>
      <c r="Q33">
        <v>17</v>
      </c>
      <c r="R33">
        <v>211</v>
      </c>
      <c r="S33">
        <v>68.997000000000014</v>
      </c>
      <c r="T33">
        <v>67.3</v>
      </c>
      <c r="U33">
        <f t="shared" si="1"/>
        <v>68.997000000000014</v>
      </c>
      <c r="W33">
        <v>211</v>
      </c>
      <c r="X33">
        <v>25.2</v>
      </c>
      <c r="Y33">
        <v>17</v>
      </c>
      <c r="Z33">
        <v>68.997000000000014</v>
      </c>
    </row>
    <row r="34" spans="1:26" x14ac:dyDescent="0.2">
      <c r="A34">
        <v>25.2</v>
      </c>
      <c r="B34">
        <v>8</v>
      </c>
      <c r="C34">
        <v>1.232</v>
      </c>
      <c r="D34">
        <v>54.6</v>
      </c>
      <c r="J34">
        <v>25.2</v>
      </c>
      <c r="K34">
        <v>13</v>
      </c>
      <c r="L34">
        <v>0.84199999999999997</v>
      </c>
      <c r="M34">
        <v>68.099999999999994</v>
      </c>
      <c r="P34">
        <v>25.2</v>
      </c>
      <c r="Q34">
        <v>13</v>
      </c>
      <c r="R34">
        <v>211</v>
      </c>
      <c r="S34">
        <v>67.309000000000026</v>
      </c>
      <c r="T34">
        <v>68.099999999999994</v>
      </c>
      <c r="U34">
        <f t="shared" si="1"/>
        <v>67.309000000000026</v>
      </c>
      <c r="W34">
        <v>211</v>
      </c>
      <c r="X34">
        <v>25.2</v>
      </c>
      <c r="Y34">
        <v>13</v>
      </c>
      <c r="Z34">
        <v>67.309000000000026</v>
      </c>
    </row>
    <row r="35" spans="1:26" x14ac:dyDescent="0.2">
      <c r="A35">
        <v>25.75</v>
      </c>
      <c r="B35">
        <v>48</v>
      </c>
      <c r="C35" t="s">
        <v>40</v>
      </c>
      <c r="D35">
        <v>58.8</v>
      </c>
      <c r="J35">
        <v>25.2</v>
      </c>
      <c r="K35">
        <v>17</v>
      </c>
      <c r="L35">
        <v>0.751</v>
      </c>
      <c r="M35">
        <v>69.2</v>
      </c>
      <c r="P35">
        <v>25.2</v>
      </c>
      <c r="Q35">
        <v>8</v>
      </c>
      <c r="R35">
        <v>211</v>
      </c>
      <c r="S35">
        <v>77.225999999999999</v>
      </c>
      <c r="T35">
        <v>63.4</v>
      </c>
      <c r="U35">
        <f t="shared" si="1"/>
        <v>77.225999999999999</v>
      </c>
      <c r="W35">
        <v>211</v>
      </c>
      <c r="X35">
        <v>25.2</v>
      </c>
      <c r="Y35">
        <v>8</v>
      </c>
      <c r="Z35">
        <v>77.225999999999999</v>
      </c>
    </row>
    <row r="36" spans="1:26" x14ac:dyDescent="0.2">
      <c r="A36">
        <v>29.5</v>
      </c>
      <c r="B36">
        <v>280.79999999999995</v>
      </c>
      <c r="D36">
        <v>26.24</v>
      </c>
      <c r="J36">
        <v>25.2</v>
      </c>
      <c r="K36">
        <v>25</v>
      </c>
      <c r="L36">
        <v>0.56999999999999995</v>
      </c>
      <c r="M36">
        <v>74.7</v>
      </c>
      <c r="P36">
        <v>29.5</v>
      </c>
      <c r="Q36">
        <v>280.79999999999995</v>
      </c>
      <c r="R36">
        <v>341.5</v>
      </c>
      <c r="S36" s="6">
        <v>143.08850000000001</v>
      </c>
      <c r="T36">
        <v>58.1</v>
      </c>
      <c r="U36">
        <f t="shared" si="1"/>
        <v>143.08850000000001</v>
      </c>
      <c r="W36">
        <v>341.5</v>
      </c>
      <c r="X36">
        <v>29.5</v>
      </c>
      <c r="Y36">
        <v>280.79999999999995</v>
      </c>
      <c r="Z36" s="6">
        <v>143.08850000000001</v>
      </c>
    </row>
    <row r="37" spans="1:26" x14ac:dyDescent="0.2">
      <c r="J37">
        <v>25.75</v>
      </c>
      <c r="K37">
        <v>48</v>
      </c>
      <c r="L37" t="s">
        <v>40</v>
      </c>
      <c r="M37">
        <v>45.349999999999994</v>
      </c>
    </row>
    <row r="38" spans="1:26" x14ac:dyDescent="0.2">
      <c r="J38">
        <v>29.5</v>
      </c>
      <c r="K38">
        <v>280.79999999999995</v>
      </c>
      <c r="M38">
        <v>58.1</v>
      </c>
    </row>
    <row r="42" spans="1:26" x14ac:dyDescent="0.2">
      <c r="C42" t="s">
        <v>142</v>
      </c>
      <c r="D42">
        <f>MEDIAN(D2:D36)</f>
        <v>51.2</v>
      </c>
      <c r="L42" t="s">
        <v>142</v>
      </c>
      <c r="M42">
        <f>MEDIAN(M2:M38)</f>
        <v>61.3</v>
      </c>
    </row>
    <row r="44" spans="1:26" x14ac:dyDescent="0.2">
      <c r="C44">
        <v>25</v>
      </c>
      <c r="D44">
        <f>_xlfn.PERCENTILE.INC(D2:D36,0.25)</f>
        <v>41.89</v>
      </c>
      <c r="L44">
        <v>25</v>
      </c>
      <c r="M44">
        <f>_xlfn.PERCENTILE.INC(M2:M38,0.25)</f>
        <v>55</v>
      </c>
    </row>
    <row r="45" spans="1:26" x14ac:dyDescent="0.2">
      <c r="C45">
        <v>75</v>
      </c>
      <c r="D45">
        <f>_xlfn.PERCENTILE.INC(D2:D36,0.75)</f>
        <v>57.9</v>
      </c>
      <c r="L45">
        <v>75</v>
      </c>
      <c r="M45">
        <f>_xlfn.PERCENTILE.INC(M2:M38,0.75)</f>
        <v>65.8</v>
      </c>
    </row>
    <row r="47" spans="1:26" x14ac:dyDescent="0.2">
      <c r="C47" t="s">
        <v>140</v>
      </c>
      <c r="D47">
        <f>MIN(D2:D36)</f>
        <v>22</v>
      </c>
      <c r="L47" t="s">
        <v>140</v>
      </c>
      <c r="M47">
        <f>MIN(M2:M38)</f>
        <v>24.381625441696116</v>
      </c>
    </row>
    <row r="48" spans="1:26" x14ac:dyDescent="0.2">
      <c r="C48" t="s">
        <v>141</v>
      </c>
      <c r="D48">
        <f>MAX(D2:D36)</f>
        <v>79</v>
      </c>
      <c r="L48" t="s">
        <v>141</v>
      </c>
      <c r="M48">
        <f>MAX(M2:M38)</f>
        <v>79</v>
      </c>
    </row>
    <row r="50" spans="3:13" x14ac:dyDescent="0.2">
      <c r="C50" s="11">
        <v>0.05</v>
      </c>
      <c r="D50">
        <f>_xlfn.PERCENTILE.INC(D2:D36,0.05)</f>
        <v>28.0928480565371</v>
      </c>
      <c r="L50" s="11">
        <v>0.05</v>
      </c>
      <c r="M50">
        <f>_xlfn.PERCENTILE.INC(M2:M38,0.05)</f>
        <v>41</v>
      </c>
    </row>
    <row r="51" spans="3:13" x14ac:dyDescent="0.2">
      <c r="C51" s="11">
        <v>0.95</v>
      </c>
      <c r="D51">
        <f>_xlfn.PERCENTILE.INC(D2:D36,0.95)</f>
        <v>64.429999999999978</v>
      </c>
      <c r="L51" s="11">
        <v>0.95</v>
      </c>
      <c r="M51">
        <f>_xlfn.PERCENTILE.INC(M2:M38,0.95)</f>
        <v>72.539999999999992</v>
      </c>
    </row>
    <row r="53" spans="3:13" x14ac:dyDescent="0.2">
      <c r="D53">
        <f>COUNT(D2:D36)</f>
        <v>35</v>
      </c>
      <c r="M53">
        <f>COUNT(M2:M38)</f>
        <v>37</v>
      </c>
    </row>
  </sheetData>
  <sortState xmlns:xlrd2="http://schemas.microsoft.com/office/spreadsheetml/2017/richdata2" ref="P2:T53">
    <sortCondition ref="P2:P53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A1CCC-83E4-4D6C-91BB-BC067CA41E84}">
  <dimension ref="E1:V45"/>
  <sheetViews>
    <sheetView workbookViewId="0">
      <selection activeCell="V23" sqref="R2:V23"/>
    </sheetView>
  </sheetViews>
  <sheetFormatPr defaultRowHeight="14.25" x14ac:dyDescent="0.2"/>
  <sheetData>
    <row r="1" spans="6:22" ht="28.5" x14ac:dyDescent="0.2">
      <c r="F1" s="4" t="s">
        <v>20</v>
      </c>
      <c r="G1" t="s">
        <v>146</v>
      </c>
      <c r="H1" s="4" t="s">
        <v>15</v>
      </c>
      <c r="I1" s="4" t="s">
        <v>17</v>
      </c>
      <c r="J1" s="4" t="s">
        <v>25</v>
      </c>
      <c r="R1" s="4" t="s">
        <v>19</v>
      </c>
      <c r="S1" t="s">
        <v>146</v>
      </c>
      <c r="T1" s="4" t="s">
        <v>15</v>
      </c>
      <c r="U1" s="4" t="s">
        <v>17</v>
      </c>
      <c r="V1" s="4" t="s">
        <v>21</v>
      </c>
    </row>
    <row r="2" spans="6:22" x14ac:dyDescent="0.2">
      <c r="F2">
        <v>529</v>
      </c>
      <c r="G2">
        <v>3.2958368660043291</v>
      </c>
      <c r="H2">
        <v>24.45</v>
      </c>
      <c r="I2">
        <v>24</v>
      </c>
      <c r="J2">
        <v>347.024</v>
      </c>
      <c r="R2">
        <v>49.05</v>
      </c>
      <c r="S2">
        <v>4.3944491546724391</v>
      </c>
      <c r="T2">
        <v>16.600000000000001</v>
      </c>
      <c r="U2">
        <v>9.6000000000000014</v>
      </c>
      <c r="V2">
        <v>17.437275000000007</v>
      </c>
    </row>
    <row r="3" spans="6:22" x14ac:dyDescent="0.2">
      <c r="F3">
        <v>529</v>
      </c>
      <c r="G3">
        <v>3.2958368660043291</v>
      </c>
      <c r="H3">
        <v>24.45</v>
      </c>
      <c r="I3">
        <v>21</v>
      </c>
      <c r="J3">
        <v>200.49099999999999</v>
      </c>
      <c r="R3">
        <v>594</v>
      </c>
      <c r="S3">
        <v>4.3944491546724391</v>
      </c>
      <c r="T3">
        <v>18</v>
      </c>
      <c r="U3">
        <v>115</v>
      </c>
      <c r="V3">
        <v>217</v>
      </c>
    </row>
    <row r="4" spans="6:22" x14ac:dyDescent="0.2">
      <c r="F4">
        <v>529</v>
      </c>
      <c r="G4">
        <v>3.2958368660043291</v>
      </c>
      <c r="H4">
        <v>24.45</v>
      </c>
      <c r="I4">
        <v>16</v>
      </c>
      <c r="J4">
        <v>239.63699999999994</v>
      </c>
      <c r="R4">
        <v>504</v>
      </c>
      <c r="S4">
        <v>4.3944491546724391</v>
      </c>
      <c r="T4">
        <v>18</v>
      </c>
      <c r="U4">
        <v>91.199999999999989</v>
      </c>
      <c r="V4" s="6">
        <v>170</v>
      </c>
    </row>
    <row r="5" spans="6:22" x14ac:dyDescent="0.2">
      <c r="F5">
        <v>529</v>
      </c>
      <c r="G5">
        <v>3.2958368660043291</v>
      </c>
      <c r="H5">
        <v>24.45</v>
      </c>
      <c r="I5">
        <v>11</v>
      </c>
      <c r="J5">
        <v>246.51400000000001</v>
      </c>
      <c r="R5">
        <v>256</v>
      </c>
      <c r="S5">
        <v>4.3944491546724391</v>
      </c>
      <c r="T5">
        <v>18.600000000000001</v>
      </c>
      <c r="U5">
        <v>115</v>
      </c>
      <c r="V5" s="6">
        <v>115.19999999999999</v>
      </c>
    </row>
    <row r="6" spans="6:22" x14ac:dyDescent="0.2">
      <c r="F6">
        <v>529</v>
      </c>
      <c r="G6">
        <v>6.5916737320086582</v>
      </c>
      <c r="H6">
        <v>24.45</v>
      </c>
      <c r="I6">
        <v>25</v>
      </c>
      <c r="J6">
        <v>228.52800000000002</v>
      </c>
      <c r="R6">
        <v>320</v>
      </c>
      <c r="S6">
        <v>4.3944491546724391</v>
      </c>
      <c r="T6">
        <v>21.25</v>
      </c>
      <c r="U6">
        <v>48</v>
      </c>
      <c r="V6">
        <v>150</v>
      </c>
    </row>
    <row r="7" spans="6:22" x14ac:dyDescent="0.2">
      <c r="F7">
        <v>529</v>
      </c>
      <c r="G7">
        <v>6.5916737320086582</v>
      </c>
      <c r="H7">
        <v>24.45</v>
      </c>
      <c r="I7">
        <v>21</v>
      </c>
      <c r="J7">
        <v>206.839</v>
      </c>
      <c r="R7" s="6">
        <v>290.58333333333331</v>
      </c>
      <c r="S7">
        <v>4.3944491546724391</v>
      </c>
      <c r="T7" s="6">
        <v>23.091666666666669</v>
      </c>
      <c r="U7" s="6">
        <v>50.646698434309059</v>
      </c>
      <c r="V7">
        <v>97.984700000000004</v>
      </c>
    </row>
    <row r="8" spans="6:22" x14ac:dyDescent="0.2">
      <c r="F8">
        <v>529</v>
      </c>
      <c r="G8">
        <v>6.5916737320086582</v>
      </c>
      <c r="H8">
        <v>24.45</v>
      </c>
      <c r="I8">
        <v>17</v>
      </c>
      <c r="J8">
        <v>196.25900000000001</v>
      </c>
      <c r="R8">
        <v>236</v>
      </c>
      <c r="S8">
        <v>3.2958368660043291</v>
      </c>
      <c r="T8">
        <v>24.45</v>
      </c>
      <c r="U8">
        <v>24</v>
      </c>
      <c r="V8">
        <v>129.32799999999997</v>
      </c>
    </row>
    <row r="9" spans="6:22" x14ac:dyDescent="0.2">
      <c r="F9">
        <v>529</v>
      </c>
      <c r="G9">
        <v>6.5916737320086582</v>
      </c>
      <c r="H9">
        <v>24.45</v>
      </c>
      <c r="I9">
        <v>12</v>
      </c>
      <c r="J9">
        <v>358.13300000000004</v>
      </c>
      <c r="R9">
        <v>236</v>
      </c>
      <c r="S9">
        <v>3.2958368660043291</v>
      </c>
      <c r="T9">
        <v>24.45</v>
      </c>
      <c r="U9">
        <v>21</v>
      </c>
      <c r="V9">
        <v>102.18799999999999</v>
      </c>
    </row>
    <row r="10" spans="6:22" x14ac:dyDescent="0.2">
      <c r="F10">
        <v>534</v>
      </c>
      <c r="G10">
        <v>3.2958368660043291</v>
      </c>
      <c r="H10">
        <v>25.2</v>
      </c>
      <c r="I10">
        <v>21</v>
      </c>
      <c r="J10">
        <v>289.96199999999999</v>
      </c>
      <c r="R10">
        <v>236</v>
      </c>
      <c r="S10">
        <v>3.2958368660043291</v>
      </c>
      <c r="T10">
        <v>24.45</v>
      </c>
      <c r="U10">
        <v>16</v>
      </c>
      <c r="V10">
        <v>102.18799999999999</v>
      </c>
    </row>
    <row r="11" spans="6:22" x14ac:dyDescent="0.2">
      <c r="F11">
        <v>534</v>
      </c>
      <c r="G11">
        <v>3.2958368660043291</v>
      </c>
      <c r="H11">
        <v>25.2</v>
      </c>
      <c r="I11">
        <v>17</v>
      </c>
      <c r="J11">
        <v>296.37</v>
      </c>
      <c r="R11">
        <v>236</v>
      </c>
      <c r="S11">
        <v>3.2958368660043291</v>
      </c>
      <c r="T11">
        <v>24.45</v>
      </c>
      <c r="U11">
        <v>11</v>
      </c>
      <c r="V11">
        <v>94.872000000000014</v>
      </c>
    </row>
    <row r="12" spans="6:22" x14ac:dyDescent="0.2">
      <c r="F12">
        <v>534</v>
      </c>
      <c r="G12">
        <v>3.2958368660043291</v>
      </c>
      <c r="H12">
        <v>25.2</v>
      </c>
      <c r="I12">
        <v>13</v>
      </c>
      <c r="J12">
        <v>309.18599999999998</v>
      </c>
      <c r="R12">
        <v>236</v>
      </c>
      <c r="S12">
        <v>6.5916737320086582</v>
      </c>
      <c r="T12">
        <v>24.45</v>
      </c>
      <c r="U12">
        <v>25</v>
      </c>
      <c r="V12">
        <v>95.108000000000004</v>
      </c>
    </row>
    <row r="13" spans="6:22" x14ac:dyDescent="0.2">
      <c r="F13">
        <v>534</v>
      </c>
      <c r="G13">
        <v>3.2958368660043291</v>
      </c>
      <c r="H13">
        <v>25.2</v>
      </c>
      <c r="I13">
        <v>8</v>
      </c>
      <c r="J13">
        <v>242.43599999999998</v>
      </c>
      <c r="R13">
        <v>236</v>
      </c>
      <c r="S13">
        <v>6.5916737320086582</v>
      </c>
      <c r="T13">
        <v>24.45</v>
      </c>
      <c r="U13">
        <v>21</v>
      </c>
      <c r="V13">
        <v>68.912000000000006</v>
      </c>
    </row>
    <row r="14" spans="6:22" x14ac:dyDescent="0.2">
      <c r="F14">
        <v>534</v>
      </c>
      <c r="G14">
        <v>4.3944491546724391</v>
      </c>
      <c r="H14">
        <v>25.2</v>
      </c>
      <c r="I14">
        <v>23</v>
      </c>
      <c r="J14">
        <v>295.30199999999996</v>
      </c>
      <c r="R14">
        <v>236</v>
      </c>
      <c r="S14">
        <v>6.5916737320086582</v>
      </c>
      <c r="T14">
        <v>24.45</v>
      </c>
      <c r="U14">
        <v>17</v>
      </c>
      <c r="V14">
        <v>84.488</v>
      </c>
    </row>
    <row r="15" spans="6:22" x14ac:dyDescent="0.2">
      <c r="F15">
        <v>534</v>
      </c>
      <c r="G15">
        <v>4.3944491546724391</v>
      </c>
      <c r="H15">
        <v>25.2</v>
      </c>
      <c r="I15">
        <v>22</v>
      </c>
      <c r="J15">
        <v>306.51599999999996</v>
      </c>
      <c r="R15">
        <v>236</v>
      </c>
      <c r="S15">
        <v>6.5916737320086582</v>
      </c>
      <c r="T15">
        <v>24.45</v>
      </c>
      <c r="U15">
        <v>12</v>
      </c>
      <c r="V15">
        <v>138.06</v>
      </c>
    </row>
    <row r="16" spans="6:22" x14ac:dyDescent="0.2">
      <c r="F16">
        <v>534</v>
      </c>
      <c r="G16">
        <v>4.3944491546724391</v>
      </c>
      <c r="H16">
        <v>25.2</v>
      </c>
      <c r="I16">
        <v>17</v>
      </c>
      <c r="J16">
        <v>301.17599999999999</v>
      </c>
      <c r="R16">
        <v>211</v>
      </c>
      <c r="S16">
        <v>3.2958368660043291</v>
      </c>
      <c r="T16">
        <v>25.2</v>
      </c>
      <c r="U16">
        <v>21</v>
      </c>
      <c r="V16">
        <v>94.527999999999992</v>
      </c>
    </row>
    <row r="17" spans="5:22" x14ac:dyDescent="0.2">
      <c r="F17">
        <v>534</v>
      </c>
      <c r="G17">
        <v>4.3944491546724391</v>
      </c>
      <c r="H17">
        <v>25.2</v>
      </c>
      <c r="I17">
        <v>14</v>
      </c>
      <c r="J17">
        <v>260.59199999999998</v>
      </c>
      <c r="R17">
        <v>211</v>
      </c>
      <c r="S17">
        <v>3.2958368660043291</v>
      </c>
      <c r="T17">
        <v>25.2</v>
      </c>
      <c r="U17">
        <v>17</v>
      </c>
      <c r="V17">
        <v>68.997000000000014</v>
      </c>
    </row>
    <row r="18" spans="5:22" x14ac:dyDescent="0.2">
      <c r="F18" s="6">
        <v>589</v>
      </c>
      <c r="G18">
        <v>4.3944491546724391</v>
      </c>
      <c r="H18">
        <v>18.600000000000001</v>
      </c>
      <c r="I18">
        <v>115</v>
      </c>
      <c r="J18">
        <v>459.41999999999996</v>
      </c>
      <c r="R18">
        <v>211</v>
      </c>
      <c r="S18">
        <v>3.2958368660043291</v>
      </c>
      <c r="T18">
        <v>25.2</v>
      </c>
      <c r="U18">
        <v>13</v>
      </c>
      <c r="V18">
        <v>67.309000000000026</v>
      </c>
    </row>
    <row r="19" spans="5:22" x14ac:dyDescent="0.2">
      <c r="F19" s="6">
        <v>590.66666666666663</v>
      </c>
      <c r="G19">
        <v>4.3944491546724391</v>
      </c>
      <c r="H19" s="6">
        <v>23.091666666666669</v>
      </c>
      <c r="I19" s="6">
        <v>50.646698434309059</v>
      </c>
      <c r="J19">
        <v>344.47680000000003</v>
      </c>
      <c r="R19">
        <v>211</v>
      </c>
      <c r="S19">
        <v>3.2958368660043291</v>
      </c>
      <c r="T19">
        <v>25.2</v>
      </c>
      <c r="U19">
        <v>8</v>
      </c>
      <c r="V19">
        <v>77.225999999999999</v>
      </c>
    </row>
    <row r="20" spans="5:22" x14ac:dyDescent="0.2">
      <c r="F20" s="6">
        <v>907</v>
      </c>
      <c r="G20">
        <v>4.3944491546724391</v>
      </c>
      <c r="H20">
        <v>18</v>
      </c>
      <c r="I20">
        <v>91.199999999999989</v>
      </c>
      <c r="J20">
        <v>365</v>
      </c>
      <c r="R20">
        <v>211</v>
      </c>
      <c r="S20">
        <v>4.3944491546724391</v>
      </c>
      <c r="T20">
        <v>25.2</v>
      </c>
      <c r="U20">
        <v>23</v>
      </c>
      <c r="V20">
        <v>72.162000000000006</v>
      </c>
    </row>
    <row r="21" spans="5:22" x14ac:dyDescent="0.2">
      <c r="F21">
        <v>947</v>
      </c>
      <c r="G21">
        <v>4.3944491546724391</v>
      </c>
      <c r="H21">
        <v>18</v>
      </c>
      <c r="I21">
        <v>115</v>
      </c>
      <c r="J21">
        <v>461</v>
      </c>
      <c r="R21">
        <v>211</v>
      </c>
      <c r="S21">
        <v>4.3944491546724391</v>
      </c>
      <c r="T21">
        <v>25.2</v>
      </c>
      <c r="U21">
        <v>22</v>
      </c>
      <c r="V21">
        <v>78.492000000000019</v>
      </c>
    </row>
    <row r="22" spans="5:22" x14ac:dyDescent="0.2">
      <c r="R22">
        <v>211</v>
      </c>
      <c r="S22">
        <v>4.3944491546724391</v>
      </c>
      <c r="T22">
        <v>25.2</v>
      </c>
      <c r="U22">
        <v>17</v>
      </c>
      <c r="V22">
        <v>64.988</v>
      </c>
    </row>
    <row r="23" spans="5:22" x14ac:dyDescent="0.2">
      <c r="R23">
        <v>211</v>
      </c>
      <c r="S23">
        <v>4.3944491546724391</v>
      </c>
      <c r="T23">
        <v>25.2</v>
      </c>
      <c r="U23">
        <v>14</v>
      </c>
      <c r="V23">
        <v>75.326999999999998</v>
      </c>
    </row>
    <row r="28" spans="5:22" x14ac:dyDescent="0.2">
      <c r="F28" s="6"/>
      <c r="V28" s="6"/>
    </row>
    <row r="29" spans="5:22" x14ac:dyDescent="0.2">
      <c r="F29" s="6"/>
      <c r="V29" s="6"/>
    </row>
    <row r="31" spans="5:22" x14ac:dyDescent="0.2">
      <c r="E31" s="6"/>
      <c r="Q31" s="6"/>
    </row>
    <row r="45" spans="6:22" x14ac:dyDescent="0.2">
      <c r="F45" s="6"/>
      <c r="V45" s="6"/>
    </row>
  </sheetData>
  <sortState xmlns:xlrd2="http://schemas.microsoft.com/office/spreadsheetml/2017/richdata2" ref="F2:J47">
    <sortCondition ref="F1:F47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EDCE3-1AA9-45A4-8641-5D31629086BE}">
  <dimension ref="B2:AJ26"/>
  <sheetViews>
    <sheetView workbookViewId="0">
      <selection activeCell="G25" sqref="G25"/>
    </sheetView>
  </sheetViews>
  <sheetFormatPr defaultRowHeight="14.25" x14ac:dyDescent="0.2"/>
  <sheetData>
    <row r="2" spans="2:36" ht="63.6" customHeight="1" x14ac:dyDescent="0.2">
      <c r="C2" t="s">
        <v>12</v>
      </c>
      <c r="D2" s="4" t="s">
        <v>13</v>
      </c>
      <c r="E2" s="4" t="s">
        <v>14</v>
      </c>
      <c r="F2" s="4" t="s">
        <v>15</v>
      </c>
      <c r="G2" s="4" t="s">
        <v>16</v>
      </c>
      <c r="H2" s="4" t="s">
        <v>17</v>
      </c>
      <c r="I2" s="4" t="s">
        <v>18</v>
      </c>
      <c r="K2" s="4" t="s">
        <v>19</v>
      </c>
      <c r="L2" s="4" t="s">
        <v>20</v>
      </c>
      <c r="M2" s="4" t="s">
        <v>21</v>
      </c>
      <c r="N2" s="4" t="s">
        <v>22</v>
      </c>
      <c r="O2" s="4" t="s">
        <v>23</v>
      </c>
      <c r="P2" s="4" t="s">
        <v>24</v>
      </c>
      <c r="Q2" s="4" t="s">
        <v>25</v>
      </c>
      <c r="R2" s="4" t="s">
        <v>26</v>
      </c>
      <c r="S2" s="4" t="s">
        <v>27</v>
      </c>
      <c r="T2" s="4" t="s">
        <v>28</v>
      </c>
      <c r="V2" s="4" t="s">
        <v>29</v>
      </c>
      <c r="W2" s="4" t="s">
        <v>30</v>
      </c>
      <c r="X2" s="4" t="s">
        <v>31</v>
      </c>
      <c r="Y2" s="4" t="s">
        <v>32</v>
      </c>
      <c r="Z2" s="4" t="s">
        <v>33</v>
      </c>
      <c r="AA2" s="4" t="s">
        <v>34</v>
      </c>
      <c r="AC2" s="4" t="s">
        <v>35</v>
      </c>
      <c r="AD2" s="4" t="s">
        <v>36</v>
      </c>
      <c r="AE2" s="4" t="s">
        <v>37</v>
      </c>
      <c r="AF2" s="4" t="s">
        <v>38</v>
      </c>
      <c r="AH2" s="4" t="s">
        <v>39</v>
      </c>
    </row>
    <row r="3" spans="2:36" x14ac:dyDescent="0.2">
      <c r="B3" s="20" t="s">
        <v>44</v>
      </c>
      <c r="C3" s="20"/>
      <c r="D3" t="s">
        <v>40</v>
      </c>
      <c r="E3">
        <v>570</v>
      </c>
      <c r="F3">
        <v>18</v>
      </c>
      <c r="G3" s="7" t="s">
        <v>103</v>
      </c>
      <c r="H3">
        <v>115</v>
      </c>
      <c r="I3">
        <v>0.2</v>
      </c>
      <c r="K3">
        <v>594</v>
      </c>
      <c r="L3">
        <v>947</v>
      </c>
      <c r="M3">
        <v>217</v>
      </c>
      <c r="N3">
        <v>63</v>
      </c>
      <c r="O3">
        <v>146</v>
      </c>
      <c r="P3">
        <v>72</v>
      </c>
      <c r="Q3">
        <v>461</v>
      </c>
      <c r="R3">
        <v>51</v>
      </c>
      <c r="S3" t="s">
        <v>40</v>
      </c>
      <c r="T3" t="s">
        <v>40</v>
      </c>
      <c r="W3" s="2"/>
      <c r="X3" s="2"/>
      <c r="Y3" s="2"/>
      <c r="Z3" s="2"/>
      <c r="AA3" s="2"/>
      <c r="AE3" t="s">
        <v>40</v>
      </c>
      <c r="AF3" t="s">
        <v>40</v>
      </c>
      <c r="AH3" s="22" t="s">
        <v>104</v>
      </c>
      <c r="AJ3" t="s">
        <v>131</v>
      </c>
    </row>
    <row r="4" spans="2:36" x14ac:dyDescent="0.2">
      <c r="B4" s="20" t="s">
        <v>44</v>
      </c>
      <c r="C4" s="20"/>
      <c r="D4" t="s">
        <v>40</v>
      </c>
      <c r="E4">
        <v>570</v>
      </c>
      <c r="F4">
        <v>18</v>
      </c>
      <c r="G4" s="7" t="s">
        <v>105</v>
      </c>
      <c r="H4">
        <f>3.8*24</f>
        <v>91.199999999999989</v>
      </c>
      <c r="I4">
        <v>0.24</v>
      </c>
      <c r="K4">
        <v>504</v>
      </c>
      <c r="L4" s="6">
        <v>907</v>
      </c>
      <c r="M4" s="6">
        <v>170</v>
      </c>
      <c r="N4">
        <v>66</v>
      </c>
      <c r="O4">
        <v>120</v>
      </c>
      <c r="P4">
        <v>71</v>
      </c>
      <c r="Q4">
        <v>365</v>
      </c>
      <c r="R4">
        <v>60</v>
      </c>
      <c r="S4" t="s">
        <v>40</v>
      </c>
      <c r="T4" t="s">
        <v>40</v>
      </c>
      <c r="W4" s="2"/>
      <c r="X4" s="2"/>
      <c r="Y4" s="2"/>
      <c r="Z4" s="2"/>
      <c r="AA4" s="2"/>
      <c r="AE4" t="s">
        <v>40</v>
      </c>
      <c r="AF4" t="s">
        <v>40</v>
      </c>
      <c r="AH4" s="22"/>
    </row>
    <row r="7" spans="2:36" ht="15" x14ac:dyDescent="0.25">
      <c r="B7" s="20" t="s">
        <v>44</v>
      </c>
      <c r="C7" s="20"/>
      <c r="D7" t="s">
        <v>40</v>
      </c>
      <c r="E7">
        <v>75</v>
      </c>
      <c r="F7" t="s">
        <v>40</v>
      </c>
      <c r="G7">
        <f>15*365</f>
        <v>5475</v>
      </c>
      <c r="H7">
        <f>2.1*24</f>
        <v>50.400000000000006</v>
      </c>
      <c r="I7" s="5">
        <f>((L7*(E7/H7)*24)/1000)/E7</f>
        <v>0.43047619047619046</v>
      </c>
      <c r="K7">
        <v>340</v>
      </c>
      <c r="L7">
        <v>904</v>
      </c>
      <c r="M7" t="s">
        <v>40</v>
      </c>
      <c r="N7" t="s">
        <v>111</v>
      </c>
      <c r="O7" t="s">
        <v>40</v>
      </c>
      <c r="P7" t="s">
        <v>40</v>
      </c>
      <c r="Q7" t="s">
        <v>40</v>
      </c>
      <c r="R7" t="s">
        <v>112</v>
      </c>
      <c r="S7" t="s">
        <v>40</v>
      </c>
      <c r="T7" t="s">
        <v>40</v>
      </c>
      <c r="V7">
        <v>1.0999999999999999E-2</v>
      </c>
      <c r="W7" t="s">
        <v>40</v>
      </c>
      <c r="X7" s="9">
        <f>(41.78*1000)/((E7/(H7/24))*15*365)</f>
        <v>0.21366940639269402</v>
      </c>
      <c r="Y7" t="s">
        <v>40</v>
      </c>
      <c r="Z7" t="s">
        <v>40</v>
      </c>
      <c r="AA7" t="s">
        <v>40</v>
      </c>
      <c r="AC7" t="s">
        <v>40</v>
      </c>
      <c r="AD7" t="s">
        <v>40</v>
      </c>
      <c r="AE7" t="s">
        <v>40</v>
      </c>
      <c r="AF7" t="s">
        <v>40</v>
      </c>
      <c r="AH7" s="2" t="s">
        <v>63</v>
      </c>
    </row>
    <row r="10" spans="2:36" x14ac:dyDescent="0.2">
      <c r="E10">
        <v>6977</v>
      </c>
      <c r="F10" t="s">
        <v>133</v>
      </c>
    </row>
    <row r="12" spans="2:36" x14ac:dyDescent="0.2">
      <c r="C12" t="s">
        <v>134</v>
      </c>
      <c r="D12">
        <v>50</v>
      </c>
      <c r="E12">
        <v>2.0999999999999999E-3</v>
      </c>
    </row>
    <row r="14" spans="2:36" x14ac:dyDescent="0.2">
      <c r="C14" t="s">
        <v>135</v>
      </c>
      <c r="E14">
        <v>3.8E-3</v>
      </c>
    </row>
    <row r="20" spans="3:7" x14ac:dyDescent="0.2">
      <c r="C20" t="s">
        <v>78</v>
      </c>
    </row>
    <row r="22" spans="3:7" x14ac:dyDescent="0.2">
      <c r="C22" t="s">
        <v>137</v>
      </c>
    </row>
    <row r="24" spans="3:7" x14ac:dyDescent="0.2">
      <c r="C24">
        <v>26</v>
      </c>
      <c r="D24" t="s">
        <v>138</v>
      </c>
    </row>
    <row r="25" spans="3:7" x14ac:dyDescent="0.2">
      <c r="G25">
        <v>5.45E-2</v>
      </c>
    </row>
    <row r="26" spans="3:7" x14ac:dyDescent="0.2">
      <c r="C26">
        <f>C24*365</f>
        <v>9490</v>
      </c>
      <c r="D26" t="s">
        <v>139</v>
      </c>
    </row>
  </sheetData>
  <mergeCells count="4">
    <mergeCell ref="B3:C3"/>
    <mergeCell ref="AH3:AH4"/>
    <mergeCell ref="B4:C4"/>
    <mergeCell ref="B7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Sources</vt:lpstr>
      <vt:lpstr>Data</vt:lpstr>
      <vt:lpstr>Sheet1</vt:lpstr>
      <vt:lpstr>Analysis</vt:lpstr>
      <vt:lpstr>Complexity</vt:lpstr>
      <vt:lpstr>Hydrolysis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2022-09-07T14:30:48Z</dcterms:created>
  <dcterms:modified xsi:type="dcterms:W3CDTF">2022-11-01T11:42:28Z</dcterms:modified>
</cp:coreProperties>
</file>