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1E64CE2F-1A98-493D-A9AF-193454868F8C}" xr6:coauthVersionLast="46" xr6:coauthVersionMax="46" xr10:uidLastSave="{00000000-0000-0000-0000-000000000000}"/>
  <bookViews>
    <workbookView xWindow="-108" yWindow="-108" windowWidth="23256" windowHeight="12576" activeTab="5" xr2:uid="{00000000-000D-0000-FFFF-FFFF00000000}"/>
  </bookViews>
  <sheets>
    <sheet name="Soils" sheetId="1" r:id="rId1"/>
    <sheet name="Standards" sheetId="3" r:id="rId2"/>
    <sheet name="0 days" sheetId="2" r:id="rId3"/>
    <sheet name="7 days" sheetId="8" r:id="rId4"/>
    <sheet name="15 days" sheetId="14" r:id="rId5"/>
    <sheet name="28 days" sheetId="10" r:id="rId6"/>
    <sheet name="56 days" sheetId="13" r:id="rId7"/>
    <sheet name="Rep samples1" sheetId="1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3" l="1"/>
  <c r="P15" i="2"/>
  <c r="Q15" i="2"/>
  <c r="P14" i="2"/>
  <c r="Q14" i="2"/>
  <c r="P13" i="2"/>
  <c r="Q13" i="2"/>
  <c r="O13" i="2"/>
  <c r="P12" i="2"/>
  <c r="Q12" i="2"/>
  <c r="P11" i="2"/>
  <c r="Q11" i="2"/>
  <c r="O10" i="2"/>
  <c r="O12" i="2"/>
  <c r="O11" i="2"/>
  <c r="Q10" i="2"/>
  <c r="P7" i="2"/>
  <c r="O4" i="2"/>
  <c r="Q28" i="13"/>
  <c r="R28" i="13"/>
  <c r="Q27" i="13"/>
  <c r="R27" i="13"/>
  <c r="Q26" i="13"/>
  <c r="R26" i="13"/>
  <c r="Q25" i="13"/>
  <c r="R25" i="13"/>
  <c r="Q24" i="13"/>
  <c r="R24" i="13"/>
  <c r="Q23" i="13"/>
  <c r="R23" i="13"/>
  <c r="P27" i="13"/>
  <c r="P28" i="13"/>
  <c r="P26" i="13"/>
  <c r="P24" i="13"/>
  <c r="P25" i="13"/>
  <c r="P23" i="13"/>
  <c r="M28" i="13"/>
  <c r="N28" i="13"/>
  <c r="M27" i="13"/>
  <c r="N27" i="13"/>
  <c r="M26" i="13"/>
  <c r="N26" i="13"/>
  <c r="M25" i="13"/>
  <c r="N25" i="13"/>
  <c r="M24" i="13"/>
  <c r="N24" i="13"/>
  <c r="M23" i="13"/>
  <c r="N23" i="13"/>
  <c r="L28" i="13"/>
  <c r="L27" i="13"/>
  <c r="L26" i="13"/>
  <c r="L25" i="13"/>
  <c r="L24" i="13"/>
  <c r="L23" i="13"/>
  <c r="H27" i="13"/>
  <c r="K27" i="13" s="1"/>
  <c r="W8" i="16"/>
  <c r="K11" i="16"/>
  <c r="K15" i="16"/>
  <c r="O15" i="16" s="1"/>
  <c r="J10" i="16"/>
  <c r="M10" i="16" s="1"/>
  <c r="Q10" i="16" s="1"/>
  <c r="H15" i="16"/>
  <c r="H17" i="16"/>
  <c r="K17" i="16" s="1"/>
  <c r="O17" i="16" s="1"/>
  <c r="H6" i="16"/>
  <c r="K6" i="16" s="1"/>
  <c r="H9" i="16"/>
  <c r="K9" i="16" s="1"/>
  <c r="H10" i="16"/>
  <c r="K10" i="16" s="1"/>
  <c r="H11" i="16"/>
  <c r="H12" i="16"/>
  <c r="K12" i="16" s="1"/>
  <c r="F22" i="16"/>
  <c r="J8" i="16" s="1"/>
  <c r="E22" i="16"/>
  <c r="I8" i="16" s="1"/>
  <c r="D22" i="16"/>
  <c r="H8" i="16" s="1"/>
  <c r="F21" i="16"/>
  <c r="J13" i="16" s="1"/>
  <c r="M13" i="16" s="1"/>
  <c r="Q13" i="16" s="1"/>
  <c r="E21" i="16"/>
  <c r="I13" i="16" s="1"/>
  <c r="L13" i="16" s="1"/>
  <c r="P13" i="16" s="1"/>
  <c r="D21" i="16"/>
  <c r="J26" i="13"/>
  <c r="K19" i="13"/>
  <c r="D32" i="13"/>
  <c r="H9" i="13" s="1"/>
  <c r="K9" i="13" s="1"/>
  <c r="E32" i="13"/>
  <c r="I27" i="13" s="1"/>
  <c r="F32" i="13"/>
  <c r="J12" i="13" s="1"/>
  <c r="E31" i="13"/>
  <c r="I18" i="13" s="1"/>
  <c r="L18" i="13" s="1"/>
  <c r="P18" i="13" s="1"/>
  <c r="F31" i="13"/>
  <c r="J6" i="13" s="1"/>
  <c r="M6" i="13" s="1"/>
  <c r="Q6" i="13" s="1"/>
  <c r="D31" i="13"/>
  <c r="H18" i="13" s="1"/>
  <c r="S4" i="3"/>
  <c r="R4" i="3"/>
  <c r="Q4" i="3"/>
  <c r="S3" i="3"/>
  <c r="R3" i="3"/>
  <c r="Q3" i="3"/>
  <c r="H15" i="13"/>
  <c r="K15" i="13" s="1"/>
  <c r="H14" i="13"/>
  <c r="H11" i="13"/>
  <c r="K11" i="13" s="1"/>
  <c r="H10" i="13"/>
  <c r="K10" i="13" s="1"/>
  <c r="O10" i="13" s="1"/>
  <c r="J9" i="13"/>
  <c r="M9" i="13" s="1"/>
  <c r="Q9" i="13" s="1"/>
  <c r="I9" i="13"/>
  <c r="L9" i="13" s="1"/>
  <c r="P9" i="13" s="1"/>
  <c r="J5" i="13"/>
  <c r="J4" i="13"/>
  <c r="M4" i="13" s="1"/>
  <c r="I4" i="13"/>
  <c r="H4" i="13"/>
  <c r="K4" i="13" s="1"/>
  <c r="F20" i="10"/>
  <c r="E20" i="10"/>
  <c r="D20" i="10"/>
  <c r="F19" i="10"/>
  <c r="E19" i="10"/>
  <c r="D19" i="10"/>
  <c r="Q15" i="10"/>
  <c r="P15" i="10"/>
  <c r="O15" i="10"/>
  <c r="N15" i="10"/>
  <c r="M15" i="10"/>
  <c r="L15" i="10"/>
  <c r="K15" i="10"/>
  <c r="J15" i="10"/>
  <c r="I15" i="10"/>
  <c r="H15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Q12" i="10"/>
  <c r="P12" i="10"/>
  <c r="O12" i="10"/>
  <c r="N12" i="10"/>
  <c r="M12" i="10"/>
  <c r="L12" i="10"/>
  <c r="K12" i="10"/>
  <c r="J12" i="10"/>
  <c r="I12" i="10"/>
  <c r="H12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Q9" i="10"/>
  <c r="P9" i="10"/>
  <c r="O9" i="10"/>
  <c r="N9" i="10"/>
  <c r="M9" i="10"/>
  <c r="L9" i="10"/>
  <c r="K9" i="10"/>
  <c r="J9" i="10"/>
  <c r="I9" i="10"/>
  <c r="H9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Q6" i="10"/>
  <c r="P6" i="10"/>
  <c r="O6" i="10"/>
  <c r="N6" i="10"/>
  <c r="M6" i="10"/>
  <c r="L6" i="10"/>
  <c r="K6" i="10"/>
  <c r="J6" i="10"/>
  <c r="I6" i="10"/>
  <c r="H6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F25" i="14"/>
  <c r="E25" i="14"/>
  <c r="D25" i="14"/>
  <c r="F24" i="14"/>
  <c r="E24" i="14"/>
  <c r="D24" i="14"/>
  <c r="N20" i="14"/>
  <c r="M20" i="14"/>
  <c r="L20" i="14"/>
  <c r="K20" i="14"/>
  <c r="J20" i="14"/>
  <c r="I20" i="14"/>
  <c r="H20" i="14"/>
  <c r="N19" i="14"/>
  <c r="M19" i="14"/>
  <c r="L19" i="14"/>
  <c r="K19" i="14"/>
  <c r="J19" i="14"/>
  <c r="I19" i="14"/>
  <c r="H19" i="14"/>
  <c r="Q15" i="14"/>
  <c r="P15" i="14"/>
  <c r="O15" i="14"/>
  <c r="N15" i="14"/>
  <c r="M15" i="14"/>
  <c r="L15" i="14"/>
  <c r="K15" i="14"/>
  <c r="J15" i="14"/>
  <c r="I15" i="14"/>
  <c r="H15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Q12" i="14"/>
  <c r="P12" i="14"/>
  <c r="O12" i="14"/>
  <c r="N12" i="14"/>
  <c r="M12" i="14"/>
  <c r="L12" i="14"/>
  <c r="K12" i="14"/>
  <c r="J12" i="14"/>
  <c r="I12" i="14"/>
  <c r="H12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Q9" i="14"/>
  <c r="P9" i="14"/>
  <c r="O9" i="14"/>
  <c r="N9" i="14"/>
  <c r="M9" i="14"/>
  <c r="L9" i="14"/>
  <c r="K9" i="14"/>
  <c r="J9" i="14"/>
  <c r="I9" i="14"/>
  <c r="H9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Q6" i="14"/>
  <c r="P6" i="14"/>
  <c r="O6" i="14"/>
  <c r="N6" i="14"/>
  <c r="M6" i="14"/>
  <c r="L6" i="14"/>
  <c r="K6" i="14"/>
  <c r="J6" i="14"/>
  <c r="I6" i="14"/>
  <c r="H6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Z4" i="14"/>
  <c r="Y4" i="14"/>
  <c r="X4" i="14"/>
  <c r="W4" i="14"/>
  <c r="V4" i="14"/>
  <c r="T4" i="14"/>
  <c r="S4" i="14"/>
  <c r="R4" i="14"/>
  <c r="Q4" i="14"/>
  <c r="P4" i="14"/>
  <c r="O4" i="14"/>
  <c r="N4" i="14"/>
  <c r="M4" i="14"/>
  <c r="L4" i="14"/>
  <c r="K4" i="14"/>
  <c r="J4" i="14"/>
  <c r="I4" i="14"/>
  <c r="H4" i="14"/>
  <c r="F25" i="8"/>
  <c r="E25" i="8"/>
  <c r="D25" i="8"/>
  <c r="F24" i="8"/>
  <c r="E24" i="8"/>
  <c r="D24" i="8"/>
  <c r="N20" i="8"/>
  <c r="M20" i="8"/>
  <c r="L20" i="8"/>
  <c r="K20" i="8"/>
  <c r="J20" i="8"/>
  <c r="I20" i="8"/>
  <c r="H20" i="8"/>
  <c r="N19" i="8"/>
  <c r="M19" i="8"/>
  <c r="L19" i="8"/>
  <c r="K19" i="8"/>
  <c r="J19" i="8"/>
  <c r="I19" i="8"/>
  <c r="H19" i="8"/>
  <c r="Q15" i="8"/>
  <c r="P15" i="8"/>
  <c r="O15" i="8"/>
  <c r="N15" i="8"/>
  <c r="M15" i="8"/>
  <c r="L15" i="8"/>
  <c r="K15" i="8"/>
  <c r="J15" i="8"/>
  <c r="I15" i="8"/>
  <c r="H15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Q12" i="8"/>
  <c r="P12" i="8"/>
  <c r="O12" i="8"/>
  <c r="N12" i="8"/>
  <c r="M12" i="8"/>
  <c r="L12" i="8"/>
  <c r="K12" i="8"/>
  <c r="J12" i="8"/>
  <c r="I12" i="8"/>
  <c r="H12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Q9" i="8"/>
  <c r="P9" i="8"/>
  <c r="O9" i="8"/>
  <c r="N9" i="8"/>
  <c r="M9" i="8"/>
  <c r="L9" i="8"/>
  <c r="K9" i="8"/>
  <c r="J9" i="8"/>
  <c r="I9" i="8"/>
  <c r="H9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Q6" i="8"/>
  <c r="P6" i="8"/>
  <c r="O6" i="8"/>
  <c r="N6" i="8"/>
  <c r="M6" i="8"/>
  <c r="L6" i="8"/>
  <c r="K6" i="8"/>
  <c r="J6" i="8"/>
  <c r="I6" i="8"/>
  <c r="H6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Z4" i="8"/>
  <c r="Y4" i="8"/>
  <c r="X4" i="8"/>
  <c r="W4" i="8"/>
  <c r="V4" i="8"/>
  <c r="T4" i="8"/>
  <c r="S4" i="8"/>
  <c r="R4" i="8"/>
  <c r="Q4" i="8"/>
  <c r="P4" i="8"/>
  <c r="O4" i="8"/>
  <c r="N4" i="8"/>
  <c r="M4" i="8"/>
  <c r="L4" i="8"/>
  <c r="K4" i="8"/>
  <c r="J4" i="8"/>
  <c r="I4" i="8"/>
  <c r="H4" i="8"/>
  <c r="M30" i="2"/>
  <c r="T6" i="2" s="1"/>
  <c r="L30" i="2"/>
  <c r="S5" i="2" s="1"/>
  <c r="M24" i="2"/>
  <c r="L24" i="2"/>
  <c r="K24" i="2"/>
  <c r="M23" i="2"/>
  <c r="L23" i="2"/>
  <c r="K23" i="2"/>
  <c r="M19" i="2"/>
  <c r="L19" i="2"/>
  <c r="K19" i="2"/>
  <c r="J19" i="2"/>
  <c r="I19" i="2"/>
  <c r="H19" i="2"/>
  <c r="G19" i="2"/>
  <c r="F19" i="2"/>
  <c r="E19" i="2"/>
  <c r="M18" i="2"/>
  <c r="L18" i="2"/>
  <c r="K18" i="2"/>
  <c r="J18" i="2"/>
  <c r="I18" i="2"/>
  <c r="H18" i="2"/>
  <c r="M15" i="2"/>
  <c r="L15" i="2"/>
  <c r="K15" i="2"/>
  <c r="J15" i="2"/>
  <c r="I15" i="2"/>
  <c r="H15" i="2"/>
  <c r="W14" i="2"/>
  <c r="V14" i="2"/>
  <c r="U14" i="2"/>
  <c r="O14" i="2"/>
  <c r="M14" i="2"/>
  <c r="L14" i="2"/>
  <c r="K14" i="2"/>
  <c r="J14" i="2"/>
  <c r="I14" i="2"/>
  <c r="H14" i="2"/>
  <c r="W13" i="2"/>
  <c r="V13" i="2"/>
  <c r="U13" i="2"/>
  <c r="M13" i="2"/>
  <c r="L13" i="2"/>
  <c r="K13" i="2"/>
  <c r="X13" i="2" s="1"/>
  <c r="K33" i="2" s="1"/>
  <c r="J13" i="2"/>
  <c r="I13" i="2"/>
  <c r="H13" i="2"/>
  <c r="M12" i="2"/>
  <c r="L12" i="2"/>
  <c r="K12" i="2"/>
  <c r="J12" i="2"/>
  <c r="I12" i="2"/>
  <c r="H12" i="2"/>
  <c r="W11" i="2"/>
  <c r="V11" i="2"/>
  <c r="U11" i="2"/>
  <c r="M11" i="2"/>
  <c r="L11" i="2"/>
  <c r="K11" i="2"/>
  <c r="J11" i="2"/>
  <c r="I11" i="2"/>
  <c r="H11" i="2"/>
  <c r="W10" i="2"/>
  <c r="V10" i="2"/>
  <c r="U10" i="2"/>
  <c r="M10" i="2"/>
  <c r="L10" i="2"/>
  <c r="P10" i="2" s="1"/>
  <c r="K10" i="2"/>
  <c r="J10" i="2"/>
  <c r="I10" i="2"/>
  <c r="H10" i="2"/>
  <c r="M9" i="2"/>
  <c r="Q9" i="2" s="1"/>
  <c r="L9" i="2"/>
  <c r="P9" i="2" s="1"/>
  <c r="K9" i="2"/>
  <c r="N9" i="2" s="1"/>
  <c r="J9" i="2"/>
  <c r="I9" i="2"/>
  <c r="H9" i="2"/>
  <c r="W8" i="2"/>
  <c r="V8" i="2"/>
  <c r="U8" i="2"/>
  <c r="M8" i="2"/>
  <c r="L8" i="2"/>
  <c r="Y8" i="2" s="1"/>
  <c r="K8" i="2"/>
  <c r="O8" i="2" s="1"/>
  <c r="J8" i="2"/>
  <c r="I8" i="2"/>
  <c r="H8" i="2"/>
  <c r="X7" i="2"/>
  <c r="K31" i="2" s="1"/>
  <c r="R9" i="2" s="1"/>
  <c r="W7" i="2"/>
  <c r="V7" i="2"/>
  <c r="U7" i="2"/>
  <c r="M7" i="2"/>
  <c r="Q7" i="2" s="1"/>
  <c r="L7" i="2"/>
  <c r="K7" i="2"/>
  <c r="X8" i="2" s="1"/>
  <c r="J7" i="2"/>
  <c r="I7" i="2"/>
  <c r="H7" i="2"/>
  <c r="Q6" i="2"/>
  <c r="M6" i="2"/>
  <c r="L6" i="2"/>
  <c r="P6" i="2" s="1"/>
  <c r="K6" i="2"/>
  <c r="O6" i="2" s="1"/>
  <c r="J6" i="2"/>
  <c r="I6" i="2"/>
  <c r="H6" i="2"/>
  <c r="AC5" i="2"/>
  <c r="W5" i="2"/>
  <c r="V5" i="2"/>
  <c r="U5" i="2"/>
  <c r="Q5" i="2"/>
  <c r="P5" i="2"/>
  <c r="N5" i="2"/>
  <c r="M5" i="2"/>
  <c r="T5" i="2" s="1"/>
  <c r="L5" i="2"/>
  <c r="Y5" i="2" s="1"/>
  <c r="K5" i="2"/>
  <c r="O5" i="2" s="1"/>
  <c r="J5" i="2"/>
  <c r="I5" i="2"/>
  <c r="H5" i="2"/>
  <c r="AC4" i="2"/>
  <c r="Z4" i="2"/>
  <c r="Y4" i="2"/>
  <c r="W4" i="2"/>
  <c r="V4" i="2"/>
  <c r="U4" i="2"/>
  <c r="Q4" i="2"/>
  <c r="P4" i="2"/>
  <c r="N4" i="2"/>
  <c r="M4" i="2"/>
  <c r="L4" i="2"/>
  <c r="K4" i="2"/>
  <c r="J4" i="2"/>
  <c r="I4" i="2"/>
  <c r="H4" i="2"/>
  <c r="G20" i="3"/>
  <c r="F20" i="3"/>
  <c r="E20" i="3"/>
  <c r="D20" i="3"/>
  <c r="G19" i="3"/>
  <c r="F19" i="3"/>
  <c r="E19" i="3"/>
  <c r="D19" i="3"/>
  <c r="Q14" i="3"/>
  <c r="K14" i="3"/>
  <c r="E14" i="3"/>
  <c r="D14" i="3"/>
  <c r="Q13" i="3"/>
  <c r="K13" i="3"/>
  <c r="E13" i="3"/>
  <c r="D13" i="3"/>
  <c r="Q12" i="3"/>
  <c r="K12" i="3"/>
  <c r="E12" i="3"/>
  <c r="D12" i="3"/>
  <c r="Q11" i="3"/>
  <c r="K11" i="3"/>
  <c r="E11" i="3"/>
  <c r="D11" i="3"/>
  <c r="Q10" i="3"/>
  <c r="K10" i="3"/>
  <c r="E10" i="3"/>
  <c r="D10" i="3"/>
  <c r="B7" i="3"/>
  <c r="P4" i="3"/>
  <c r="O4" i="3"/>
  <c r="N4" i="3"/>
  <c r="M4" i="3"/>
  <c r="L4" i="3"/>
  <c r="K4" i="3"/>
  <c r="J4" i="3"/>
  <c r="I4" i="3"/>
  <c r="H4" i="3"/>
  <c r="G4" i="3"/>
  <c r="F4" i="3"/>
  <c r="E4" i="3"/>
  <c r="P3" i="3"/>
  <c r="O3" i="3"/>
  <c r="N3" i="3"/>
  <c r="M3" i="3"/>
  <c r="L3" i="3"/>
  <c r="K3" i="3"/>
  <c r="J3" i="3"/>
  <c r="I3" i="3"/>
  <c r="H3" i="3"/>
  <c r="G3" i="3"/>
  <c r="F3" i="3"/>
  <c r="E3" i="3"/>
  <c r="R15" i="2" l="1"/>
  <c r="S15" i="2"/>
  <c r="T15" i="2"/>
  <c r="R13" i="2"/>
  <c r="R14" i="2"/>
  <c r="X14" i="2"/>
  <c r="N13" i="2"/>
  <c r="Z13" i="2"/>
  <c r="M33" i="2" s="1"/>
  <c r="T14" i="2" s="1"/>
  <c r="Y14" i="2"/>
  <c r="N14" i="2"/>
  <c r="N11" i="2"/>
  <c r="N12" i="2"/>
  <c r="N15" i="2"/>
  <c r="Y13" i="2"/>
  <c r="L33" i="2" s="1"/>
  <c r="S13" i="2" s="1"/>
  <c r="AB13" i="2"/>
  <c r="O15" i="2"/>
  <c r="AA13" i="2" s="1"/>
  <c r="Z14" i="2"/>
  <c r="X10" i="2"/>
  <c r="K32" i="2" s="1"/>
  <c r="R12" i="2" s="1"/>
  <c r="Y10" i="2"/>
  <c r="L32" i="2" s="1"/>
  <c r="S12" i="2" s="1"/>
  <c r="AC11" i="2"/>
  <c r="Z10" i="2"/>
  <c r="M32" i="2" s="1"/>
  <c r="Z11" i="2"/>
  <c r="Y11" i="2"/>
  <c r="AA10" i="2"/>
  <c r="AA11" i="2"/>
  <c r="AB11" i="2"/>
  <c r="AB10" i="2"/>
  <c r="T10" i="2"/>
  <c r="R11" i="2"/>
  <c r="T12" i="2"/>
  <c r="T11" i="2"/>
  <c r="N10" i="2"/>
  <c r="AC10" i="2"/>
  <c r="X11" i="2"/>
  <c r="AA5" i="2"/>
  <c r="AA4" i="2"/>
  <c r="AB4" i="2"/>
  <c r="S4" i="2"/>
  <c r="P8" i="2"/>
  <c r="AB8" i="2" s="1"/>
  <c r="Q8" i="2"/>
  <c r="AC8" i="2" s="1"/>
  <c r="N8" i="2"/>
  <c r="X5" i="2"/>
  <c r="R8" i="2"/>
  <c r="X4" i="2"/>
  <c r="K30" i="2" s="1"/>
  <c r="R5" i="2" s="1"/>
  <c r="T4" i="2"/>
  <c r="Z7" i="2"/>
  <c r="M31" i="2" s="1"/>
  <c r="Z5" i="2"/>
  <c r="N6" i="2"/>
  <c r="N7" i="2"/>
  <c r="O7" i="2"/>
  <c r="R7" i="2"/>
  <c r="AB5" i="2"/>
  <c r="S6" i="2"/>
  <c r="Y7" i="2"/>
  <c r="L31" i="2" s="1"/>
  <c r="S9" i="2" s="1"/>
  <c r="O9" i="2"/>
  <c r="Z8" i="2"/>
  <c r="R6" i="2"/>
  <c r="R4" i="2"/>
  <c r="I5" i="13"/>
  <c r="L5" i="13" s="1"/>
  <c r="P5" i="13" s="1"/>
  <c r="H17" i="13"/>
  <c r="K17" i="13" s="1"/>
  <c r="O17" i="13" s="1"/>
  <c r="J27" i="13"/>
  <c r="H28" i="13"/>
  <c r="K28" i="13" s="1"/>
  <c r="H6" i="13"/>
  <c r="K6" i="13" s="1"/>
  <c r="O6" i="13" s="1"/>
  <c r="H12" i="13"/>
  <c r="R13" i="13" s="1"/>
  <c r="J15" i="13"/>
  <c r="M15" i="13" s="1"/>
  <c r="J25" i="13"/>
  <c r="H26" i="13"/>
  <c r="K26" i="13" s="1"/>
  <c r="I12" i="13"/>
  <c r="L12" i="13" s="1"/>
  <c r="J24" i="13"/>
  <c r="H25" i="13"/>
  <c r="K25" i="13" s="1"/>
  <c r="H8" i="13"/>
  <c r="K8" i="13" s="1"/>
  <c r="I23" i="13"/>
  <c r="H24" i="13"/>
  <c r="K24" i="13" s="1"/>
  <c r="I8" i="13"/>
  <c r="S8" i="13" s="1"/>
  <c r="H13" i="13"/>
  <c r="K13" i="13" s="1"/>
  <c r="O13" i="13" s="1"/>
  <c r="I28" i="13"/>
  <c r="H23" i="13"/>
  <c r="K23" i="13" s="1"/>
  <c r="I13" i="13"/>
  <c r="L13" i="13" s="1"/>
  <c r="P13" i="13" s="1"/>
  <c r="I26" i="13"/>
  <c r="I25" i="13"/>
  <c r="I24" i="13"/>
  <c r="I10" i="13"/>
  <c r="L10" i="13" s="1"/>
  <c r="P10" i="13" s="1"/>
  <c r="H16" i="13"/>
  <c r="J8" i="13"/>
  <c r="J23" i="13"/>
  <c r="H5" i="13"/>
  <c r="K5" i="13" s="1"/>
  <c r="O5" i="13" s="1"/>
  <c r="J10" i="13"/>
  <c r="I16" i="13"/>
  <c r="L16" i="13" s="1"/>
  <c r="I15" i="13"/>
  <c r="L15" i="13" s="1"/>
  <c r="N15" i="13" s="1"/>
  <c r="J28" i="13"/>
  <c r="M8" i="16"/>
  <c r="T9" i="16"/>
  <c r="T8" i="16"/>
  <c r="O12" i="16"/>
  <c r="O10" i="16"/>
  <c r="O9" i="16"/>
  <c r="O6" i="16"/>
  <c r="L8" i="16"/>
  <c r="K8" i="16"/>
  <c r="R9" i="16"/>
  <c r="R8" i="16"/>
  <c r="H7" i="16"/>
  <c r="K7" i="16" s="1"/>
  <c r="I11" i="16"/>
  <c r="J11" i="16"/>
  <c r="I9" i="16"/>
  <c r="L9" i="16" s="1"/>
  <c r="P9" i="16" s="1"/>
  <c r="J9" i="16"/>
  <c r="M9" i="16" s="1"/>
  <c r="Q9" i="16" s="1"/>
  <c r="O11" i="16"/>
  <c r="U11" i="16"/>
  <c r="H16" i="16"/>
  <c r="K16" i="16" s="1"/>
  <c r="O16" i="16" s="1"/>
  <c r="I5" i="16"/>
  <c r="I7" i="16"/>
  <c r="L7" i="16" s="1"/>
  <c r="P7" i="16" s="1"/>
  <c r="J7" i="16"/>
  <c r="M7" i="16" s="1"/>
  <c r="Q7" i="16" s="1"/>
  <c r="J5" i="16"/>
  <c r="M5" i="16" s="1"/>
  <c r="Q5" i="16" s="1"/>
  <c r="H14" i="16"/>
  <c r="K14" i="16" s="1"/>
  <c r="O14" i="16" s="1"/>
  <c r="I6" i="16"/>
  <c r="L6" i="16" s="1"/>
  <c r="P6" i="16" s="1"/>
  <c r="J6" i="16"/>
  <c r="M6" i="16" s="1"/>
  <c r="Q6" i="16" s="1"/>
  <c r="R11" i="16"/>
  <c r="H13" i="16"/>
  <c r="K13" i="16" s="1"/>
  <c r="U12" i="16" s="1"/>
  <c r="I17" i="16"/>
  <c r="L17" i="16" s="1"/>
  <c r="P17" i="16" s="1"/>
  <c r="J17" i="16"/>
  <c r="M17" i="16" s="1"/>
  <c r="Q17" i="16" s="1"/>
  <c r="I16" i="16"/>
  <c r="L16" i="16" s="1"/>
  <c r="P16" i="16" s="1"/>
  <c r="J16" i="16"/>
  <c r="M16" i="16" s="1"/>
  <c r="Q16" i="16" s="1"/>
  <c r="I15" i="16"/>
  <c r="L15" i="16" s="1"/>
  <c r="P15" i="16" s="1"/>
  <c r="J15" i="16"/>
  <c r="M15" i="16" s="1"/>
  <c r="Q15" i="16" s="1"/>
  <c r="I10" i="16"/>
  <c r="L10" i="16" s="1"/>
  <c r="P10" i="16" s="1"/>
  <c r="I14" i="16"/>
  <c r="L14" i="16" s="1"/>
  <c r="P14" i="16" s="1"/>
  <c r="J14" i="16"/>
  <c r="M14" i="16" s="1"/>
  <c r="Q14" i="16" s="1"/>
  <c r="H5" i="16"/>
  <c r="I12" i="16"/>
  <c r="L12" i="16" s="1"/>
  <c r="P12" i="16" s="1"/>
  <c r="J12" i="16"/>
  <c r="M12" i="16" s="1"/>
  <c r="Q12" i="16" s="1"/>
  <c r="N16" i="16"/>
  <c r="N15" i="16"/>
  <c r="L5" i="16"/>
  <c r="P5" i="16" s="1"/>
  <c r="R17" i="13"/>
  <c r="R12" i="13"/>
  <c r="T8" i="13"/>
  <c r="M8" i="13"/>
  <c r="Q8" i="13" s="1"/>
  <c r="T4" i="13"/>
  <c r="R5" i="13"/>
  <c r="K12" i="13"/>
  <c r="O12" i="13" s="1"/>
  <c r="I6" i="13"/>
  <c r="L6" i="13" s="1"/>
  <c r="P6" i="13" s="1"/>
  <c r="J18" i="13"/>
  <c r="M18" i="13" s="1"/>
  <c r="Q18" i="13" s="1"/>
  <c r="I19" i="13"/>
  <c r="L19" i="13" s="1"/>
  <c r="T9" i="13"/>
  <c r="T5" i="13"/>
  <c r="P16" i="13"/>
  <c r="L4" i="13"/>
  <c r="N4" i="13" s="1"/>
  <c r="L8" i="13"/>
  <c r="Q4" i="13"/>
  <c r="M5" i="13"/>
  <c r="Q5" i="13" s="1"/>
  <c r="M10" i="13"/>
  <c r="Q10" i="13" s="1"/>
  <c r="J19" i="13"/>
  <c r="M19" i="13" s="1"/>
  <c r="N19" i="13" s="1"/>
  <c r="M12" i="13"/>
  <c r="J13" i="13"/>
  <c r="M13" i="13" s="1"/>
  <c r="Q13" i="13" s="1"/>
  <c r="I14" i="13"/>
  <c r="L14" i="13" s="1"/>
  <c r="P14" i="13" s="1"/>
  <c r="J16" i="13"/>
  <c r="I17" i="13"/>
  <c r="I11" i="13"/>
  <c r="L11" i="13" s="1"/>
  <c r="J14" i="13"/>
  <c r="M14" i="13" s="1"/>
  <c r="Q14" i="13" s="1"/>
  <c r="J17" i="13"/>
  <c r="M17" i="13" s="1"/>
  <c r="Q17" i="13" s="1"/>
  <c r="O9" i="13"/>
  <c r="N9" i="13"/>
  <c r="U5" i="13"/>
  <c r="O4" i="13"/>
  <c r="U8" i="13"/>
  <c r="U9" i="13"/>
  <c r="O8" i="13"/>
  <c r="K18" i="13"/>
  <c r="R16" i="13"/>
  <c r="R9" i="13"/>
  <c r="K14" i="13"/>
  <c r="R8" i="13"/>
  <c r="K16" i="13"/>
  <c r="S10" i="2" l="1"/>
  <c r="AD14" i="2"/>
  <c r="AD13" i="2"/>
  <c r="AB14" i="2"/>
  <c r="T13" i="2"/>
  <c r="AA14" i="2"/>
  <c r="S11" i="2"/>
  <c r="R10" i="2"/>
  <c r="AD10" i="2" s="1"/>
  <c r="AC14" i="2"/>
  <c r="AC13" i="2"/>
  <c r="S14" i="2"/>
  <c r="AE13" i="2" s="1"/>
  <c r="AE10" i="2"/>
  <c r="AE11" i="2"/>
  <c r="AF11" i="2"/>
  <c r="AF10" i="2"/>
  <c r="AC7" i="2"/>
  <c r="AD7" i="2"/>
  <c r="AD8" i="2"/>
  <c r="AA8" i="2"/>
  <c r="AA7" i="2"/>
  <c r="AE4" i="2"/>
  <c r="AE5" i="2"/>
  <c r="T7" i="2"/>
  <c r="T9" i="2"/>
  <c r="S7" i="2"/>
  <c r="AF4" i="2"/>
  <c r="AF5" i="2"/>
  <c r="T8" i="2"/>
  <c r="AB7" i="2"/>
  <c r="S8" i="2"/>
  <c r="AD5" i="2"/>
  <c r="AD4" i="2"/>
  <c r="N10" i="13"/>
  <c r="S9" i="13"/>
  <c r="S4" i="13"/>
  <c r="R4" i="13"/>
  <c r="N6" i="13"/>
  <c r="S5" i="13"/>
  <c r="V9" i="16"/>
  <c r="V8" i="16"/>
  <c r="P8" i="16"/>
  <c r="N6" i="16"/>
  <c r="R5" i="16"/>
  <c r="K5" i="16"/>
  <c r="S12" i="16"/>
  <c r="L11" i="16"/>
  <c r="S11" i="16"/>
  <c r="N7" i="16"/>
  <c r="O7" i="16"/>
  <c r="T5" i="16"/>
  <c r="N9" i="16"/>
  <c r="N10" i="16"/>
  <c r="R6" i="16"/>
  <c r="R12" i="16"/>
  <c r="T12" i="16"/>
  <c r="M11" i="16"/>
  <c r="T11" i="16"/>
  <c r="T6" i="16"/>
  <c r="N14" i="16"/>
  <c r="U9" i="16"/>
  <c r="O8" i="16"/>
  <c r="U8" i="16"/>
  <c r="N8" i="16"/>
  <c r="N12" i="16"/>
  <c r="N17" i="16"/>
  <c r="S8" i="16"/>
  <c r="O13" i="16"/>
  <c r="X12" i="16" s="1"/>
  <c r="N13" i="16"/>
  <c r="S9" i="16"/>
  <c r="Q8" i="16"/>
  <c r="W9" i="16"/>
  <c r="V6" i="16"/>
  <c r="S6" i="16"/>
  <c r="S5" i="16"/>
  <c r="V5" i="16"/>
  <c r="Y6" i="16"/>
  <c r="W5" i="16"/>
  <c r="W6" i="16"/>
  <c r="Z5" i="16"/>
  <c r="Z6" i="16"/>
  <c r="T13" i="13"/>
  <c r="N8" i="13"/>
  <c r="W4" i="13"/>
  <c r="N5" i="13"/>
  <c r="N12" i="13"/>
  <c r="Q12" i="13"/>
  <c r="W13" i="13"/>
  <c r="W12" i="13"/>
  <c r="V9" i="13"/>
  <c r="V8" i="13"/>
  <c r="P8" i="13"/>
  <c r="Z9" i="13"/>
  <c r="Z8" i="13"/>
  <c r="S13" i="13"/>
  <c r="L17" i="13"/>
  <c r="S17" i="13"/>
  <c r="S16" i="13"/>
  <c r="M16" i="13"/>
  <c r="N16" i="13" s="1"/>
  <c r="T16" i="13"/>
  <c r="T17" i="13"/>
  <c r="V12" i="13"/>
  <c r="P12" i="13"/>
  <c r="V13" i="13"/>
  <c r="T12" i="13"/>
  <c r="S12" i="13"/>
  <c r="W9" i="13"/>
  <c r="W8" i="13"/>
  <c r="N13" i="13"/>
  <c r="V5" i="13"/>
  <c r="V4" i="13"/>
  <c r="P4" i="13"/>
  <c r="Z4" i="13"/>
  <c r="Z5" i="13"/>
  <c r="W5" i="13"/>
  <c r="X9" i="13"/>
  <c r="X8" i="13"/>
  <c r="X5" i="13"/>
  <c r="X4" i="13"/>
  <c r="O14" i="13"/>
  <c r="N14" i="13"/>
  <c r="U13" i="13"/>
  <c r="U12" i="13"/>
  <c r="O16" i="13"/>
  <c r="U16" i="13"/>
  <c r="U17" i="13"/>
  <c r="O18" i="13"/>
  <c r="N18" i="13"/>
  <c r="AE14" i="2" l="1"/>
  <c r="AF14" i="2"/>
  <c r="AF13" i="2"/>
  <c r="AD11" i="2"/>
  <c r="AF7" i="2"/>
  <c r="AF8" i="2"/>
  <c r="AE7" i="2"/>
  <c r="AE8" i="2"/>
  <c r="V12" i="16"/>
  <c r="P11" i="16"/>
  <c r="V11" i="16"/>
  <c r="N11" i="16"/>
  <c r="Z9" i="16"/>
  <c r="Z8" i="16"/>
  <c r="W12" i="16"/>
  <c r="Q11" i="16"/>
  <c r="W11" i="16"/>
  <c r="X11" i="16"/>
  <c r="X9" i="16"/>
  <c r="X8" i="16"/>
  <c r="O5" i="16"/>
  <c r="U6" i="16"/>
  <c r="N5" i="16"/>
  <c r="Y9" i="16"/>
  <c r="Y8" i="16"/>
  <c r="Y5" i="16"/>
  <c r="P17" i="13"/>
  <c r="N17" i="13"/>
  <c r="V16" i="13"/>
  <c r="V17" i="13"/>
  <c r="Y13" i="13"/>
  <c r="Y12" i="13"/>
  <c r="Y9" i="13"/>
  <c r="Y8" i="13"/>
  <c r="W17" i="13"/>
  <c r="W16" i="13"/>
  <c r="Q16" i="13"/>
  <c r="Y5" i="13"/>
  <c r="Y4" i="13"/>
  <c r="Z13" i="13"/>
  <c r="Z12" i="13"/>
  <c r="X16" i="13"/>
  <c r="X17" i="13"/>
  <c r="X12" i="13"/>
  <c r="X13" i="13"/>
  <c r="Y12" i="16" l="1"/>
  <c r="Y11" i="16"/>
  <c r="X5" i="16"/>
  <c r="X6" i="16"/>
  <c r="Z12" i="16"/>
  <c r="Z11" i="16"/>
  <c r="Z17" i="13"/>
  <c r="Z16" i="13"/>
  <c r="Y16" i="13"/>
  <c r="Y17" i="13"/>
  <c r="H19" i="3"/>
  <c r="H20" i="3"/>
</calcChain>
</file>

<file path=xl/sharedStrings.xml><?xml version="1.0" encoding="utf-8"?>
<sst xmlns="http://schemas.openxmlformats.org/spreadsheetml/2006/main" count="448" uniqueCount="110">
  <si>
    <t>Tube</t>
  </si>
  <si>
    <t>Sample</t>
  </si>
  <si>
    <t>IMX-104 standards</t>
  </si>
  <si>
    <t>Stock solution</t>
  </si>
  <si>
    <t>m (mg)</t>
  </si>
  <si>
    <t>V (L)</t>
  </si>
  <si>
    <t>Blank</t>
  </si>
  <si>
    <t>V stock (ml)</t>
  </si>
  <si>
    <t>V final (ml)</t>
  </si>
  <si>
    <t>Conc (ppm)</t>
  </si>
  <si>
    <t>Area</t>
  </si>
  <si>
    <t>V IMX (ml)</t>
  </si>
  <si>
    <t>V final</t>
  </si>
  <si>
    <t>m soil (g)</t>
  </si>
  <si>
    <t>Soil</t>
  </si>
  <si>
    <t>Sand</t>
  </si>
  <si>
    <t>Loam</t>
  </si>
  <si>
    <t>NTO</t>
  </si>
  <si>
    <t>DNAN</t>
  </si>
  <si>
    <t>RDX</t>
  </si>
  <si>
    <t>Total</t>
  </si>
  <si>
    <t>SLOPE</t>
  </si>
  <si>
    <t>INTERC</t>
  </si>
  <si>
    <t>Mass (mg)</t>
  </si>
  <si>
    <t>ACN:water --&gt; no signal</t>
  </si>
  <si>
    <t>C (IMX) ppm</t>
  </si>
  <si>
    <t>Average</t>
  </si>
  <si>
    <t>Average (ppm)</t>
  </si>
  <si>
    <t>Average (mg)</t>
  </si>
  <si>
    <t>Initial IMX added to the samples</t>
  </si>
  <si>
    <t>V final (mL)</t>
  </si>
  <si>
    <t>sand blanks --&gt; no signal</t>
  </si>
  <si>
    <t>loam blanks --&gt; small signals around 1 min, no NTO</t>
  </si>
  <si>
    <t>Percentage recovered</t>
  </si>
  <si>
    <t>mass soil (g)</t>
  </si>
  <si>
    <t>Day</t>
  </si>
  <si>
    <t>Tubes and labelling</t>
  </si>
  <si>
    <t>Area 1</t>
  </si>
  <si>
    <t>Area 2</t>
  </si>
  <si>
    <t>Interj</t>
  </si>
  <si>
    <t>3ml IMX</t>
  </si>
  <si>
    <t>Analysis: 18/05/21</t>
  </si>
  <si>
    <t>Neg controls</t>
  </si>
  <si>
    <t>Positive controls</t>
  </si>
  <si>
    <t>SS</t>
  </si>
  <si>
    <t>SL</t>
  </si>
  <si>
    <t>NS</t>
  </si>
  <si>
    <t>NL</t>
  </si>
  <si>
    <t>% recovered</t>
  </si>
  <si>
    <t>mass (mg)</t>
  </si>
  <si>
    <t>Percentage rec corr</t>
  </si>
  <si>
    <t xml:space="preserve">perc corr </t>
  </si>
  <si>
    <t>Area 3</t>
  </si>
  <si>
    <t>Day 0</t>
  </si>
  <si>
    <t>Day 7</t>
  </si>
  <si>
    <t>Area 4</t>
  </si>
  <si>
    <t>Area 5</t>
  </si>
  <si>
    <t>Date: 12/01/22 --&gt; 0 Days</t>
  </si>
  <si>
    <t>Aea 5</t>
  </si>
  <si>
    <t>5 mL</t>
  </si>
  <si>
    <r>
      <t>Sand 4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</si>
  <si>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r>
      <t>Sand 12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</si>
  <si>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r>
      <t>Sandy loam 12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</si>
  <si>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r>
      <t>Sandy loam 4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</si>
  <si>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S12</t>
  </si>
  <si>
    <t>S4</t>
  </si>
  <si>
    <t>L12</t>
  </si>
  <si>
    <t>L4</t>
  </si>
  <si>
    <t>IMX</t>
  </si>
  <si>
    <t>3mL 10C</t>
  </si>
  <si>
    <t>5 mL 20C</t>
  </si>
  <si>
    <t>IMX in sand at 12oC</t>
  </si>
  <si>
    <t>IMX in loam at 12oC</t>
  </si>
  <si>
    <t>IMX in sand at 4oC</t>
  </si>
  <si>
    <t>IMX in loam at 4oC</t>
  </si>
  <si>
    <t>Conc (mg L)</t>
  </si>
  <si>
    <t>Date: 24/01/22 --&gt; 14 days</t>
  </si>
  <si>
    <t>Date: 04/02/22 --&gt; 28 days</t>
  </si>
  <si>
    <t>Date: 19/01/22 --&gt; 1 day</t>
  </si>
  <si>
    <t>Date: 07/03/22 --&gt; 56 days</t>
  </si>
  <si>
    <t>3ml-20C</t>
  </si>
  <si>
    <t>3mL-12C</t>
  </si>
  <si>
    <t>3mL-4C</t>
  </si>
  <si>
    <t>5mL-20C</t>
  </si>
  <si>
    <t>5mL-12C</t>
  </si>
  <si>
    <t>5mL-4C</t>
  </si>
  <si>
    <t>22 (rep)</t>
  </si>
  <si>
    <t>23 (rep)</t>
  </si>
  <si>
    <t>24 (rep)</t>
  </si>
  <si>
    <t>25 (rep)</t>
  </si>
  <si>
    <t>27 (rep)</t>
  </si>
  <si>
    <t>26 (rep)</t>
  </si>
  <si>
    <t>65 (rep)</t>
  </si>
  <si>
    <t>66 (rep)</t>
  </si>
  <si>
    <t>67 (rep)</t>
  </si>
  <si>
    <t>2 (rep)</t>
  </si>
  <si>
    <t>16 (rep)</t>
  </si>
  <si>
    <t>42 (rep)</t>
  </si>
  <si>
    <t>57 (rep)</t>
  </si>
  <si>
    <t>Repeated samples (08/03/22)</t>
  </si>
  <si>
    <t>Comparison (other days)</t>
  </si>
  <si>
    <t>Recovered (%)</t>
  </si>
  <si>
    <t>20C</t>
  </si>
  <si>
    <t>12C</t>
  </si>
  <si>
    <t>4C</t>
  </si>
  <si>
    <t>Average (%) and SD</t>
  </si>
  <si>
    <t>S-12</t>
  </si>
  <si>
    <t>S-4</t>
  </si>
  <si>
    <t>L-12</t>
  </si>
  <si>
    <t>L-4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</si>
</sst>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0">
    <xf numFmtId="0" fontId="0" fillId="0" borderId="0" xfId="0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1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0" fillId="10" borderId="0" xfId="0" applyFill="1"/>
    <xf numFmtId="164" fontId="0" fillId="0" borderId="0" xfId="0" applyNumberFormat="1"/>
    <xf numFmtId="1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4" xfId="0" applyBorder="1"/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2" fontId="0" fillId="0" borderId="0" xfId="0" applyNumberFormat="1"/>
    <xf numFmtId="164" fontId="1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Border="1"/>
    <xf numFmtId="0" fontId="0" fillId="0" borderId="7" xfId="0" applyFill="1" applyBorder="1" applyAlignment="1">
      <alignment horizontal="center"/>
    </xf>
    <xf numFmtId="0" fontId="0" fillId="0" borderId="6" xfId="0" applyBorder="1"/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" fontId="0" fillId="0" borderId="0" xfId="0" applyNumberFormat="1"/>
    <xf numFmtId="164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0" fillId="14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0" fillId="0" borderId="7" xfId="0" applyBorder="1"/>
    <xf numFmtId="0" fontId="3" fillId="0" borderId="0" xfId="0" applyFont="1"/>
    <xf numFmtId="1" fontId="0" fillId="0" borderId="0" xfId="0" applyNumberFormat="1" applyAlignment="1">
      <alignment textRotation="45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11" xfId="0" applyBorder="1" applyAlignment="1">
      <alignment horizontal="center"/>
    </xf>
    <xf numFmtId="0" fontId="0" fillId="1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0" fontId="0" fillId="7" borderId="8" xfId="0" applyFill="1" applyBorder="1" applyAlignment="1"/>
    <xf numFmtId="0" fontId="0" fillId="7" borderId="10" xfId="0" applyFill="1" applyBorder="1" applyAlignment="1"/>
    <xf numFmtId="0" fontId="0" fillId="7" borderId="9" xfId="0" applyFill="1" applyBorder="1" applyAlignment="1"/>
    <xf numFmtId="1" fontId="0" fillId="0" borderId="5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1" fontId="0" fillId="0" borderId="4" xfId="0" applyNumberFormat="1" applyFont="1" applyBorder="1" applyAlignment="1">
      <alignment horizontal="center" vertical="center"/>
    </xf>
    <xf numFmtId="0" fontId="0" fillId="0" borderId="3" xfId="0" applyBorder="1"/>
    <xf numFmtId="0" fontId="0" fillId="10" borderId="1" xfId="0" applyFill="1" applyBorder="1"/>
    <xf numFmtId="0" fontId="0" fillId="10" borderId="11" xfId="0" applyFill="1" applyBorder="1"/>
    <xf numFmtId="0" fontId="0" fillId="10" borderId="2" xfId="0" applyFill="1" applyBorder="1"/>
    <xf numFmtId="0" fontId="0" fillId="10" borderId="3" xfId="0" applyFill="1" applyBorder="1"/>
    <xf numFmtId="0" fontId="0" fillId="10" borderId="0" xfId="0" applyFill="1" applyBorder="1"/>
    <xf numFmtId="0" fontId="0" fillId="10" borderId="4" xfId="0" applyFill="1" applyBorder="1"/>
    <xf numFmtId="1" fontId="1" fillId="10" borderId="3" xfId="0" applyNumberFormat="1" applyFont="1" applyFill="1" applyBorder="1" applyAlignment="1">
      <alignment horizontal="center"/>
    </xf>
    <xf numFmtId="1" fontId="1" fillId="10" borderId="0" xfId="0" applyNumberFormat="1" applyFont="1" applyFill="1" applyBorder="1" applyAlignment="1">
      <alignment horizontal="center"/>
    </xf>
    <xf numFmtId="1" fontId="1" fillId="10" borderId="4" xfId="0" applyNumberFormat="1" applyFont="1" applyFill="1" applyBorder="1" applyAlignment="1">
      <alignment horizontal="center"/>
    </xf>
    <xf numFmtId="1" fontId="0" fillId="10" borderId="3" xfId="0" applyNumberFormat="1" applyFont="1" applyFill="1" applyBorder="1" applyAlignment="1">
      <alignment horizontal="center"/>
    </xf>
    <xf numFmtId="1" fontId="0" fillId="10" borderId="0" xfId="0" applyNumberFormat="1" applyFont="1" applyFill="1" applyBorder="1" applyAlignment="1">
      <alignment horizontal="center"/>
    </xf>
    <xf numFmtId="1" fontId="0" fillId="10" borderId="4" xfId="0" applyNumberFormat="1" applyFont="1" applyFill="1" applyBorder="1" applyAlignment="1">
      <alignment horizontal="center"/>
    </xf>
    <xf numFmtId="1" fontId="0" fillId="10" borderId="5" xfId="0" applyNumberFormat="1" applyFill="1" applyBorder="1" applyAlignment="1">
      <alignment horizontal="center"/>
    </xf>
    <xf numFmtId="1" fontId="0" fillId="10" borderId="7" xfId="0" applyNumberFormat="1" applyFill="1" applyBorder="1" applyAlignment="1">
      <alignment horizontal="center"/>
    </xf>
    <xf numFmtId="1" fontId="0" fillId="10" borderId="6" xfId="0" applyNumberForma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14" borderId="0" xfId="0" applyFill="1" applyAlignment="1">
      <alignment horizontal="center"/>
    </xf>
    <xf numFmtId="0" fontId="0" fillId="0" borderId="0" xfId="0" applyFill="1" applyBorder="1"/>
    <xf numFmtId="1" fontId="0" fillId="0" borderId="0" xfId="0" applyNumberFormat="1" applyFill="1" applyBorder="1" applyAlignment="1">
      <alignment horizontal="center"/>
    </xf>
    <xf numFmtId="0" fontId="0" fillId="0" borderId="0" xfId="0" applyFont="1" applyAlignment="1">
      <alignment horizontal="center"/>
    </xf>
    <xf numFmtId="1" fontId="0" fillId="0" borderId="0" xfId="0" applyNumberFormat="1" applyFill="1" applyAlignment="1">
      <alignment horizontal="center" vertical="center"/>
    </xf>
    <xf numFmtId="0" fontId="0" fillId="0" borderId="0" xfId="0" applyFont="1"/>
    <xf numFmtId="1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" xfId="0" applyBorder="1"/>
    <xf numFmtId="1" fontId="0" fillId="0" borderId="5" xfId="0" applyNumberFormat="1" applyFill="1" applyBorder="1" applyAlignment="1">
      <alignment horizontal="center"/>
    </xf>
    <xf numFmtId="0" fontId="0" fillId="2" borderId="1" xfId="0" applyFill="1" applyBorder="1"/>
    <xf numFmtId="0" fontId="0" fillId="2" borderId="11" xfId="0" applyFill="1" applyBorder="1"/>
    <xf numFmtId="0" fontId="0" fillId="7" borderId="11" xfId="0" applyFill="1" applyBorder="1"/>
    <xf numFmtId="0" fontId="0" fillId="8" borderId="11" xfId="0" applyFill="1" applyBorder="1"/>
    <xf numFmtId="0" fontId="0" fillId="9" borderId="11" xfId="0" applyFill="1" applyBorder="1"/>
    <xf numFmtId="0" fontId="0" fillId="2" borderId="3" xfId="0" applyFill="1" applyBorder="1"/>
    <xf numFmtId="0" fontId="0" fillId="2" borderId="0" xfId="0" applyFill="1" applyBorder="1"/>
    <xf numFmtId="0" fontId="0" fillId="7" borderId="0" xfId="0" applyFill="1" applyBorder="1"/>
    <xf numFmtId="0" fontId="0" fillId="8" borderId="0" xfId="0" applyFill="1" applyBorder="1"/>
    <xf numFmtId="0" fontId="0" fillId="9" borderId="0" xfId="0" applyFill="1" applyBorder="1"/>
    <xf numFmtId="0" fontId="0" fillId="2" borderId="5" xfId="0" applyFill="1" applyBorder="1"/>
    <xf numFmtId="0" fontId="0" fillId="2" borderId="7" xfId="0" applyFill="1" applyBorder="1"/>
    <xf numFmtId="0" fontId="0" fillId="7" borderId="7" xfId="0" applyFill="1" applyBorder="1"/>
    <xf numFmtId="0" fontId="0" fillId="8" borderId="7" xfId="0" applyFill="1" applyBorder="1"/>
    <xf numFmtId="0" fontId="0" fillId="9" borderId="7" xfId="0" applyFill="1" applyBorder="1"/>
    <xf numFmtId="0" fontId="0" fillId="9" borderId="2" xfId="0" applyFill="1" applyBorder="1"/>
    <xf numFmtId="0" fontId="0" fillId="9" borderId="4" xfId="0" applyFill="1" applyBorder="1"/>
    <xf numFmtId="0" fontId="0" fillId="9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1" fontId="0" fillId="0" borderId="7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Fill="1" applyBorder="1"/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0" fillId="0" borderId="11" xfId="0" applyFill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2" fontId="1" fillId="0" borderId="11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" fontId="1" fillId="0" borderId="0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" fontId="0" fillId="17" borderId="0" xfId="0" applyNumberFormat="1" applyFill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6" fillId="0" borderId="0" xfId="0" applyFont="1"/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14" borderId="0" xfId="0" applyFill="1" applyAlignment="1">
      <alignment horizontal="center"/>
    </xf>
    <xf numFmtId="17" fontId="0" fillId="7" borderId="10" xfId="0" applyNumberFormat="1" applyFill="1" applyBorder="1" applyAlignment="1"/>
    <xf numFmtId="2" fontId="0" fillId="0" borderId="4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0" borderId="11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1" xfId="0" applyFont="1" applyBorder="1" applyAlignment="1">
      <alignment horizontal="center"/>
    </xf>
    <xf numFmtId="1" fontId="0" fillId="0" borderId="11" xfId="0" applyNumberFormat="1" applyFill="1" applyBorder="1" applyAlignment="1">
      <alignment horizontal="center" vertical="center"/>
    </xf>
    <xf numFmtId="164" fontId="0" fillId="0" borderId="11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1" fontId="0" fillId="0" borderId="0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" fontId="0" fillId="0" borderId="7" xfId="0" applyNumberFormat="1" applyFill="1" applyBorder="1" applyAlignment="1">
      <alignment horizontal="center" vertical="center"/>
    </xf>
    <xf numFmtId="164" fontId="0" fillId="0" borderId="7" xfId="0" applyNumberFormat="1" applyBorder="1" applyAlignment="1">
      <alignment horizontal="center"/>
    </xf>
    <xf numFmtId="0" fontId="0" fillId="0" borderId="5" xfId="0" applyBorder="1"/>
    <xf numFmtId="1" fontId="0" fillId="0" borderId="7" xfId="0" applyNumberFormat="1" applyFont="1" applyBorder="1" applyAlignment="1">
      <alignment horizontal="center" vertical="center"/>
    </xf>
    <xf numFmtId="1" fontId="0" fillId="0" borderId="6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" fontId="0" fillId="0" borderId="11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/>
    </xf>
    <xf numFmtId="1" fontId="1" fillId="0" borderId="7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8" borderId="0" xfId="0" applyFill="1" applyAlignment="1"/>
    <xf numFmtId="0" fontId="0" fillId="2" borderId="8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1" xfId="0" applyBorder="1" applyAlignment="1">
      <alignment horizontal="center"/>
    </xf>
    <xf numFmtId="14" fontId="0" fillId="0" borderId="8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9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16" borderId="8" xfId="0" applyFill="1" applyBorder="1" applyAlignment="1">
      <alignment horizontal="center"/>
    </xf>
    <xf numFmtId="0" fontId="0" fillId="16" borderId="10" xfId="0" applyFill="1" applyBorder="1" applyAlignment="1">
      <alignment horizontal="center"/>
    </xf>
    <xf numFmtId="0" fontId="0" fillId="16" borderId="9" xfId="0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9" borderId="0" xfId="0" applyFill="1" applyAlignment="1">
      <alignment horizontal="center"/>
    </xf>
    <xf numFmtId="0" fontId="1" fillId="10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5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14" borderId="0" xfId="0" applyFill="1" applyAlignment="1">
      <alignment horizontal="center"/>
    </xf>
    <xf numFmtId="0" fontId="0" fillId="14" borderId="0" xfId="0" applyFill="1" applyBorder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17" fontId="0" fillId="8" borderId="8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/>
              <a:t>Calibration line (24/01/22)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Standards!$E$10:$E$14</c:f>
              <c:numCache>
                <c:formatCode>0</c:formatCode>
                <c:ptCount val="5"/>
                <c:pt idx="0">
                  <c:v>0</c:v>
                </c:pt>
                <c:pt idx="1">
                  <c:v>2.6977000000000002</c:v>
                </c:pt>
                <c:pt idx="2">
                  <c:v>5.3954000000000004</c:v>
                </c:pt>
                <c:pt idx="3">
                  <c:v>10.790800000000001</c:v>
                </c:pt>
                <c:pt idx="4">
                  <c:v>26.977</c:v>
                </c:pt>
              </c:numCache>
            </c:numRef>
          </c:xVal>
          <c:yVal>
            <c:numRef>
              <c:f>Standards!$G$10:$G$14</c:f>
              <c:numCache>
                <c:formatCode>General</c:formatCode>
                <c:ptCount val="5"/>
                <c:pt idx="0">
                  <c:v>0</c:v>
                </c:pt>
                <c:pt idx="1">
                  <c:v>30663</c:v>
                </c:pt>
                <c:pt idx="2">
                  <c:v>62022</c:v>
                </c:pt>
                <c:pt idx="3">
                  <c:v>123258</c:v>
                </c:pt>
                <c:pt idx="4">
                  <c:v>311546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3C-4200-99A8-1B6E3F80F7B6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593382046556783"/>
                  <c:y val="0.19442611778790808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Standards!$K$10:$K$14</c:f>
              <c:numCache>
                <c:formatCode>0</c:formatCode>
                <c:ptCount val="5"/>
                <c:pt idx="0">
                  <c:v>0</c:v>
                </c:pt>
                <c:pt idx="1">
                  <c:v>1.6288</c:v>
                </c:pt>
                <c:pt idx="2">
                  <c:v>3.2576000000000001</c:v>
                </c:pt>
                <c:pt idx="3">
                  <c:v>6.5152000000000001</c:v>
                </c:pt>
                <c:pt idx="4">
                  <c:v>16.288</c:v>
                </c:pt>
              </c:numCache>
            </c:numRef>
          </c:xVal>
          <c:yVal>
            <c:numRef>
              <c:f>Standards!$M$10:$M$14</c:f>
              <c:numCache>
                <c:formatCode>General</c:formatCode>
                <c:ptCount val="5"/>
                <c:pt idx="0">
                  <c:v>0</c:v>
                </c:pt>
                <c:pt idx="1">
                  <c:v>31203</c:v>
                </c:pt>
                <c:pt idx="2" formatCode="0">
                  <c:v>61825</c:v>
                </c:pt>
                <c:pt idx="3" formatCode="0">
                  <c:v>127311</c:v>
                </c:pt>
                <c:pt idx="4">
                  <c:v>342531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83C-4200-99A8-1B6E3F80F7B6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5753787732343603"/>
                  <c:y val="0.1561755306902427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Standards!$Q$10:$Q$14</c:f>
              <c:numCache>
                <c:formatCode>0</c:formatCode>
                <c:ptCount val="5"/>
                <c:pt idx="0">
                  <c:v>0</c:v>
                </c:pt>
                <c:pt idx="1">
                  <c:v>0.76349999999999996</c:v>
                </c:pt>
                <c:pt idx="2">
                  <c:v>1.5269999999999999</c:v>
                </c:pt>
                <c:pt idx="3">
                  <c:v>3.0539999999999998</c:v>
                </c:pt>
                <c:pt idx="4">
                  <c:v>7.6349999999999998</c:v>
                </c:pt>
              </c:numCache>
            </c:numRef>
          </c:xVal>
          <c:yVal>
            <c:numRef>
              <c:f>Standards!$S$10:$S$14</c:f>
              <c:numCache>
                <c:formatCode>0</c:formatCode>
                <c:ptCount val="5"/>
                <c:pt idx="0" formatCode="General">
                  <c:v>0</c:v>
                </c:pt>
                <c:pt idx="1">
                  <c:v>12431</c:v>
                </c:pt>
                <c:pt idx="2">
                  <c:v>24878</c:v>
                </c:pt>
                <c:pt idx="3" formatCode="General">
                  <c:v>45565</c:v>
                </c:pt>
                <c:pt idx="4" formatCode="General">
                  <c:v>125014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83C-4200-99A8-1B6E3F80F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9830352"/>
        <c:axId val="871754016"/>
      </c:scatterChart>
      <c:valAx>
        <c:axId val="569830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754016"/>
        <c:crosses val="autoZero"/>
        <c:crossBetween val="midCat"/>
      </c:valAx>
      <c:valAx>
        <c:axId val="87175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830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Percentage recovered</a:t>
            </a:r>
          </a:p>
        </c:rich>
      </c:tx>
      <c:layout>
        <c:manualLayout>
          <c:xMode val="edge"/>
          <c:yMode val="edge"/>
          <c:x val="0.4094930008748907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plus>
            <c:min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('15 days'!$X$4,'15 days'!$X$7,'15 days'!$X$10,'15 days'!$X$13)</c:f>
              <c:numCache>
                <c:formatCode>0</c:formatCode>
                <c:ptCount val="4"/>
                <c:pt idx="0">
                  <c:v>121.01419714836038</c:v>
                </c:pt>
                <c:pt idx="1">
                  <c:v>115.48305198192647</c:v>
                </c:pt>
                <c:pt idx="2">
                  <c:v>101.12299680448591</c:v>
                </c:pt>
                <c:pt idx="3">
                  <c:v>83.810870551189581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23-4CAB-92AC-3444F0A0BB5D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plus>
            <c:min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('15 days'!$Y$4,'15 days'!$Y$7,'15 days'!$Y$10,'15 days'!$Y$13)</c:f>
              <c:numCache>
                <c:formatCode>0</c:formatCode>
                <c:ptCount val="4"/>
                <c:pt idx="0">
                  <c:v>86.284652578900918</c:v>
                </c:pt>
                <c:pt idx="1">
                  <c:v>83.938047646360246</c:v>
                </c:pt>
                <c:pt idx="2">
                  <c:v>77.792963067182995</c:v>
                </c:pt>
                <c:pt idx="3">
                  <c:v>93.029384341704898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23-4CAB-92AC-3444F0A0BB5D}"/>
            </c:ext>
          </c:extLst>
        </c:ser>
        <c:ser>
          <c:idx val="2"/>
          <c:order val="2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plus>
            <c:min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('15 days'!$Z$4,'15 days'!$Z$7,'15 days'!$Z$10,'15 days'!$Z$13)</c:f>
              <c:numCache>
                <c:formatCode>0</c:formatCode>
                <c:ptCount val="4"/>
                <c:pt idx="0">
                  <c:v>112.61235275044895</c:v>
                </c:pt>
                <c:pt idx="1">
                  <c:v>110.44833482697732</c:v>
                </c:pt>
                <c:pt idx="2">
                  <c:v>92.099363740984302</c:v>
                </c:pt>
                <c:pt idx="3">
                  <c:v>98.110571042476508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23-4CAB-92AC-3444F0A0B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374992"/>
        <c:axId val="1758369168"/>
      </c:barChart>
      <c:catAx>
        <c:axId val="1758374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Soil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69168"/>
        <c:crosses val="autoZero"/>
        <c:auto val="1"/>
        <c:lblAlgn val="ctr"/>
        <c:lblOffset val="100"/>
        <c:noMultiLvlLbl val="0"/>
      </c:catAx>
      <c:valAx>
        <c:axId val="175836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7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IHE dissolution after 56 days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'56 days'!$P$22</c:f>
              <c:strCache>
                <c:ptCount val="1"/>
                <c:pt idx="0">
                  <c:v>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'56 days'!$P$26:$P$28</c:f>
                <c:numCache>
                  <c:formatCode>General</c:formatCode>
                  <c:ptCount val="3"/>
                  <c:pt idx="0">
                    <c:v>0.24084787914748773</c:v>
                  </c:pt>
                  <c:pt idx="1">
                    <c:v>0.41708548556243841</c:v>
                  </c:pt>
                  <c:pt idx="2">
                    <c:v>0.67605075432814488</c:v>
                  </c:pt>
                </c:numCache>
              </c:numRef>
            </c:plus>
            <c:minus>
              <c:numRef>
                <c:f>'56 days'!$P$26:$P$28</c:f>
                <c:numCache>
                  <c:formatCode>General</c:formatCode>
                  <c:ptCount val="3"/>
                  <c:pt idx="0">
                    <c:v>0.24084787914748773</c:v>
                  </c:pt>
                  <c:pt idx="1">
                    <c:v>0.41708548556243841</c:v>
                  </c:pt>
                  <c:pt idx="2">
                    <c:v>0.67605075432814488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'56 days'!$O$23:$O$25</c:f>
              <c:strCache>
                <c:ptCount val="3"/>
                <c:pt idx="0">
                  <c:v>20C</c:v>
                </c:pt>
                <c:pt idx="1">
                  <c:v>12C</c:v>
                </c:pt>
                <c:pt idx="2">
                  <c:v>4C</c:v>
                </c:pt>
              </c:strCache>
            </c:strRef>
          </c:cat>
          <c:val>
            <c:numRef>
              <c:f>'56 days'!$P$23:$P$25</c:f>
              <c:numCache>
                <c:formatCode>0</c:formatCode>
                <c:ptCount val="3"/>
                <c:pt idx="0">
                  <c:v>101.12271621514424</c:v>
                </c:pt>
                <c:pt idx="1">
                  <c:v>96.198253542516213</c:v>
                </c:pt>
                <c:pt idx="2">
                  <c:v>97.059722503635683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2B-4A38-B83D-3D98AD609731}"/>
            </c:ext>
          </c:extLst>
        </c:ser>
        <c:ser>
          <c:idx val="1"/>
          <c:order val="1"/>
          <c:tx>
            <c:strRef>
              <c:f>'56 days'!$Q$22</c:f>
              <c:strCache>
                <c:ptCount val="1"/>
                <c:pt idx="0">
                  <c:v>DNAN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'56 days'!$Q$26:$Q$28</c:f>
                <c:numCache>
                  <c:formatCode>General</c:formatCode>
                  <c:ptCount val="3"/>
                  <c:pt idx="0">
                    <c:v>0.20154716895761027</c:v>
                  </c:pt>
                  <c:pt idx="1">
                    <c:v>9.4061207298260285E-2</c:v>
                  </c:pt>
                  <c:pt idx="2">
                    <c:v>1.4077104458333949</c:v>
                  </c:pt>
                </c:numCache>
              </c:numRef>
            </c:plus>
            <c:minus>
              <c:numRef>
                <c:f>'56 days'!$Q$26:$Q$28</c:f>
                <c:numCache>
                  <c:formatCode>General</c:formatCode>
                  <c:ptCount val="3"/>
                  <c:pt idx="0">
                    <c:v>0.20154716895761027</c:v>
                  </c:pt>
                  <c:pt idx="1">
                    <c:v>9.4061207298260285E-2</c:v>
                  </c:pt>
                  <c:pt idx="2">
                    <c:v>1.4077104458333949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'56 days'!$O$23:$O$25</c:f>
              <c:strCache>
                <c:ptCount val="3"/>
                <c:pt idx="0">
                  <c:v>20C</c:v>
                </c:pt>
                <c:pt idx="1">
                  <c:v>12C</c:v>
                </c:pt>
                <c:pt idx="2">
                  <c:v>4C</c:v>
                </c:pt>
              </c:strCache>
            </c:strRef>
          </c:cat>
          <c:val>
            <c:numRef>
              <c:f>'56 days'!$Q$23:$Q$25</c:f>
              <c:numCache>
                <c:formatCode>0</c:formatCode>
                <c:ptCount val="3"/>
                <c:pt idx="0">
                  <c:v>99.146789513197461</c:v>
                </c:pt>
                <c:pt idx="1">
                  <c:v>94.207354898490678</c:v>
                </c:pt>
                <c:pt idx="2">
                  <c:v>95.6918548822361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2B-4A38-B83D-3D98AD609731}"/>
            </c:ext>
          </c:extLst>
        </c:ser>
        <c:ser>
          <c:idx val="2"/>
          <c:order val="2"/>
          <c:tx>
            <c:strRef>
              <c:f>'56 days'!$R$22</c:f>
              <c:strCache>
                <c:ptCount val="1"/>
                <c:pt idx="0">
                  <c:v>RDX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'56 days'!$R$26:$R$28</c:f>
                <c:numCache>
                  <c:formatCode>General</c:formatCode>
                  <c:ptCount val="3"/>
                  <c:pt idx="0">
                    <c:v>1.1701379873099782</c:v>
                  </c:pt>
                  <c:pt idx="1">
                    <c:v>3.1110658760349352</c:v>
                  </c:pt>
                  <c:pt idx="2">
                    <c:v>0.59892771562179803</c:v>
                  </c:pt>
                </c:numCache>
              </c:numRef>
            </c:plus>
            <c:minus>
              <c:numRef>
                <c:f>'56 days'!$R$26:$R$28</c:f>
                <c:numCache>
                  <c:formatCode>General</c:formatCode>
                  <c:ptCount val="3"/>
                  <c:pt idx="0">
                    <c:v>1.1701379873099782</c:v>
                  </c:pt>
                  <c:pt idx="1">
                    <c:v>3.1110658760349352</c:v>
                  </c:pt>
                  <c:pt idx="2">
                    <c:v>0.59892771562179803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'56 days'!$O$23:$O$25</c:f>
              <c:strCache>
                <c:ptCount val="3"/>
                <c:pt idx="0">
                  <c:v>20C</c:v>
                </c:pt>
                <c:pt idx="1">
                  <c:v>12C</c:v>
                </c:pt>
                <c:pt idx="2">
                  <c:v>4C</c:v>
                </c:pt>
              </c:strCache>
            </c:strRef>
          </c:cat>
          <c:val>
            <c:numRef>
              <c:f>'56 days'!$R$23:$R$25</c:f>
              <c:numCache>
                <c:formatCode>0</c:formatCode>
                <c:ptCount val="3"/>
                <c:pt idx="0">
                  <c:v>95.188243063273319</c:v>
                </c:pt>
                <c:pt idx="1">
                  <c:v>68.214186052970433</c:v>
                </c:pt>
                <c:pt idx="2">
                  <c:v>84.820379031242467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2B-4A38-B83D-3D98AD609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8072080"/>
        <c:axId val="903144048"/>
      </c:barChart>
      <c:catAx>
        <c:axId val="448072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3144048"/>
        <c:crosses val="autoZero"/>
        <c:auto val="1"/>
        <c:lblAlgn val="ctr"/>
        <c:lblOffset val="100"/>
        <c:noMultiLvlLbl val="0"/>
      </c:catAx>
      <c:valAx>
        <c:axId val="90314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IHE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07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/>
              <a:t>Calibration line (12/01/22)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Standards!$E$10:$E$13</c:f>
              <c:numCache>
                <c:formatCode>0</c:formatCode>
                <c:ptCount val="4"/>
                <c:pt idx="0">
                  <c:v>0</c:v>
                </c:pt>
                <c:pt idx="1">
                  <c:v>2.6977000000000002</c:v>
                </c:pt>
                <c:pt idx="2">
                  <c:v>5.3954000000000004</c:v>
                </c:pt>
                <c:pt idx="3">
                  <c:v>10.790800000000001</c:v>
                </c:pt>
              </c:numCache>
            </c:numRef>
          </c:xVal>
          <c:yVal>
            <c:numRef>
              <c:f>Standards!$F$10:$F$13</c:f>
              <c:numCache>
                <c:formatCode>General</c:formatCode>
                <c:ptCount val="4"/>
                <c:pt idx="0">
                  <c:v>0</c:v>
                </c:pt>
                <c:pt idx="1">
                  <c:v>32232</c:v>
                </c:pt>
                <c:pt idx="2">
                  <c:v>65042</c:v>
                </c:pt>
                <c:pt idx="3">
                  <c:v>129021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7-42AC-8683-071A55CFE382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2586395450568678E-2"/>
                  <c:y val="0.2267680081656459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Standards!$K$10:$K$13</c:f>
              <c:numCache>
                <c:formatCode>0</c:formatCode>
                <c:ptCount val="4"/>
                <c:pt idx="0">
                  <c:v>0</c:v>
                </c:pt>
                <c:pt idx="1">
                  <c:v>1.6288</c:v>
                </c:pt>
                <c:pt idx="2">
                  <c:v>3.2576000000000001</c:v>
                </c:pt>
                <c:pt idx="3">
                  <c:v>6.5152000000000001</c:v>
                </c:pt>
              </c:numCache>
            </c:numRef>
          </c:xVal>
          <c:yVal>
            <c:numRef>
              <c:f>Standards!$L$10:$L$13</c:f>
              <c:numCache>
                <c:formatCode>General</c:formatCode>
                <c:ptCount val="4"/>
                <c:pt idx="0">
                  <c:v>0</c:v>
                </c:pt>
                <c:pt idx="1">
                  <c:v>30978</c:v>
                </c:pt>
                <c:pt idx="2">
                  <c:v>62981</c:v>
                </c:pt>
                <c:pt idx="3">
                  <c:v>123672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7B7-42AC-8683-071A55CFE382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2672790901137357"/>
                  <c:y val="0.20731226305045203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Standards!$Q$10:$Q$13</c:f>
              <c:numCache>
                <c:formatCode>0</c:formatCode>
                <c:ptCount val="4"/>
                <c:pt idx="0">
                  <c:v>0</c:v>
                </c:pt>
                <c:pt idx="1">
                  <c:v>0.76349999999999996</c:v>
                </c:pt>
                <c:pt idx="2">
                  <c:v>1.5269999999999999</c:v>
                </c:pt>
                <c:pt idx="3">
                  <c:v>3.0539999999999998</c:v>
                </c:pt>
              </c:numCache>
            </c:numRef>
          </c:xVal>
          <c:yVal>
            <c:numRef>
              <c:f>Standards!$R$10:$R$13</c:f>
              <c:numCache>
                <c:formatCode>General</c:formatCode>
                <c:ptCount val="4"/>
                <c:pt idx="0">
                  <c:v>0</c:v>
                </c:pt>
                <c:pt idx="1">
                  <c:v>15897</c:v>
                </c:pt>
                <c:pt idx="2">
                  <c:v>25304</c:v>
                </c:pt>
                <c:pt idx="3">
                  <c:v>49100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7B7-42AC-8683-071A55CFE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9830352"/>
        <c:axId val="871754016"/>
      </c:scatterChart>
      <c:valAx>
        <c:axId val="569830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754016"/>
        <c:crosses val="autoZero"/>
        <c:crossBetween val="midCat"/>
      </c:valAx>
      <c:valAx>
        <c:axId val="87175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830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Calibration line (16/06/21)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6954505686789152E-2"/>
                  <c:y val="0.2817169728783902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Standards!$E$10:$E$14</c:f>
              <c:numCache>
                <c:formatCode>0</c:formatCode>
                <c:ptCount val="5"/>
                <c:pt idx="0">
                  <c:v>0</c:v>
                </c:pt>
                <c:pt idx="1">
                  <c:v>2.6977000000000002</c:v>
                </c:pt>
                <c:pt idx="2">
                  <c:v>5.3954000000000004</c:v>
                </c:pt>
                <c:pt idx="3">
                  <c:v>10.790800000000001</c:v>
                </c:pt>
                <c:pt idx="4">
                  <c:v>26.977</c:v>
                </c:pt>
              </c:numCache>
            </c:numRef>
          </c:xVal>
          <c:yVal>
            <c:numRef>
              <c:f>Standards!$H$10:$H$14</c:f>
              <c:numCache>
                <c:formatCode>General</c:formatCode>
                <c:ptCount val="5"/>
                <c:pt idx="0">
                  <c:v>0</c:v>
                </c:pt>
                <c:pt idx="1">
                  <c:v>29988</c:v>
                </c:pt>
                <c:pt idx="2">
                  <c:v>62497</c:v>
                </c:pt>
                <c:pt idx="3">
                  <c:v>124073</c:v>
                </c:pt>
                <c:pt idx="4">
                  <c:v>316630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A6-40E6-A211-C1CB3B360333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Standards!$K$10:$K$14</c:f>
              <c:numCache>
                <c:formatCode>0</c:formatCode>
                <c:ptCount val="5"/>
                <c:pt idx="0">
                  <c:v>0</c:v>
                </c:pt>
                <c:pt idx="1">
                  <c:v>1.6288</c:v>
                </c:pt>
                <c:pt idx="2">
                  <c:v>3.2576000000000001</c:v>
                </c:pt>
                <c:pt idx="3">
                  <c:v>6.5152000000000001</c:v>
                </c:pt>
                <c:pt idx="4">
                  <c:v>16.288</c:v>
                </c:pt>
              </c:numCache>
            </c:numRef>
          </c:xVal>
          <c:yVal>
            <c:numRef>
              <c:f>Standards!$N$10:$N$14</c:f>
              <c:numCache>
                <c:formatCode>General</c:formatCode>
                <c:ptCount val="5"/>
                <c:pt idx="0">
                  <c:v>0</c:v>
                </c:pt>
                <c:pt idx="1">
                  <c:v>30193</c:v>
                </c:pt>
                <c:pt idx="2" formatCode="0">
                  <c:v>63044</c:v>
                </c:pt>
                <c:pt idx="3">
                  <c:v>123746</c:v>
                </c:pt>
                <c:pt idx="4" formatCode="0">
                  <c:v>351232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CA6-40E6-A211-C1CB3B360333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658466711268935E-2"/>
                  <c:y val="-5.9139690871974335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Standards!$Q$10:$Q$14</c:f>
              <c:numCache>
                <c:formatCode>0</c:formatCode>
                <c:ptCount val="5"/>
                <c:pt idx="0">
                  <c:v>0</c:v>
                </c:pt>
                <c:pt idx="1">
                  <c:v>0.76349999999999996</c:v>
                </c:pt>
                <c:pt idx="2">
                  <c:v>1.5269999999999999</c:v>
                </c:pt>
                <c:pt idx="3">
                  <c:v>3.0539999999999998</c:v>
                </c:pt>
                <c:pt idx="4">
                  <c:v>7.6349999999999998</c:v>
                </c:pt>
              </c:numCache>
            </c:numRef>
          </c:xVal>
          <c:yVal>
            <c:numRef>
              <c:f>Standards!$T$10:$T$14</c:f>
              <c:numCache>
                <c:formatCode>General</c:formatCode>
                <c:ptCount val="5"/>
                <c:pt idx="0">
                  <c:v>0</c:v>
                </c:pt>
                <c:pt idx="1">
                  <c:v>11106</c:v>
                </c:pt>
                <c:pt idx="2">
                  <c:v>22334</c:v>
                </c:pt>
                <c:pt idx="3">
                  <c:v>47145</c:v>
                </c:pt>
                <c:pt idx="4">
                  <c:v>121079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CA6-40E6-A211-C1CB3B360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8470031"/>
        <c:axId val="1058472943"/>
      </c:scatterChart>
      <c:valAx>
        <c:axId val="1058470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2943"/>
        <c:crosses val="autoZero"/>
        <c:crossBetween val="midCat"/>
      </c:valAx>
      <c:valAx>
        <c:axId val="1058472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Calibration line (07/02/22)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6954505686789152E-2"/>
                  <c:y val="0.2817169728783902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Standards!$E$10:$E$14</c:f>
              <c:numCache>
                <c:formatCode>0</c:formatCode>
                <c:ptCount val="5"/>
                <c:pt idx="0">
                  <c:v>0</c:v>
                </c:pt>
                <c:pt idx="1">
                  <c:v>2.6977000000000002</c:v>
                </c:pt>
                <c:pt idx="2">
                  <c:v>5.3954000000000004</c:v>
                </c:pt>
                <c:pt idx="3">
                  <c:v>10.790800000000001</c:v>
                </c:pt>
                <c:pt idx="4">
                  <c:v>26.977</c:v>
                </c:pt>
              </c:numCache>
            </c:numRef>
          </c:xVal>
          <c:yVal>
            <c:numRef>
              <c:f>Standards!$I$10:$I$14</c:f>
              <c:numCache>
                <c:formatCode>General</c:formatCode>
                <c:ptCount val="5"/>
                <c:pt idx="0">
                  <c:v>0</c:v>
                </c:pt>
                <c:pt idx="1">
                  <c:v>12950</c:v>
                </c:pt>
                <c:pt idx="2">
                  <c:v>49575</c:v>
                </c:pt>
                <c:pt idx="3">
                  <c:v>113739</c:v>
                </c:pt>
                <c:pt idx="4">
                  <c:v>291011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AD-4EE6-A2B3-1427CF2B433E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7974938616543899E-2"/>
                  <c:y val="-9.0188466025080197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Standards!$K$10:$K$14</c:f>
              <c:numCache>
                <c:formatCode>0</c:formatCode>
                <c:ptCount val="5"/>
                <c:pt idx="0">
                  <c:v>0</c:v>
                </c:pt>
                <c:pt idx="1">
                  <c:v>1.6288</c:v>
                </c:pt>
                <c:pt idx="2">
                  <c:v>3.2576000000000001</c:v>
                </c:pt>
                <c:pt idx="3">
                  <c:v>6.5152000000000001</c:v>
                </c:pt>
                <c:pt idx="4">
                  <c:v>16.288</c:v>
                </c:pt>
              </c:numCache>
            </c:numRef>
          </c:xVal>
          <c:yVal>
            <c:numRef>
              <c:f>Standards!$O$10:$O$14</c:f>
              <c:numCache>
                <c:formatCode>General</c:formatCode>
                <c:ptCount val="5"/>
                <c:pt idx="0">
                  <c:v>0</c:v>
                </c:pt>
                <c:pt idx="1">
                  <c:v>13347</c:v>
                </c:pt>
                <c:pt idx="2" formatCode="0">
                  <c:v>37408</c:v>
                </c:pt>
                <c:pt idx="3">
                  <c:v>84944</c:v>
                </c:pt>
                <c:pt idx="4">
                  <c:v>255481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9AD-4EE6-A2B3-1427CF2B433E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658466711268935E-2"/>
                  <c:y val="-5.9139690871974335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Standards!$Q$10:$Q$14</c:f>
              <c:numCache>
                <c:formatCode>0</c:formatCode>
                <c:ptCount val="5"/>
                <c:pt idx="0">
                  <c:v>0</c:v>
                </c:pt>
                <c:pt idx="1">
                  <c:v>0.76349999999999996</c:v>
                </c:pt>
                <c:pt idx="2">
                  <c:v>1.5269999999999999</c:v>
                </c:pt>
                <c:pt idx="3">
                  <c:v>3.0539999999999998</c:v>
                </c:pt>
                <c:pt idx="4">
                  <c:v>7.6349999999999998</c:v>
                </c:pt>
              </c:numCache>
            </c:numRef>
          </c:xVal>
          <c:yVal>
            <c:numRef>
              <c:f>Standards!$U$10:$U$14</c:f>
              <c:numCache>
                <c:formatCode>0</c:formatCode>
                <c:ptCount val="5"/>
                <c:pt idx="0" formatCode="General">
                  <c:v>0</c:v>
                </c:pt>
                <c:pt idx="1">
                  <c:v>3779</c:v>
                </c:pt>
                <c:pt idx="2">
                  <c:v>15914</c:v>
                </c:pt>
                <c:pt idx="3" formatCode="General">
                  <c:v>43195</c:v>
                </c:pt>
                <c:pt idx="4" formatCode="General">
                  <c:v>115834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9AD-4EE6-A2B3-1427CF2B4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8470031"/>
        <c:axId val="1058472943"/>
      </c:scatterChart>
      <c:valAx>
        <c:axId val="1058470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2943"/>
        <c:crosses val="autoZero"/>
        <c:crossBetween val="midCat"/>
      </c:valAx>
      <c:valAx>
        <c:axId val="1058472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Calibration line (07/03/22)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6954505686789152E-2"/>
                  <c:y val="0.28171697287839026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5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Standards!$E$10:$E$14</c:f>
              <c:numCache>
                <c:formatCode>0</c:formatCode>
                <c:ptCount val="5"/>
                <c:pt idx="0">
                  <c:v>0</c:v>
                </c:pt>
                <c:pt idx="1">
                  <c:v>2.6977000000000002</c:v>
                </c:pt>
                <c:pt idx="2">
                  <c:v>5.3954000000000004</c:v>
                </c:pt>
                <c:pt idx="3">
                  <c:v>10.790800000000001</c:v>
                </c:pt>
                <c:pt idx="4">
                  <c:v>26.977</c:v>
                </c:pt>
              </c:numCache>
            </c:numRef>
          </c:xVal>
          <c:yVal>
            <c:numRef>
              <c:f>Standards!$J$10:$J$14</c:f>
              <c:numCache>
                <c:formatCode>General</c:formatCode>
                <c:ptCount val="5"/>
                <c:pt idx="0">
                  <c:v>0</c:v>
                </c:pt>
                <c:pt idx="1">
                  <c:v>30882</c:v>
                </c:pt>
                <c:pt idx="2">
                  <c:v>63114</c:v>
                </c:pt>
                <c:pt idx="3">
                  <c:v>127909</c:v>
                </c:pt>
                <c:pt idx="4">
                  <c:v>326612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DAD-4F4E-AC44-C69E32DFEE7B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7974938616543899E-2"/>
                  <c:y val="-9.0188466025080197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Standards!$K$10:$K$14</c:f>
              <c:numCache>
                <c:formatCode>0</c:formatCode>
                <c:ptCount val="5"/>
                <c:pt idx="0">
                  <c:v>0</c:v>
                </c:pt>
                <c:pt idx="1">
                  <c:v>1.6288</c:v>
                </c:pt>
                <c:pt idx="2">
                  <c:v>3.2576000000000001</c:v>
                </c:pt>
                <c:pt idx="3">
                  <c:v>6.5152000000000001</c:v>
                </c:pt>
                <c:pt idx="4">
                  <c:v>16.288</c:v>
                </c:pt>
              </c:numCache>
            </c:numRef>
          </c:xVal>
          <c:yVal>
            <c:numRef>
              <c:f>Standards!$P$10:$P$14</c:f>
              <c:numCache>
                <c:formatCode>General</c:formatCode>
                <c:ptCount val="5"/>
                <c:pt idx="0">
                  <c:v>0</c:v>
                </c:pt>
                <c:pt idx="1">
                  <c:v>29270</c:v>
                </c:pt>
                <c:pt idx="2">
                  <c:v>58083</c:v>
                </c:pt>
                <c:pt idx="3">
                  <c:v>115420</c:v>
                </c:pt>
                <c:pt idx="4">
                  <c:v>331263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DAD-4F4E-AC44-C69E32DFEE7B}"/>
            </c:ext>
          </c:extLst>
        </c:ser>
        <c:ser>
          <c:idx val="2"/>
          <c:order val="2"/>
          <c:tx>
            <c:v>RDX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658466711268935E-2"/>
                  <c:y val="-5.9139690871974335E-2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accent3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Standards!$Q$10:$Q$14</c:f>
              <c:numCache>
                <c:formatCode>0</c:formatCode>
                <c:ptCount val="5"/>
                <c:pt idx="0">
                  <c:v>0</c:v>
                </c:pt>
                <c:pt idx="1">
                  <c:v>0.76349999999999996</c:v>
                </c:pt>
                <c:pt idx="2">
                  <c:v>1.5269999999999999</c:v>
                </c:pt>
                <c:pt idx="3">
                  <c:v>3.0539999999999998</c:v>
                </c:pt>
                <c:pt idx="4">
                  <c:v>7.6349999999999998</c:v>
                </c:pt>
              </c:numCache>
            </c:numRef>
          </c:xVal>
          <c:yVal>
            <c:numRef>
              <c:f>Standards!$V$10:$V$14</c:f>
              <c:numCache>
                <c:formatCode>General</c:formatCode>
                <c:ptCount val="5"/>
                <c:pt idx="0">
                  <c:v>0</c:v>
                </c:pt>
                <c:pt idx="1">
                  <c:v>15004</c:v>
                </c:pt>
                <c:pt idx="2">
                  <c:v>28825</c:v>
                </c:pt>
                <c:pt idx="3">
                  <c:v>43384</c:v>
                </c:pt>
                <c:pt idx="4">
                  <c:v>145105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DAD-4F4E-AC44-C69E32DFE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8470031"/>
        <c:axId val="1058472943"/>
      </c:scatterChart>
      <c:valAx>
        <c:axId val="1058470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2943"/>
        <c:crosses val="autoZero"/>
        <c:crossBetween val="midCat"/>
      </c:valAx>
      <c:valAx>
        <c:axId val="1058472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47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Percentage recovered</a:t>
            </a:r>
          </a:p>
        </c:rich>
      </c:tx>
      <c:layout>
        <c:manualLayout>
          <c:xMode val="edge"/>
          <c:yMode val="edge"/>
          <c:x val="0.4094930008748907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plus>
            <c:min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('0 days'!$AA$4,'0 days'!$AA$7,'0 days'!$AA$10,'0 days'!$AA$13)</c:f>
              <c:numCache>
                <c:formatCode>0</c:formatCode>
                <c:ptCount val="4"/>
                <c:pt idx="0">
                  <c:v>67.518059234288458</c:v>
                </c:pt>
                <c:pt idx="1">
                  <c:v>66.570752066779036</c:v>
                </c:pt>
                <c:pt idx="2">
                  <c:v>29.848313781755774</c:v>
                </c:pt>
                <c:pt idx="3">
                  <c:v>29.964347359273187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E-4E55-9418-42106FA17123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plus>
            <c:min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('0 days'!$AB$4,'0 days'!$AB$7,'0 days'!$AB$10,'0 days'!$AB$13)</c:f>
              <c:numCache>
                <c:formatCode>0</c:formatCode>
                <c:ptCount val="4"/>
                <c:pt idx="0">
                  <c:v>68.189498846027035</c:v>
                </c:pt>
                <c:pt idx="1">
                  <c:v>65.550722357102174</c:v>
                </c:pt>
                <c:pt idx="2">
                  <c:v>40.405038946916711</c:v>
                </c:pt>
                <c:pt idx="3">
                  <c:v>33.230920279582023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1E-4E55-9418-42106FA17123}"/>
            </c:ext>
          </c:extLst>
        </c:ser>
        <c:ser>
          <c:idx val="2"/>
          <c:order val="2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plus>
            <c:min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('0 days'!$AC$4,'0 days'!$AC$7,'0 days'!$AC$10,'0 days'!$AC$13)</c:f>
              <c:numCache>
                <c:formatCode>0</c:formatCode>
                <c:ptCount val="4"/>
                <c:pt idx="0">
                  <c:v>68.174674021683572</c:v>
                </c:pt>
                <c:pt idx="1">
                  <c:v>65.139489726628369</c:v>
                </c:pt>
                <c:pt idx="2">
                  <c:v>34.230044296863831</c:v>
                </c:pt>
                <c:pt idx="3">
                  <c:v>30.493843121511315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1E-4E55-9418-42106FA17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374992"/>
        <c:axId val="1758369168"/>
      </c:barChart>
      <c:catAx>
        <c:axId val="1758374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Soil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69168"/>
        <c:crosses val="autoZero"/>
        <c:auto val="1"/>
        <c:lblAlgn val="ctr"/>
        <c:lblOffset val="100"/>
        <c:noMultiLvlLbl val="0"/>
      </c:catAx>
      <c:valAx>
        <c:axId val="175836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7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Percentage recovered</a:t>
            </a:r>
          </a:p>
        </c:rich>
      </c:tx>
      <c:layout>
        <c:manualLayout>
          <c:xMode val="edge"/>
          <c:yMode val="edge"/>
          <c:x val="0.4094930008748907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plus>
            <c:min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Sand</c:v>
              </c:pt>
              <c:pt idx="1">
                <c:v> Sandy loam</c:v>
              </c:pt>
            </c:strLit>
          </c:cat>
          <c:val>
            <c:numRef>
              <c:f>('0 days'!$AA$10,'0 days'!$AA$13)</c:f>
              <c:numCache>
                <c:formatCode>0</c:formatCode>
                <c:ptCount val="2"/>
                <c:pt idx="0">
                  <c:v>29.848313781755774</c:v>
                </c:pt>
                <c:pt idx="1">
                  <c:v>29.964347359273187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0F-4A6D-B0D2-175FEDA10CC3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plus>
            <c:min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Sand</c:v>
              </c:pt>
              <c:pt idx="1">
                <c:v> Sandy loam</c:v>
              </c:pt>
            </c:strLit>
          </c:cat>
          <c:val>
            <c:numRef>
              <c:f>('0 days'!$AB$10,'0 days'!$AB$13)</c:f>
              <c:numCache>
                <c:formatCode>0</c:formatCode>
                <c:ptCount val="2"/>
                <c:pt idx="0">
                  <c:v>40.405038946916711</c:v>
                </c:pt>
                <c:pt idx="1">
                  <c:v>33.230920279582023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0F-4A6D-B0D2-175FEDA10CC3}"/>
            </c:ext>
          </c:extLst>
        </c:ser>
        <c:ser>
          <c:idx val="2"/>
          <c:order val="2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plus>
            <c:min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Sand</c:v>
              </c:pt>
              <c:pt idx="1">
                <c:v> Sandy loam</c:v>
              </c:pt>
            </c:strLit>
          </c:cat>
          <c:val>
            <c:numRef>
              <c:f>('0 days'!$AC$10,'0 days'!$AC$13)</c:f>
              <c:numCache>
                <c:formatCode>0</c:formatCode>
                <c:ptCount val="2"/>
                <c:pt idx="0">
                  <c:v>34.230044296863831</c:v>
                </c:pt>
                <c:pt idx="1">
                  <c:v>30.493843121511315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0F-4A6D-B0D2-175FEDA10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374992"/>
        <c:axId val="1758369168"/>
      </c:barChart>
      <c:catAx>
        <c:axId val="1758374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Soil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69168"/>
        <c:crosses val="autoZero"/>
        <c:auto val="1"/>
        <c:lblAlgn val="ctr"/>
        <c:lblOffset val="100"/>
        <c:noMultiLvlLbl val="0"/>
      </c:catAx>
      <c:valAx>
        <c:axId val="17583691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7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1.6979771481988762E-3"/>
          <c:y val="7.56269321780244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50471370124421"/>
          <c:y val="5.7006713020368915E-2"/>
          <c:w val="0.80540987413622844"/>
          <c:h val="0.76503919350797733"/>
        </c:manualLayout>
      </c:layout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pattFill prst="pct25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plus>
            <c:min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days'!$A$33:$A$36</c:f>
              <c:strCache>
                <c:ptCount val="4"/>
                <c:pt idx="0">
                  <c:v>S-12</c:v>
                </c:pt>
                <c:pt idx="1">
                  <c:v>S-4</c:v>
                </c:pt>
                <c:pt idx="2">
                  <c:v>L-12</c:v>
                </c:pt>
                <c:pt idx="3">
                  <c:v>L-4</c:v>
                </c:pt>
              </c:strCache>
            </c:strRef>
          </c:cat>
          <c:val>
            <c:numRef>
              <c:f>('0 days'!$AA$4,'0 days'!$AA$7,'0 days'!$AA$10,'0 days'!$AA$13)</c:f>
              <c:numCache>
                <c:formatCode>0</c:formatCode>
                <c:ptCount val="4"/>
                <c:pt idx="0">
                  <c:v>67.518059234288458</c:v>
                </c:pt>
                <c:pt idx="1">
                  <c:v>66.570752066779036</c:v>
                </c:pt>
                <c:pt idx="2">
                  <c:v>29.848313781755774</c:v>
                </c:pt>
                <c:pt idx="3">
                  <c:v>29.964347359273187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61-4BD8-B609-5E3E90363126}"/>
            </c:ext>
          </c:extLst>
        </c:ser>
        <c:ser>
          <c:idx val="1"/>
          <c:order val="1"/>
          <c:tx>
            <c:v>DNAN</c:v>
          </c:tx>
          <c:spPr>
            <a:pattFill prst="dashHorz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plus>
            <c:min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days'!$A$33:$A$36</c:f>
              <c:strCache>
                <c:ptCount val="4"/>
                <c:pt idx="0">
                  <c:v>S-12</c:v>
                </c:pt>
                <c:pt idx="1">
                  <c:v>S-4</c:v>
                </c:pt>
                <c:pt idx="2">
                  <c:v>L-12</c:v>
                </c:pt>
                <c:pt idx="3">
                  <c:v>L-4</c:v>
                </c:pt>
              </c:strCache>
            </c:strRef>
          </c:cat>
          <c:val>
            <c:numRef>
              <c:f>('0 days'!$AB$4,'0 days'!$AB$7,'0 days'!$AB$10,'0 days'!$AB$13)</c:f>
              <c:numCache>
                <c:formatCode>0</c:formatCode>
                <c:ptCount val="4"/>
                <c:pt idx="0">
                  <c:v>68.189498846027035</c:v>
                </c:pt>
                <c:pt idx="1">
                  <c:v>65.550722357102174</c:v>
                </c:pt>
                <c:pt idx="2">
                  <c:v>40.405038946916711</c:v>
                </c:pt>
                <c:pt idx="3">
                  <c:v>33.230920279582023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61-4BD8-B609-5E3E90363126}"/>
            </c:ext>
          </c:extLst>
        </c:ser>
        <c:ser>
          <c:idx val="2"/>
          <c:order val="2"/>
          <c:tx>
            <c:v>RDX</c:v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plus>
            <c:min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days'!$A$33:$A$36</c:f>
              <c:strCache>
                <c:ptCount val="4"/>
                <c:pt idx="0">
                  <c:v>S-12</c:v>
                </c:pt>
                <c:pt idx="1">
                  <c:v>S-4</c:v>
                </c:pt>
                <c:pt idx="2">
                  <c:v>L-12</c:v>
                </c:pt>
                <c:pt idx="3">
                  <c:v>L-4</c:v>
                </c:pt>
              </c:strCache>
            </c:strRef>
          </c:cat>
          <c:val>
            <c:numRef>
              <c:f>('0 days'!$AC$4,'0 days'!$AC$7,'0 days'!$AC$10,'0 days'!$AC$13)</c:f>
              <c:numCache>
                <c:formatCode>0</c:formatCode>
                <c:ptCount val="4"/>
                <c:pt idx="0">
                  <c:v>68.174674021683572</c:v>
                </c:pt>
                <c:pt idx="1">
                  <c:v>65.139489726628369</c:v>
                </c:pt>
                <c:pt idx="2">
                  <c:v>34.230044296863831</c:v>
                </c:pt>
                <c:pt idx="3">
                  <c:v>30.493843121511315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61-4BD8-B609-5E3E90363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374992"/>
        <c:axId val="1758369168"/>
      </c:barChart>
      <c:catAx>
        <c:axId val="1758374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Soil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58369168"/>
        <c:crosses val="autoZero"/>
        <c:auto val="1"/>
        <c:lblAlgn val="ctr"/>
        <c:lblOffset val="100"/>
        <c:noMultiLvlLbl val="0"/>
      </c:catAx>
      <c:valAx>
        <c:axId val="1758369168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Percentage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solidFill>
            <a:schemeClr val="bg1"/>
          </a:solidFill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58374992"/>
        <c:crosses val="autoZero"/>
        <c:crossBetween val="between"/>
        <c:majorUnit val="20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132879544474481"/>
          <c:y val="3.6667410541609924E-3"/>
          <c:w val="0.15005581910494512"/>
          <c:h val="0.22893796624166041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Percentage recovered</a:t>
            </a:r>
          </a:p>
        </c:rich>
      </c:tx>
      <c:layout>
        <c:manualLayout>
          <c:xMode val="edge"/>
          <c:yMode val="edge"/>
          <c:x val="0.4094930008748907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plus>
            <c:minus>
              <c:numRef>
                <c:f>('0 days'!$AA$5,'0 days'!$AA$8,'0 days'!$AA$11,'0 days'!$AA$14)</c:f>
                <c:numCache>
                  <c:formatCode>General</c:formatCode>
                  <c:ptCount val="4"/>
                  <c:pt idx="0">
                    <c:v>0.94068266610317652</c:v>
                  </c:pt>
                  <c:pt idx="1">
                    <c:v>0.48858733006463684</c:v>
                  </c:pt>
                  <c:pt idx="2">
                    <c:v>7.9846793319586897</c:v>
                  </c:pt>
                  <c:pt idx="3">
                    <c:v>1.7662648035138571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('7 days'!$X$4,'7 days'!$X$7,'7 days'!$X$10,'7 days'!$X$13)</c:f>
              <c:numCache>
                <c:formatCode>0</c:formatCode>
                <c:ptCount val="4"/>
                <c:pt idx="0">
                  <c:v>103.59915897761267</c:v>
                </c:pt>
                <c:pt idx="1">
                  <c:v>103.17078080352798</c:v>
                </c:pt>
                <c:pt idx="2">
                  <c:v>83.899034706643405</c:v>
                </c:pt>
                <c:pt idx="3">
                  <c:v>79.964173037581915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88-4349-9D6B-2C224D2796B8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plus>
            <c:minus>
              <c:numRef>
                <c:f>('0 days'!$AB$5,'0 days'!$AB$8,'0 days'!$AB$11,'0 days'!$AB$14)</c:f>
                <c:numCache>
                  <c:formatCode>General</c:formatCode>
                  <c:ptCount val="4"/>
                  <c:pt idx="0">
                    <c:v>1.4691683118380692</c:v>
                  </c:pt>
                  <c:pt idx="1">
                    <c:v>0.71954273797052182</c:v>
                  </c:pt>
                  <c:pt idx="2">
                    <c:v>6.0981578371577614</c:v>
                  </c:pt>
                  <c:pt idx="3">
                    <c:v>3.9540560228795032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('7 days'!$Y$4,'7 days'!$Y$7,'7 days'!$Y$10,'7 days'!$Y$13)</c:f>
              <c:numCache>
                <c:formatCode>0</c:formatCode>
                <c:ptCount val="4"/>
                <c:pt idx="0">
                  <c:v>76.869628047549426</c:v>
                </c:pt>
                <c:pt idx="1">
                  <c:v>82.636548441298785</c:v>
                </c:pt>
                <c:pt idx="2">
                  <c:v>78.702396801578814</c:v>
                </c:pt>
                <c:pt idx="3">
                  <c:v>80.092174575737104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88-4349-9D6B-2C224D2796B8}"/>
            </c:ext>
          </c:extLst>
        </c:ser>
        <c:ser>
          <c:idx val="2"/>
          <c:order val="2"/>
          <c:tx>
            <c:v>RDX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plus>
            <c:minus>
              <c:numRef>
                <c:f>('0 days'!$AC$5,'0 days'!$AC$8,'0 days'!$AC$11,'0 days'!$AC$14)</c:f>
                <c:numCache>
                  <c:formatCode>General</c:formatCode>
                  <c:ptCount val="4"/>
                  <c:pt idx="0">
                    <c:v>4.509116996928177</c:v>
                  </c:pt>
                  <c:pt idx="1">
                    <c:v>1.1493927291550825</c:v>
                  </c:pt>
                  <c:pt idx="2">
                    <c:v>3.9379981336279686</c:v>
                  </c:pt>
                  <c:pt idx="3">
                    <c:v>1.4104737226774795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'0 days'!$A$28:$A$31</c:f>
              <c:strCache>
                <c:ptCount val="4"/>
                <c:pt idx="0">
                  <c:v>Sand 12oC</c:v>
                </c:pt>
                <c:pt idx="1">
                  <c:v>Sand 4oC</c:v>
                </c:pt>
                <c:pt idx="2">
                  <c:v>Sandy loam 12oC</c:v>
                </c:pt>
                <c:pt idx="3">
                  <c:v>Sandy loam 4oC</c:v>
                </c:pt>
              </c:strCache>
            </c:strRef>
          </c:cat>
          <c:val>
            <c:numRef>
              <c:f>('7 days'!$Z$4,'7 days'!$Z$7,'7 days'!$Z$10,'7 days'!$Z$13)</c:f>
              <c:numCache>
                <c:formatCode>0</c:formatCode>
                <c:ptCount val="4"/>
                <c:pt idx="0">
                  <c:v>96.476342791686093</c:v>
                </c:pt>
                <c:pt idx="1">
                  <c:v>101.70298990364388</c:v>
                </c:pt>
                <c:pt idx="2">
                  <c:v>86.107897476059364</c:v>
                </c:pt>
                <c:pt idx="3">
                  <c:v>84.836939236914034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88-4349-9D6B-2C224D279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8374992"/>
        <c:axId val="1758369168"/>
      </c:barChart>
      <c:catAx>
        <c:axId val="1758374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Soil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69168"/>
        <c:crosses val="autoZero"/>
        <c:auto val="1"/>
        <c:lblAlgn val="ctr"/>
        <c:lblOffset val="100"/>
        <c:noMultiLvlLbl val="0"/>
      </c:catAx>
      <c:valAx>
        <c:axId val="175836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37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313266</xdr:colOff>
      <xdr:row>3</xdr:row>
      <xdr:rowOff>50800</xdr:rowOff>
    </xdr:from>
    <xdr:to>
      <xdr:col>19</xdr:col>
      <xdr:colOff>16934</xdr:colOff>
      <xdr:row>13</xdr:row>
      <xdr:rowOff>20320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407399" y="609600"/>
          <a:ext cx="3970868" cy="18321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tx1"/>
              </a:solidFill>
            </a:rPr>
            <a:t>Sampling:</a:t>
          </a:r>
        </a:p>
        <a:p>
          <a:r>
            <a:rPr lang="en-GB" sz="1100" b="1" baseline="0">
              <a:solidFill>
                <a:schemeClr val="tx1"/>
              </a:solidFill>
            </a:rPr>
            <a:t>- Day 0 --&gt;</a:t>
          </a:r>
          <a:r>
            <a:rPr lang="en-GB" sz="1100" baseline="0">
              <a:solidFill>
                <a:srgbClr val="FF0000"/>
              </a:solidFill>
            </a:rPr>
            <a:t> </a:t>
          </a:r>
          <a:r>
            <a:rPr lang="en-GB" sz="1100" baseline="0">
              <a:solidFill>
                <a:schemeClr val="tx1"/>
              </a:solidFill>
            </a:rPr>
            <a:t>1,2,3,16,17,18,31,36,41,42,43,56,57,58,71,76</a:t>
          </a:r>
        </a:p>
        <a:p>
          <a:r>
            <a:rPr lang="en-GB" sz="1100" b="1" baseline="0">
              <a:solidFill>
                <a:schemeClr val="tx1"/>
              </a:solidFill>
            </a:rPr>
            <a:t>- Day 7 --&gt; </a:t>
          </a:r>
          <a:r>
            <a:rPr lang="en-GB" sz="1100" baseline="0">
              <a:solidFill>
                <a:schemeClr val="tx1"/>
              </a:solidFill>
            </a:rPr>
            <a:t>4,5,6,19,20,21,32,37,44,45,46,59,60,61,72,77</a:t>
          </a:r>
        </a:p>
        <a:p>
          <a:endParaRPr lang="en-GB" sz="1100" baseline="0">
            <a:solidFill>
              <a:schemeClr val="tx1"/>
            </a:solidFill>
          </a:endParaRPr>
        </a:p>
        <a:p>
          <a:r>
            <a:rPr lang="en-GB" sz="1100" baseline="0">
              <a:solidFill>
                <a:schemeClr val="tx1"/>
              </a:solidFill>
            </a:rPr>
            <a:t>- Day 14 --&gt;  7,8,9,22,23,24,33,38,47,48,49,62,63,64,73,78</a:t>
          </a:r>
        </a:p>
        <a:p>
          <a:r>
            <a:rPr lang="en-GB" sz="1100" baseline="0">
              <a:solidFill>
                <a:schemeClr val="tx1"/>
              </a:solidFill>
            </a:rPr>
            <a:t>- Day 28 --&gt; 10, 11, 12, 25,26,27,34,39,50,51,52, 65,66,67, 74,79</a:t>
          </a:r>
        </a:p>
        <a:p>
          <a:r>
            <a:rPr lang="en-GB" sz="1100" baseline="0">
              <a:solidFill>
                <a:schemeClr val="tx1"/>
              </a:solidFill>
            </a:rPr>
            <a:t>- Day 56 --&gt; 13,14,15,28,29,30, 35,40,53,54,55, 68,69,70,75,80</a:t>
          </a:r>
        </a:p>
        <a:p>
          <a:endParaRPr lang="en-GB" sz="1100" baseline="0">
            <a:solidFill>
              <a:srgbClr val="FF0000"/>
            </a:solidFill>
          </a:endParaRPr>
        </a:p>
        <a:p>
          <a:r>
            <a:rPr lang="en-GB" sz="1100" baseline="0">
              <a:solidFill>
                <a:srgbClr val="FF0000"/>
              </a:solidFill>
            </a:rPr>
            <a:t> </a:t>
          </a:r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466725</xdr:colOff>
      <xdr:row>36</xdr:row>
      <xdr:rowOff>76200</xdr:rowOff>
    </xdr:from>
    <xdr:to>
      <xdr:col>16</xdr:col>
      <xdr:colOff>219075</xdr:colOff>
      <xdr:row>51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446254-D6D0-4EC1-B1A2-08E6A5E700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142876</xdr:colOff>
      <xdr:row>20</xdr:row>
      <xdr:rowOff>114300</xdr:rowOff>
    </xdr:from>
    <xdr:to>
      <xdr:col>7</xdr:col>
      <xdr:colOff>457201</xdr:colOff>
      <xdr:row>35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2AD2DDE-E1F5-4236-A742-7176E09A39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36</xdr:row>
      <xdr:rowOff>4763</xdr:rowOff>
    </xdr:from>
    <xdr:to>
      <xdr:col>8</xdr:col>
      <xdr:colOff>352425</xdr:colOff>
      <xdr:row>51</xdr:row>
      <xdr:rowOff>33338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150F60-FAD7-4C9B-9B64-25F23F56F3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485775</xdr:colOff>
      <xdr:row>20</xdr:row>
      <xdr:rowOff>133350</xdr:rowOff>
    </xdr:from>
    <xdr:to>
      <xdr:col>16</xdr:col>
      <xdr:colOff>142875</xdr:colOff>
      <xdr:row>35</xdr:row>
      <xdr:rowOff>104775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AD8D676-A50F-4014-9F9F-F28863E809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533400</xdr:colOff>
      <xdr:row>20</xdr:row>
      <xdr:rowOff>19050</xdr:rowOff>
    </xdr:from>
    <xdr:to>
      <xdr:col>26</xdr:col>
      <xdr:colOff>228600</xdr:colOff>
      <xdr:row>35</xdr:row>
      <xdr:rowOff>47625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F2BD4F2-CD92-4D07-BED9-DD10B516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489857</xdr:colOff>
      <xdr:row>17</xdr:row>
      <xdr:rowOff>124504</xdr:rowOff>
    </xdr:from>
    <xdr:to>
      <xdr:col>22</xdr:col>
      <xdr:colOff>2721</xdr:colOff>
      <xdr:row>34</xdr:row>
      <xdr:rowOff>32655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B5898D-C9AE-4BBF-A8B5-5E96A13F00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283028</xdr:colOff>
      <xdr:row>16</xdr:row>
      <xdr:rowOff>152401</xdr:rowOff>
    </xdr:from>
    <xdr:to>
      <xdr:col>29</xdr:col>
      <xdr:colOff>10885</xdr:colOff>
      <xdr:row>32</xdr:row>
      <xdr:rowOff>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DF5DB62-0D20-49A9-AEF4-B61B83ADF8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10886</xdr:colOff>
      <xdr:row>27</xdr:row>
      <xdr:rowOff>119743</xdr:rowOff>
    </xdr:from>
    <xdr:to>
      <xdr:col>8</xdr:col>
      <xdr:colOff>503464</xdr:colOff>
      <xdr:row>44</xdr:row>
      <xdr:rowOff>27895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BE6D954-B0D8-4ABE-8F03-443E85BF4B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238125</xdr:colOff>
      <xdr:row>16</xdr:row>
      <xdr:rowOff>47625</xdr:rowOff>
    </xdr:from>
    <xdr:to>
      <xdr:col>24</xdr:col>
      <xdr:colOff>393246</xdr:colOff>
      <xdr:row>33</xdr:row>
      <xdr:rowOff>112259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C2145C-C0E4-4F60-8930-0737D479F2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238125</xdr:colOff>
      <xdr:row>16</xdr:row>
      <xdr:rowOff>47625</xdr:rowOff>
    </xdr:from>
    <xdr:to>
      <xdr:col>24</xdr:col>
      <xdr:colOff>393246</xdr:colOff>
      <xdr:row>33</xdr:row>
      <xdr:rowOff>112259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C2829D-73B5-462C-AC8A-435393630F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239486</xdr:colOff>
      <xdr:row>18</xdr:row>
      <xdr:rowOff>32657</xdr:rowOff>
    </xdr:from>
    <xdr:to>
      <xdr:col>26</xdr:col>
      <xdr:colOff>381000</xdr:colOff>
      <xdr:row>34</xdr:row>
      <xdr:rowOff>87087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E2717D-7E9E-4BB0-B6DE-87C0D9B3D2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zoomScale="90" zoomScaleNormal="90" workbookViewId="0">
      <selection activeCell="O29" sqref="O29"/>
    </sheetView>
  </sheetViews>
  <sheetFormatPr defaultRowHeight="14.4" x14ac:dyDescent="0.3"/>
  <cols>
    <col min="1" max="1" width="6.5546875" customWidth="1"/>
    <col min="2" max="2" width="12.77734375" customWidth="1"/>
    <col min="5" max="5" width="12.5546875" customWidth="1"/>
    <col min="8" max="8" width="11.77734375" customWidth="1"/>
    <col min="11" max="11" width="12.109375" customWidth="1"/>
  </cols>
  <sheetData>
    <row r="1" spans="1:13" x14ac:dyDescent="0.3">
      <c r="A1" t="s">
        <v>36</v>
      </c>
    </row>
    <row r="3" spans="1:13" x14ac:dyDescent="0.3">
      <c r="A3" s="213" t="s">
        <v>71</v>
      </c>
      <c r="B3" s="214"/>
      <c r="C3" s="215"/>
      <c r="D3" s="216" t="s">
        <v>72</v>
      </c>
      <c r="E3" s="217"/>
      <c r="F3" s="218"/>
      <c r="G3" s="219" t="s">
        <v>73</v>
      </c>
      <c r="H3" s="220"/>
      <c r="I3" s="221"/>
      <c r="J3" s="222" t="s">
        <v>74</v>
      </c>
      <c r="K3" s="223"/>
      <c r="L3" s="224"/>
    </row>
    <row r="4" spans="1:13" x14ac:dyDescent="0.3">
      <c r="A4" s="29" t="s">
        <v>0</v>
      </c>
      <c r="B4" s="29" t="s">
        <v>34</v>
      </c>
      <c r="C4" s="29" t="s">
        <v>35</v>
      </c>
      <c r="D4" s="29" t="s">
        <v>0</v>
      </c>
      <c r="E4" s="29" t="s">
        <v>34</v>
      </c>
      <c r="F4" s="29" t="s">
        <v>35</v>
      </c>
      <c r="G4" s="29" t="s">
        <v>0</v>
      </c>
      <c r="H4" s="29" t="s">
        <v>34</v>
      </c>
      <c r="I4" s="29" t="s">
        <v>35</v>
      </c>
      <c r="J4" s="29" t="s">
        <v>0</v>
      </c>
      <c r="K4" s="29" t="s">
        <v>34</v>
      </c>
      <c r="L4" s="29" t="s">
        <v>35</v>
      </c>
    </row>
    <row r="5" spans="1:13" x14ac:dyDescent="0.3">
      <c r="A5" s="105">
        <v>1</v>
      </c>
      <c r="B5" s="106">
        <v>10</v>
      </c>
      <c r="C5" s="106">
        <v>0</v>
      </c>
      <c r="D5" s="107">
        <v>16</v>
      </c>
      <c r="E5" s="107">
        <v>10.029999999999999</v>
      </c>
      <c r="F5" s="107">
        <v>0</v>
      </c>
      <c r="G5" s="108">
        <v>41</v>
      </c>
      <c r="H5" s="108">
        <v>10.07</v>
      </c>
      <c r="I5" s="108">
        <v>0</v>
      </c>
      <c r="J5" s="109">
        <v>56</v>
      </c>
      <c r="K5" s="109">
        <v>9.9600000000000009</v>
      </c>
      <c r="L5" s="120">
        <v>0</v>
      </c>
    </row>
    <row r="6" spans="1:13" x14ac:dyDescent="0.3">
      <c r="A6" s="110">
        <v>2</v>
      </c>
      <c r="B6" s="111">
        <v>10.01</v>
      </c>
      <c r="C6" s="111">
        <v>0</v>
      </c>
      <c r="D6" s="112">
        <v>17</v>
      </c>
      <c r="E6" s="112">
        <v>9.98</v>
      </c>
      <c r="F6" s="112">
        <v>0</v>
      </c>
      <c r="G6" s="113">
        <v>42</v>
      </c>
      <c r="H6" s="113">
        <v>9.9499999999999993</v>
      </c>
      <c r="I6" s="113">
        <v>0</v>
      </c>
      <c r="J6" s="114">
        <v>57</v>
      </c>
      <c r="K6" s="114">
        <v>9.9499999999999993</v>
      </c>
      <c r="L6" s="121">
        <v>0</v>
      </c>
    </row>
    <row r="7" spans="1:13" x14ac:dyDescent="0.3">
      <c r="A7" s="115">
        <v>3</v>
      </c>
      <c r="B7" s="116">
        <v>9.99</v>
      </c>
      <c r="C7" s="116">
        <v>0</v>
      </c>
      <c r="D7" s="117">
        <v>18</v>
      </c>
      <c r="E7" s="117">
        <v>9.98</v>
      </c>
      <c r="F7" s="117">
        <v>0</v>
      </c>
      <c r="G7" s="118">
        <v>43</v>
      </c>
      <c r="H7" s="118">
        <v>9.93</v>
      </c>
      <c r="I7" s="118">
        <v>0</v>
      </c>
      <c r="J7" s="119">
        <v>58</v>
      </c>
      <c r="K7" s="119">
        <v>9.9499999999999993</v>
      </c>
      <c r="L7" s="122">
        <v>0</v>
      </c>
    </row>
    <row r="8" spans="1:13" x14ac:dyDescent="0.3">
      <c r="A8" s="105">
        <v>4</v>
      </c>
      <c r="B8" s="106">
        <v>10.199999999999999</v>
      </c>
      <c r="C8" s="106">
        <v>7</v>
      </c>
      <c r="D8" s="107">
        <v>19</v>
      </c>
      <c r="E8" s="107">
        <v>10</v>
      </c>
      <c r="F8" s="107">
        <v>7</v>
      </c>
      <c r="G8" s="108">
        <v>44</v>
      </c>
      <c r="H8" s="108">
        <v>10.01</v>
      </c>
      <c r="I8" s="108">
        <v>7</v>
      </c>
      <c r="J8" s="109">
        <v>59</v>
      </c>
      <c r="K8" s="109">
        <v>9.93</v>
      </c>
      <c r="L8" s="120">
        <v>7</v>
      </c>
    </row>
    <row r="9" spans="1:13" x14ac:dyDescent="0.3">
      <c r="A9" s="110">
        <v>5</v>
      </c>
      <c r="B9" s="111">
        <v>10</v>
      </c>
      <c r="C9" s="111">
        <v>7</v>
      </c>
      <c r="D9" s="112">
        <v>20</v>
      </c>
      <c r="E9" s="112">
        <v>9.9700000000000006</v>
      </c>
      <c r="F9" s="112">
        <v>7</v>
      </c>
      <c r="G9" s="113">
        <v>45</v>
      </c>
      <c r="H9" s="113">
        <v>10.029999999999999</v>
      </c>
      <c r="I9" s="113">
        <v>7</v>
      </c>
      <c r="J9" s="114">
        <v>60</v>
      </c>
      <c r="K9" s="114">
        <v>10.09</v>
      </c>
      <c r="L9" s="121">
        <v>7</v>
      </c>
    </row>
    <row r="10" spans="1:13" x14ac:dyDescent="0.3">
      <c r="A10" s="115">
        <v>6</v>
      </c>
      <c r="B10" s="116">
        <v>10.06</v>
      </c>
      <c r="C10" s="116">
        <v>7</v>
      </c>
      <c r="D10" s="117">
        <v>21</v>
      </c>
      <c r="E10" s="117">
        <v>10</v>
      </c>
      <c r="F10" s="117">
        <v>7</v>
      </c>
      <c r="G10" s="118">
        <v>46</v>
      </c>
      <c r="H10" s="118">
        <v>10.039999999999999</v>
      </c>
      <c r="I10" s="118">
        <v>7</v>
      </c>
      <c r="J10" s="119">
        <v>61</v>
      </c>
      <c r="K10" s="119">
        <v>9.9700000000000006</v>
      </c>
      <c r="L10" s="122">
        <v>7</v>
      </c>
    </row>
    <row r="11" spans="1:13" x14ac:dyDescent="0.3">
      <c r="A11" s="105">
        <v>7</v>
      </c>
      <c r="B11" s="106">
        <v>10</v>
      </c>
      <c r="C11" s="106">
        <v>14</v>
      </c>
      <c r="D11" s="107">
        <v>22</v>
      </c>
      <c r="E11" s="107">
        <v>10</v>
      </c>
      <c r="F11" s="107">
        <v>14</v>
      </c>
      <c r="G11" s="108">
        <v>47</v>
      </c>
      <c r="H11" s="108">
        <v>10.039999999999999</v>
      </c>
      <c r="I11" s="108">
        <v>14</v>
      </c>
      <c r="J11" s="109">
        <v>62</v>
      </c>
      <c r="K11" s="109">
        <v>10.02</v>
      </c>
      <c r="L11" s="120">
        <v>14</v>
      </c>
    </row>
    <row r="12" spans="1:13" x14ac:dyDescent="0.3">
      <c r="A12" s="110">
        <v>8</v>
      </c>
      <c r="B12" s="111">
        <v>9.99</v>
      </c>
      <c r="C12" s="111">
        <v>14</v>
      </c>
      <c r="D12" s="112">
        <v>23</v>
      </c>
      <c r="E12" s="112">
        <v>9.98</v>
      </c>
      <c r="F12" s="112">
        <v>14</v>
      </c>
      <c r="G12" s="113">
        <v>48</v>
      </c>
      <c r="H12" s="113">
        <v>9.9499999999999993</v>
      </c>
      <c r="I12" s="113">
        <v>14</v>
      </c>
      <c r="J12" s="114">
        <v>63</v>
      </c>
      <c r="K12" s="114">
        <v>9.9499999999999993</v>
      </c>
      <c r="L12" s="121">
        <v>14</v>
      </c>
    </row>
    <row r="13" spans="1:13" x14ac:dyDescent="0.3">
      <c r="A13" s="110">
        <v>9</v>
      </c>
      <c r="B13" s="111">
        <v>10.02</v>
      </c>
      <c r="C13" s="111">
        <v>14</v>
      </c>
      <c r="D13" s="112">
        <v>24</v>
      </c>
      <c r="E13" s="112">
        <v>10.01</v>
      </c>
      <c r="F13" s="112">
        <v>14</v>
      </c>
      <c r="G13" s="113">
        <v>49</v>
      </c>
      <c r="H13" s="113">
        <v>10.029999999999999</v>
      </c>
      <c r="I13" s="113">
        <v>14</v>
      </c>
      <c r="J13" s="114">
        <v>64</v>
      </c>
      <c r="K13" s="114">
        <v>9.94</v>
      </c>
      <c r="L13" s="121">
        <v>14</v>
      </c>
      <c r="M13" s="103"/>
    </row>
    <row r="14" spans="1:13" x14ac:dyDescent="0.3">
      <c r="A14" s="105">
        <v>10</v>
      </c>
      <c r="B14" s="106">
        <v>9.9700000000000006</v>
      </c>
      <c r="C14" s="106">
        <v>28</v>
      </c>
      <c r="D14" s="107">
        <v>25</v>
      </c>
      <c r="E14" s="107">
        <v>10.08</v>
      </c>
      <c r="F14" s="107">
        <v>28</v>
      </c>
      <c r="G14" s="108">
        <v>50</v>
      </c>
      <c r="H14" s="108">
        <v>9.9499999999999993</v>
      </c>
      <c r="I14" s="108">
        <v>28</v>
      </c>
      <c r="J14" s="109">
        <v>65</v>
      </c>
      <c r="K14" s="109">
        <v>9.9499999999999993</v>
      </c>
      <c r="L14" s="109">
        <v>28</v>
      </c>
      <c r="M14" s="16"/>
    </row>
    <row r="15" spans="1:13" x14ac:dyDescent="0.3">
      <c r="A15" s="110">
        <v>11</v>
      </c>
      <c r="B15" s="111">
        <v>9.99</v>
      </c>
      <c r="C15" s="111">
        <v>28</v>
      </c>
      <c r="D15" s="112">
        <v>26</v>
      </c>
      <c r="E15" s="112">
        <v>9.9600000000000009</v>
      </c>
      <c r="F15" s="112">
        <v>28</v>
      </c>
      <c r="G15" s="113">
        <v>51</v>
      </c>
      <c r="H15" s="113">
        <v>9.93</v>
      </c>
      <c r="I15" s="113">
        <v>28</v>
      </c>
      <c r="J15" s="114">
        <v>66</v>
      </c>
      <c r="K15" s="114">
        <v>9.93</v>
      </c>
      <c r="L15" s="114">
        <v>28</v>
      </c>
      <c r="M15" s="35"/>
    </row>
    <row r="16" spans="1:13" x14ac:dyDescent="0.3">
      <c r="A16" s="115">
        <v>12</v>
      </c>
      <c r="B16" s="116">
        <v>9.99</v>
      </c>
      <c r="C16" s="116">
        <v>28</v>
      </c>
      <c r="D16" s="117">
        <v>27</v>
      </c>
      <c r="E16" s="117">
        <v>9.99</v>
      </c>
      <c r="F16" s="117">
        <v>28</v>
      </c>
      <c r="G16" s="118">
        <v>52</v>
      </c>
      <c r="H16" s="118">
        <v>10.07</v>
      </c>
      <c r="I16" s="118">
        <v>28</v>
      </c>
      <c r="J16" s="119">
        <v>67</v>
      </c>
      <c r="K16" s="119">
        <v>9.99</v>
      </c>
      <c r="L16" s="119">
        <v>28</v>
      </c>
    </row>
    <row r="17" spans="1:12" x14ac:dyDescent="0.3">
      <c r="A17" s="105">
        <v>13</v>
      </c>
      <c r="B17" s="106">
        <v>9.9700000000000006</v>
      </c>
      <c r="C17" s="106">
        <v>56</v>
      </c>
      <c r="D17" s="107">
        <v>28</v>
      </c>
      <c r="E17" s="107">
        <v>9.99</v>
      </c>
      <c r="F17" s="107">
        <v>56</v>
      </c>
      <c r="G17" s="108">
        <v>53</v>
      </c>
      <c r="H17" s="108">
        <v>9.9499999999999993</v>
      </c>
      <c r="I17" s="108">
        <v>56</v>
      </c>
      <c r="J17" s="109">
        <v>68</v>
      </c>
      <c r="K17" s="109">
        <v>9.93</v>
      </c>
      <c r="L17" s="120">
        <v>56</v>
      </c>
    </row>
    <row r="18" spans="1:12" x14ac:dyDescent="0.3">
      <c r="A18" s="110">
        <v>14</v>
      </c>
      <c r="B18" s="111">
        <v>10.039999999999999</v>
      </c>
      <c r="C18" s="111">
        <v>56</v>
      </c>
      <c r="D18" s="112">
        <v>29</v>
      </c>
      <c r="E18" s="112">
        <v>10.09</v>
      </c>
      <c r="F18" s="112">
        <v>56</v>
      </c>
      <c r="G18" s="113">
        <v>54</v>
      </c>
      <c r="H18" s="113">
        <v>9.9499999999999993</v>
      </c>
      <c r="I18" s="113">
        <v>56</v>
      </c>
      <c r="J18" s="114">
        <v>69</v>
      </c>
      <c r="K18" s="114">
        <v>9.93</v>
      </c>
      <c r="L18" s="121">
        <v>56</v>
      </c>
    </row>
    <row r="19" spans="1:12" x14ac:dyDescent="0.3">
      <c r="A19" s="115">
        <v>15</v>
      </c>
      <c r="B19" s="116">
        <v>9.99</v>
      </c>
      <c r="C19" s="116">
        <v>56</v>
      </c>
      <c r="D19" s="117">
        <v>30</v>
      </c>
      <c r="E19" s="117">
        <v>9.93</v>
      </c>
      <c r="F19" s="117">
        <v>56</v>
      </c>
      <c r="G19" s="118">
        <v>55</v>
      </c>
      <c r="H19" s="118">
        <v>9.94</v>
      </c>
      <c r="I19" s="118">
        <v>56</v>
      </c>
      <c r="J19" s="119">
        <v>70</v>
      </c>
      <c r="K19" s="119">
        <v>9.94</v>
      </c>
      <c r="L19" s="122">
        <v>56</v>
      </c>
    </row>
    <row r="20" spans="1:12" x14ac:dyDescent="0.3">
      <c r="A20" s="1">
        <v>31</v>
      </c>
      <c r="B20" s="1">
        <v>10.050000000000001</v>
      </c>
      <c r="C20" s="1">
        <v>0</v>
      </c>
      <c r="D20" s="4">
        <v>36</v>
      </c>
      <c r="E20" s="4">
        <v>10.029999999999999</v>
      </c>
      <c r="F20" s="4">
        <v>0</v>
      </c>
      <c r="G20" s="3">
        <v>71</v>
      </c>
      <c r="H20" s="3">
        <v>10.039999999999999</v>
      </c>
      <c r="I20" s="3">
        <v>0</v>
      </c>
      <c r="J20" s="2">
        <v>76</v>
      </c>
      <c r="K20" s="2">
        <v>9.94</v>
      </c>
      <c r="L20" s="2">
        <v>0</v>
      </c>
    </row>
    <row r="21" spans="1:12" x14ac:dyDescent="0.3">
      <c r="A21" s="1">
        <v>32</v>
      </c>
      <c r="B21" s="1">
        <v>9.9499999999999993</v>
      </c>
      <c r="C21" s="1">
        <v>7</v>
      </c>
      <c r="D21" s="4">
        <v>37</v>
      </c>
      <c r="E21" s="4">
        <v>9.98</v>
      </c>
      <c r="F21" s="4">
        <v>7</v>
      </c>
      <c r="G21" s="3">
        <v>72</v>
      </c>
      <c r="H21" s="3">
        <v>9.93</v>
      </c>
      <c r="I21" s="3">
        <v>7</v>
      </c>
      <c r="J21" s="2">
        <v>77</v>
      </c>
      <c r="K21" s="2">
        <v>10.039999999999999</v>
      </c>
      <c r="L21" s="2">
        <v>7</v>
      </c>
    </row>
    <row r="22" spans="1:12" x14ac:dyDescent="0.3">
      <c r="A22" s="1">
        <v>33</v>
      </c>
      <c r="B22" s="1">
        <v>9.9700000000000006</v>
      </c>
      <c r="C22" s="1">
        <v>14</v>
      </c>
      <c r="D22" s="4">
        <v>38</v>
      </c>
      <c r="E22" s="4">
        <v>9.9700000000000006</v>
      </c>
      <c r="F22" s="4">
        <v>14</v>
      </c>
      <c r="G22" s="3">
        <v>73</v>
      </c>
      <c r="H22" s="3">
        <v>10</v>
      </c>
      <c r="I22" s="3">
        <v>14</v>
      </c>
      <c r="J22" s="2">
        <v>78</v>
      </c>
      <c r="K22" s="2">
        <v>10.08</v>
      </c>
      <c r="L22" s="2">
        <v>14</v>
      </c>
    </row>
    <row r="23" spans="1:12" x14ac:dyDescent="0.3">
      <c r="A23" s="1">
        <v>34</v>
      </c>
      <c r="B23" s="1">
        <v>9.98</v>
      </c>
      <c r="C23" s="1">
        <v>28</v>
      </c>
      <c r="D23" s="4">
        <v>39</v>
      </c>
      <c r="E23" s="4">
        <v>9.9499999999999993</v>
      </c>
      <c r="F23" s="4">
        <v>28</v>
      </c>
      <c r="G23" s="3">
        <v>74</v>
      </c>
      <c r="H23" s="3">
        <v>9.93</v>
      </c>
      <c r="I23" s="3">
        <v>28</v>
      </c>
      <c r="J23" s="2">
        <v>79</v>
      </c>
      <c r="K23" s="2">
        <v>10.08</v>
      </c>
      <c r="L23" s="2">
        <v>28</v>
      </c>
    </row>
    <row r="24" spans="1:12" x14ac:dyDescent="0.3">
      <c r="A24" s="1">
        <v>35</v>
      </c>
      <c r="B24" s="1">
        <v>10.050000000000001</v>
      </c>
      <c r="C24" s="1">
        <v>56</v>
      </c>
      <c r="D24" s="4">
        <v>40</v>
      </c>
      <c r="E24" s="4">
        <v>10.06</v>
      </c>
      <c r="F24" s="4">
        <v>56</v>
      </c>
      <c r="G24" s="3">
        <v>75</v>
      </c>
      <c r="H24" s="3">
        <v>9.9499999999999993</v>
      </c>
      <c r="I24" s="3">
        <v>56</v>
      </c>
      <c r="J24" s="2">
        <v>80</v>
      </c>
      <c r="K24" s="2">
        <v>9.94</v>
      </c>
      <c r="L24" s="2">
        <v>56</v>
      </c>
    </row>
    <row r="25" spans="1:12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</row>
    <row r="26" spans="1:12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</row>
    <row r="27" spans="1:12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</row>
    <row r="100" spans="1:3" x14ac:dyDescent="0.3">
      <c r="A100" s="30"/>
      <c r="B100" s="30"/>
      <c r="C100" s="31"/>
    </row>
  </sheetData>
  <mergeCells count="4">
    <mergeCell ref="A3:C3"/>
    <mergeCell ref="D3:F3"/>
    <mergeCell ref="G3:I3"/>
    <mergeCell ref="J3:L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0"/>
  <sheetViews>
    <sheetView zoomScale="80" zoomScaleNormal="80" workbookViewId="0">
      <selection activeCell="C6" sqref="C6"/>
    </sheetView>
  </sheetViews>
  <sheetFormatPr defaultRowHeight="14.4" x14ac:dyDescent="0.3"/>
  <cols>
    <col min="1" max="1" width="10.109375" customWidth="1"/>
    <col min="2" max="2" width="10.88671875" customWidth="1"/>
    <col min="3" max="3" width="10.21875" customWidth="1"/>
    <col min="4" max="5" width="11" customWidth="1"/>
    <col min="6" max="8" width="9.5546875" customWidth="1"/>
    <col min="9" max="9" width="11.109375" customWidth="1"/>
    <col min="10" max="10" width="9.5546875" customWidth="1"/>
    <col min="11" max="11" width="10.5546875" customWidth="1"/>
    <col min="12" max="12" width="9.5546875" customWidth="1"/>
    <col min="13" max="13" width="10.21875" customWidth="1"/>
    <col min="14" max="14" width="10.6640625" bestFit="1" customWidth="1"/>
    <col min="15" max="15" width="10" customWidth="1"/>
    <col min="16" max="16" width="9.5546875" bestFit="1" customWidth="1"/>
    <col min="17" max="17" width="11.44140625" customWidth="1"/>
  </cols>
  <sheetData>
    <row r="1" spans="1:22" x14ac:dyDescent="0.3">
      <c r="A1" s="8" t="s">
        <v>2</v>
      </c>
      <c r="B1" s="8"/>
      <c r="E1" s="232">
        <v>44573</v>
      </c>
      <c r="F1" s="233"/>
      <c r="G1" s="234"/>
      <c r="H1" s="235">
        <v>44581</v>
      </c>
      <c r="I1" s="225"/>
      <c r="J1" s="225"/>
      <c r="K1" s="230">
        <v>44587</v>
      </c>
      <c r="L1" s="230"/>
      <c r="M1" s="230"/>
      <c r="N1" s="225">
        <v>44602</v>
      </c>
      <c r="O1" s="225"/>
      <c r="P1" s="225"/>
      <c r="Q1" s="225">
        <v>44630</v>
      </c>
      <c r="R1" s="226"/>
      <c r="S1" s="226"/>
    </row>
    <row r="2" spans="1:22" x14ac:dyDescent="0.3">
      <c r="E2" s="159" t="s">
        <v>17</v>
      </c>
      <c r="F2" s="160" t="s">
        <v>18</v>
      </c>
      <c r="G2" s="161" t="s">
        <v>19</v>
      </c>
      <c r="H2" s="159" t="s">
        <v>17</v>
      </c>
      <c r="I2" s="160" t="s">
        <v>18</v>
      </c>
      <c r="J2" s="161" t="s">
        <v>19</v>
      </c>
      <c r="K2" s="159" t="s">
        <v>17</v>
      </c>
      <c r="L2" s="160" t="s">
        <v>18</v>
      </c>
      <c r="M2" s="161" t="s">
        <v>19</v>
      </c>
      <c r="N2" s="159" t="s">
        <v>17</v>
      </c>
      <c r="O2" s="160" t="s">
        <v>18</v>
      </c>
      <c r="P2" s="161" t="s">
        <v>19</v>
      </c>
      <c r="Q2" s="159" t="s">
        <v>17</v>
      </c>
      <c r="R2" s="160" t="s">
        <v>18</v>
      </c>
      <c r="S2" s="161" t="s">
        <v>19</v>
      </c>
    </row>
    <row r="3" spans="1:22" x14ac:dyDescent="0.3">
      <c r="A3" t="s">
        <v>3</v>
      </c>
      <c r="D3" t="s">
        <v>21</v>
      </c>
      <c r="E3" s="149">
        <f>SLOPE(F10:F13,E10:E13)</f>
        <v>11962.941977028051</v>
      </c>
      <c r="F3" s="149">
        <f>SLOPE(L10:L13,K10:K13)</f>
        <v>18999.000140331184</v>
      </c>
      <c r="G3" s="149">
        <f>SLOPE(R10:R13,Q10:Q13)</f>
        <v>15698.867995135188</v>
      </c>
      <c r="H3" s="149">
        <f>SLOPE(G10:G14,E10:E14)</f>
        <v>11553.069351623019</v>
      </c>
      <c r="I3" s="149">
        <f>SLOPE(M10:M14,K10:K14)</f>
        <v>21135.084693864865</v>
      </c>
      <c r="J3" s="149">
        <f>SLOPE(S10:S14,Q10:Q14)</f>
        <v>16325.711040925786</v>
      </c>
      <c r="K3" s="149">
        <f>SLOPE(H10:H14,E10:E14)</f>
        <v>11758.345013074897</v>
      </c>
      <c r="L3" s="149">
        <f>SLOPE(N10:N14,K10:K14)</f>
        <v>21679.138637437514</v>
      </c>
      <c r="M3" s="149">
        <f>SLOPE(T10:T14,Q10:Q14)</f>
        <v>15946.847048485906</v>
      </c>
      <c r="N3" s="6">
        <f>SLOPE(I10:I14,E10:E14)</f>
        <v>11076.189843856675</v>
      </c>
      <c r="O3" s="6">
        <f>SLOPE(O10:O14,K10:K14)</f>
        <v>16055.317963368234</v>
      </c>
      <c r="P3" s="6">
        <f>SLOPE(U10:U14,Q10:Q14)</f>
        <v>15731.02302023493</v>
      </c>
      <c r="Q3" s="6">
        <f>SLOPE(J10:J14,E10:E14)</f>
        <v>12140.605710537293</v>
      </c>
      <c r="R3" s="6">
        <f>SLOPE(P10:P14,K10:K14)</f>
        <v>20439.288223371714</v>
      </c>
      <c r="S3" s="6">
        <f>SLOPE(V10:V14,Q10:Q14)</f>
        <v>18804.116618172477</v>
      </c>
    </row>
    <row r="4" spans="1:22" x14ac:dyDescent="0.3">
      <c r="D4" t="s">
        <v>39</v>
      </c>
      <c r="E4" s="25">
        <f>INTERCEPT(F10:F13,E10:E13)</f>
        <v>96.999999999992724</v>
      </c>
      <c r="F4" s="25">
        <f>INTERCEPT(L10:L13,K10:K13)</f>
        <v>252.99999999999272</v>
      </c>
      <c r="G4" s="25">
        <f>INTERCEPT(R10:R13,Q10:Q13)</f>
        <v>1599.5999999999985</v>
      </c>
      <c r="H4" s="25">
        <f>INTERCEPT(G10:G14,E10:E14)</f>
        <v>-469.0316455696302</v>
      </c>
      <c r="I4" s="25">
        <f>INTERCEPT(M10:M14,K10:K14)</f>
        <v>-4470.4082278481073</v>
      </c>
      <c r="J4" s="25">
        <f>INTERCEPT(S10:S14,Q10:Q14)</f>
        <v>-802.31329113924585</v>
      </c>
      <c r="K4" s="25">
        <f>INTERCEPT(H10:H14,E10:E14)</f>
        <v>-1212.0569620253082</v>
      </c>
      <c r="L4" s="25">
        <f>INTERCEPT(N10:N14,K10:K14)</f>
        <v>-6414.335443037955</v>
      </c>
      <c r="M4" s="25">
        <f>INTERCEPT(T10:T14,Q10:Q14)</f>
        <v>-1063.6202531645613</v>
      </c>
      <c r="N4" s="6">
        <f>INTERCEPT(I10:I14,E10:E14)</f>
        <v>-8137.8069620253227</v>
      </c>
      <c r="O4" s="6">
        <f>INTERCEPT(O10:O14,K10:K14)</f>
        <v>-10677.0664556962</v>
      </c>
      <c r="P4" s="6">
        <f>INTERCEPT(U10:U14,Q10:Q14)</f>
        <v>-5091.7626582278535</v>
      </c>
      <c r="Q4" s="6">
        <f>INTERCEPT(J10:J14,E10:E14)</f>
        <v>-1652.4208860759682</v>
      </c>
      <c r="R4" s="6">
        <f>INTERCEPT(P10:P14,K10:K14)</f>
        <v>-6383.9430379746773</v>
      </c>
      <c r="S4" s="6">
        <f>INTERCEPT(V10:V14,Q10:Q14)</f>
        <v>-2350.0063291139304</v>
      </c>
    </row>
    <row r="5" spans="1:22" x14ac:dyDescent="0.3">
      <c r="A5" t="s">
        <v>4</v>
      </c>
      <c r="B5">
        <v>203.6</v>
      </c>
      <c r="C5">
        <f>B5*2</f>
        <v>407.2</v>
      </c>
      <c r="E5" s="231" t="s">
        <v>53</v>
      </c>
      <c r="F5" s="231"/>
      <c r="G5" s="231"/>
      <c r="H5" s="231" t="s">
        <v>54</v>
      </c>
      <c r="I5" s="231"/>
      <c r="J5" s="231"/>
    </row>
    <row r="6" spans="1:22" x14ac:dyDescent="0.3">
      <c r="A6" t="s">
        <v>5</v>
      </c>
      <c r="B6">
        <v>1</v>
      </c>
    </row>
    <row r="7" spans="1:22" x14ac:dyDescent="0.3">
      <c r="A7" t="s">
        <v>9</v>
      </c>
      <c r="B7">
        <f>B5/B6</f>
        <v>203.6</v>
      </c>
    </row>
    <row r="8" spans="1:22" x14ac:dyDescent="0.3">
      <c r="D8" t="s">
        <v>20</v>
      </c>
      <c r="E8" s="227" t="s">
        <v>17</v>
      </c>
      <c r="F8" s="228"/>
      <c r="G8" s="228"/>
      <c r="H8" s="228"/>
      <c r="I8" s="228"/>
      <c r="J8" s="229"/>
      <c r="K8" s="236" t="s">
        <v>18</v>
      </c>
      <c r="L8" s="237"/>
      <c r="M8" s="237"/>
      <c r="N8" s="237"/>
      <c r="O8" s="237"/>
      <c r="P8" s="238"/>
      <c r="Q8" s="239" t="s">
        <v>19</v>
      </c>
      <c r="R8" s="240"/>
      <c r="S8" s="240"/>
      <c r="T8" s="240"/>
      <c r="U8" s="240"/>
      <c r="V8" s="241"/>
    </row>
    <row r="9" spans="1:22" x14ac:dyDescent="0.3">
      <c r="A9" t="s">
        <v>1</v>
      </c>
      <c r="B9" t="s">
        <v>7</v>
      </c>
      <c r="C9" t="s">
        <v>8</v>
      </c>
      <c r="D9" t="s">
        <v>9</v>
      </c>
      <c r="E9" s="17" t="s">
        <v>9</v>
      </c>
      <c r="F9" s="18" t="s">
        <v>37</v>
      </c>
      <c r="G9" s="33" t="s">
        <v>38</v>
      </c>
      <c r="H9" s="94" t="s">
        <v>52</v>
      </c>
      <c r="I9" s="94" t="s">
        <v>55</v>
      </c>
      <c r="J9" s="135" t="s">
        <v>56</v>
      </c>
      <c r="K9" s="128" t="s">
        <v>9</v>
      </c>
      <c r="L9" s="129" t="s">
        <v>37</v>
      </c>
      <c r="M9" s="129" t="s">
        <v>38</v>
      </c>
      <c r="N9" s="129" t="s">
        <v>52</v>
      </c>
      <c r="O9" s="129" t="s">
        <v>55</v>
      </c>
      <c r="P9" s="130" t="s">
        <v>58</v>
      </c>
      <c r="Q9" s="128" t="s">
        <v>9</v>
      </c>
      <c r="R9" s="129" t="s">
        <v>37</v>
      </c>
      <c r="S9" s="129" t="s">
        <v>38</v>
      </c>
      <c r="T9" s="130" t="s">
        <v>52</v>
      </c>
      <c r="U9" s="129" t="s">
        <v>55</v>
      </c>
      <c r="V9" s="130" t="s">
        <v>56</v>
      </c>
    </row>
    <row r="10" spans="1:22" x14ac:dyDescent="0.3">
      <c r="A10" t="s">
        <v>6</v>
      </c>
      <c r="B10" s="7">
        <v>0</v>
      </c>
      <c r="C10" s="7">
        <v>10</v>
      </c>
      <c r="D10" s="6">
        <f>$B$7*B10/C10</f>
        <v>0</v>
      </c>
      <c r="E10" s="45">
        <f>D10*$E$17</f>
        <v>0</v>
      </c>
      <c r="F10" s="43">
        <v>0</v>
      </c>
      <c r="G10" s="44">
        <v>0</v>
      </c>
      <c r="H10" s="44">
        <v>0</v>
      </c>
      <c r="I10" s="44">
        <v>0</v>
      </c>
      <c r="J10" s="157">
        <v>0</v>
      </c>
      <c r="K10" s="19">
        <f>D10*$F$17</f>
        <v>0</v>
      </c>
      <c r="L10" s="18">
        <v>0</v>
      </c>
      <c r="M10" s="18">
        <v>0</v>
      </c>
      <c r="N10" s="18">
        <v>0</v>
      </c>
      <c r="O10" s="18">
        <v>0</v>
      </c>
      <c r="P10" s="157">
        <v>0</v>
      </c>
      <c r="Q10" s="126">
        <f>D10*$G$17</f>
        <v>0</v>
      </c>
      <c r="R10" s="127">
        <v>0</v>
      </c>
      <c r="S10" s="127">
        <v>0</v>
      </c>
      <c r="T10" s="164">
        <v>0</v>
      </c>
      <c r="U10" s="164">
        <v>0</v>
      </c>
      <c r="V10" s="55">
        <v>0</v>
      </c>
    </row>
    <row r="11" spans="1:22" x14ac:dyDescent="0.3">
      <c r="A11" s="7">
        <v>1</v>
      </c>
      <c r="B11" s="7">
        <v>0.25</v>
      </c>
      <c r="C11" s="7">
        <v>10</v>
      </c>
      <c r="D11" s="6">
        <f>$B$7*B11/C11</f>
        <v>5.09</v>
      </c>
      <c r="E11" s="19">
        <f>D11*$E$17</f>
        <v>2.6977000000000002</v>
      </c>
      <c r="F11" s="18">
        <v>32232</v>
      </c>
      <c r="G11" s="101">
        <v>30663</v>
      </c>
      <c r="H11" s="101">
        <v>29988</v>
      </c>
      <c r="I11" s="101">
        <v>12950</v>
      </c>
      <c r="J11" s="157">
        <v>30882</v>
      </c>
      <c r="K11" s="19">
        <f>D11*$F$17</f>
        <v>1.6288</v>
      </c>
      <c r="L11" s="101">
        <v>30978</v>
      </c>
      <c r="M11" s="18">
        <v>31203</v>
      </c>
      <c r="N11" s="101">
        <v>30193</v>
      </c>
      <c r="O11" s="101">
        <v>13347</v>
      </c>
      <c r="P11" s="157">
        <v>29270</v>
      </c>
      <c r="Q11" s="19">
        <f>D11*$G$17</f>
        <v>0.76349999999999996</v>
      </c>
      <c r="R11" s="18">
        <v>15897</v>
      </c>
      <c r="S11" s="95">
        <v>12431</v>
      </c>
      <c r="T11" s="18">
        <v>11106</v>
      </c>
      <c r="U11" s="95">
        <v>3779</v>
      </c>
      <c r="V11" s="157">
        <v>15004</v>
      </c>
    </row>
    <row r="12" spans="1:22" x14ac:dyDescent="0.3">
      <c r="A12" s="7">
        <v>2</v>
      </c>
      <c r="B12" s="7">
        <v>0.5</v>
      </c>
      <c r="C12" s="7">
        <v>10</v>
      </c>
      <c r="D12" s="6">
        <f>$B$7*B12/C12</f>
        <v>10.18</v>
      </c>
      <c r="E12" s="19">
        <f>D12*$E$17</f>
        <v>5.3954000000000004</v>
      </c>
      <c r="F12" s="18">
        <v>65042</v>
      </c>
      <c r="G12" s="101">
        <v>62022</v>
      </c>
      <c r="H12" s="101">
        <v>62497</v>
      </c>
      <c r="I12" s="101">
        <v>49575</v>
      </c>
      <c r="J12" s="157">
        <v>63114</v>
      </c>
      <c r="K12" s="19">
        <f>D12*$F$17</f>
        <v>3.2576000000000001</v>
      </c>
      <c r="L12" s="101">
        <v>62981</v>
      </c>
      <c r="M12" s="95">
        <v>61825</v>
      </c>
      <c r="N12" s="95">
        <v>63044</v>
      </c>
      <c r="O12" s="95">
        <v>37408</v>
      </c>
      <c r="P12" s="157">
        <v>58083</v>
      </c>
      <c r="Q12" s="19">
        <f>D12*$G$17</f>
        <v>1.5269999999999999</v>
      </c>
      <c r="R12" s="18">
        <v>25304</v>
      </c>
      <c r="S12" s="95">
        <v>24878</v>
      </c>
      <c r="T12" s="18">
        <v>22334</v>
      </c>
      <c r="U12" s="95">
        <v>15914</v>
      </c>
      <c r="V12" s="157">
        <v>28825</v>
      </c>
    </row>
    <row r="13" spans="1:22" x14ac:dyDescent="0.3">
      <c r="A13" s="7">
        <v>3</v>
      </c>
      <c r="B13" s="7">
        <v>1</v>
      </c>
      <c r="C13" s="7">
        <v>10</v>
      </c>
      <c r="D13" s="6">
        <f>$B$7*B13/C13</f>
        <v>20.36</v>
      </c>
      <c r="E13" s="19">
        <f>D13*$E$17</f>
        <v>10.790800000000001</v>
      </c>
      <c r="F13" s="18">
        <v>129021</v>
      </c>
      <c r="G13" s="101">
        <v>123258</v>
      </c>
      <c r="H13" s="101">
        <v>124073</v>
      </c>
      <c r="I13" s="101">
        <v>113739</v>
      </c>
      <c r="J13" s="157">
        <v>127909</v>
      </c>
      <c r="K13" s="19">
        <f>D13*$F$17</f>
        <v>6.5152000000000001</v>
      </c>
      <c r="L13" s="101">
        <v>123672</v>
      </c>
      <c r="M13" s="95">
        <v>127311</v>
      </c>
      <c r="N13" s="18">
        <v>123746</v>
      </c>
      <c r="O13" s="18">
        <v>84944</v>
      </c>
      <c r="P13" s="157">
        <v>115420</v>
      </c>
      <c r="Q13" s="19">
        <f>D13*$G$17</f>
        <v>3.0539999999999998</v>
      </c>
      <c r="R13" s="18">
        <v>49100</v>
      </c>
      <c r="S13" s="18">
        <v>45565</v>
      </c>
      <c r="T13" s="101">
        <v>47145</v>
      </c>
      <c r="U13" s="101">
        <v>43195</v>
      </c>
      <c r="V13" s="157">
        <v>43384</v>
      </c>
    </row>
    <row r="14" spans="1:22" x14ac:dyDescent="0.3">
      <c r="A14" s="92">
        <v>4</v>
      </c>
      <c r="B14" s="92">
        <v>2.5</v>
      </c>
      <c r="C14" s="92">
        <v>10</v>
      </c>
      <c r="D14" s="6">
        <f>$B$7*B14/C14</f>
        <v>50.9</v>
      </c>
      <c r="E14" s="104">
        <f>D14*$E$17</f>
        <v>26.977</v>
      </c>
      <c r="F14" s="163">
        <v>326478</v>
      </c>
      <c r="G14" s="163">
        <v>311546</v>
      </c>
      <c r="H14" s="163">
        <v>316630</v>
      </c>
      <c r="I14" s="163">
        <v>291011</v>
      </c>
      <c r="J14" s="158">
        <v>326612</v>
      </c>
      <c r="K14" s="104">
        <f>D14*$F$17</f>
        <v>16.288</v>
      </c>
      <c r="L14" s="34">
        <v>349501</v>
      </c>
      <c r="M14" s="155">
        <v>342531</v>
      </c>
      <c r="N14" s="131">
        <v>351232</v>
      </c>
      <c r="O14" s="155">
        <v>255481</v>
      </c>
      <c r="P14" s="158">
        <v>331263</v>
      </c>
      <c r="Q14" s="104">
        <f>D14*$G$17</f>
        <v>7.6349999999999998</v>
      </c>
      <c r="R14" s="34">
        <v>128977</v>
      </c>
      <c r="S14" s="163">
        <v>125014</v>
      </c>
      <c r="T14" s="163">
        <v>121079</v>
      </c>
      <c r="U14" s="163">
        <v>115834</v>
      </c>
      <c r="V14" s="158">
        <v>145105</v>
      </c>
    </row>
    <row r="16" spans="1:22" x14ac:dyDescent="0.3">
      <c r="B16" s="7"/>
    </row>
    <row r="17" spans="1:12" x14ac:dyDescent="0.3">
      <c r="A17" t="s">
        <v>29</v>
      </c>
      <c r="E17" s="7">
        <v>0.53</v>
      </c>
      <c r="F17" s="7">
        <v>0.32</v>
      </c>
      <c r="G17" s="7">
        <v>0.15</v>
      </c>
      <c r="H17" s="92"/>
      <c r="J17" s="28"/>
      <c r="K17" s="28"/>
      <c r="L17" s="92"/>
    </row>
    <row r="18" spans="1:12" x14ac:dyDescent="0.3">
      <c r="A18" t="s">
        <v>14</v>
      </c>
      <c r="B18" s="7" t="s">
        <v>11</v>
      </c>
      <c r="C18" s="7" t="s">
        <v>12</v>
      </c>
      <c r="D18" s="7" t="s">
        <v>25</v>
      </c>
      <c r="E18" s="7" t="s">
        <v>17</v>
      </c>
      <c r="F18" s="7" t="s">
        <v>18</v>
      </c>
      <c r="G18" s="7" t="s">
        <v>19</v>
      </c>
      <c r="H18" s="7" t="s">
        <v>20</v>
      </c>
      <c r="J18" s="28"/>
      <c r="K18" s="28"/>
      <c r="L18" s="92"/>
    </row>
    <row r="19" spans="1:12" x14ac:dyDescent="0.3">
      <c r="A19" t="s">
        <v>15</v>
      </c>
      <c r="B19">
        <v>3</v>
      </c>
      <c r="C19">
        <v>23</v>
      </c>
      <c r="D19" s="5">
        <f>B19*B7/C19</f>
        <v>26.556521739130432</v>
      </c>
      <c r="E19" s="15">
        <f>$B$7*E17*$B$19/$C$19</f>
        <v>14.07495652173913</v>
      </c>
      <c r="F19" s="15">
        <f>$B$7*F17*$B$19/$C$19</f>
        <v>8.4980869565217407</v>
      </c>
      <c r="G19" s="15">
        <f>$B$7*G17*$B$19/$C$19</f>
        <v>3.9834782608695654</v>
      </c>
      <c r="H19" s="5">
        <f ca="1">SUM(E19:M19)</f>
        <v>22.41782608695652</v>
      </c>
      <c r="J19" s="6"/>
      <c r="K19" s="6"/>
      <c r="L19" s="6"/>
    </row>
    <row r="20" spans="1:12" x14ac:dyDescent="0.3">
      <c r="A20" t="s">
        <v>16</v>
      </c>
      <c r="B20">
        <v>5</v>
      </c>
      <c r="C20">
        <v>25</v>
      </c>
      <c r="D20" s="5">
        <f>B20*B7/C20</f>
        <v>40.72</v>
      </c>
      <c r="E20" s="6">
        <f>$B$7*E17*$B$20/$C$20</f>
        <v>21.581599999999998</v>
      </c>
      <c r="F20" s="6">
        <f>$B$7*F17*$B$20/$C$20</f>
        <v>13.0304</v>
      </c>
      <c r="G20" s="6">
        <f>$B$7*G17*$B$20/$C$20</f>
        <v>6.1079999999999997</v>
      </c>
      <c r="H20" s="5">
        <f ca="1">SUM(E20:M20)</f>
        <v>0</v>
      </c>
      <c r="J20" s="6"/>
      <c r="K20" s="6"/>
      <c r="L20" s="6"/>
    </row>
  </sheetData>
  <mergeCells count="10">
    <mergeCell ref="Q1:S1"/>
    <mergeCell ref="E8:J8"/>
    <mergeCell ref="K1:M1"/>
    <mergeCell ref="E5:G5"/>
    <mergeCell ref="E1:G1"/>
    <mergeCell ref="H1:J1"/>
    <mergeCell ref="H5:J5"/>
    <mergeCell ref="N1:P1"/>
    <mergeCell ref="K8:P8"/>
    <mergeCell ref="Q8:V8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36"/>
  <sheetViews>
    <sheetView zoomScale="60" zoomScaleNormal="60" workbookViewId="0">
      <selection activeCell="L41" sqref="L41"/>
    </sheetView>
  </sheetViews>
  <sheetFormatPr defaultRowHeight="14.4" x14ac:dyDescent="0.3"/>
  <cols>
    <col min="2" max="2" width="9.77734375" customWidth="1"/>
    <col min="3" max="3" width="10.5546875" customWidth="1"/>
    <col min="4" max="5" width="9.5546875" bestFit="1" customWidth="1"/>
    <col min="6" max="6" width="9.88671875" customWidth="1"/>
    <col min="15" max="15" width="6" customWidth="1"/>
    <col min="16" max="16" width="6.109375" customWidth="1"/>
    <col min="17" max="17" width="6" customWidth="1"/>
  </cols>
  <sheetData>
    <row r="1" spans="1:32" x14ac:dyDescent="0.3">
      <c r="A1" s="9" t="s">
        <v>57</v>
      </c>
      <c r="B1" s="9"/>
      <c r="C1" s="9"/>
      <c r="E1" t="s">
        <v>41</v>
      </c>
      <c r="U1" t="s">
        <v>26</v>
      </c>
      <c r="AB1" s="20"/>
      <c r="AC1" s="20"/>
    </row>
    <row r="2" spans="1:32" x14ac:dyDescent="0.3">
      <c r="E2" s="245" t="s">
        <v>10</v>
      </c>
      <c r="F2" s="245"/>
      <c r="G2" s="245"/>
      <c r="H2" s="243" t="s">
        <v>9</v>
      </c>
      <c r="I2" s="243"/>
      <c r="J2" s="243"/>
      <c r="K2" s="244" t="s">
        <v>23</v>
      </c>
      <c r="L2" s="244"/>
      <c r="M2" s="244"/>
      <c r="N2" s="244"/>
      <c r="O2" s="242" t="s">
        <v>33</v>
      </c>
      <c r="P2" s="242"/>
      <c r="Q2" s="242"/>
      <c r="R2" t="s">
        <v>50</v>
      </c>
      <c r="U2" t="s">
        <v>9</v>
      </c>
      <c r="X2" s="41" t="s">
        <v>28</v>
      </c>
      <c r="Y2" s="41"/>
      <c r="Z2" s="41"/>
      <c r="AB2" s="42" t="s">
        <v>33</v>
      </c>
      <c r="AC2" s="42"/>
      <c r="AD2" s="76" t="s">
        <v>51</v>
      </c>
      <c r="AE2" s="77"/>
      <c r="AF2" s="78"/>
    </row>
    <row r="3" spans="1:32" x14ac:dyDescent="0.3">
      <c r="A3" s="49" t="s">
        <v>1</v>
      </c>
      <c r="B3" s="7" t="s">
        <v>11</v>
      </c>
      <c r="C3" s="7" t="s">
        <v>30</v>
      </c>
      <c r="D3" s="7" t="s">
        <v>13</v>
      </c>
      <c r="E3" s="7" t="s">
        <v>17</v>
      </c>
      <c r="F3" s="7" t="s">
        <v>18</v>
      </c>
      <c r="G3" s="7" t="s">
        <v>19</v>
      </c>
      <c r="H3" s="7" t="s">
        <v>17</v>
      </c>
      <c r="I3" s="7" t="s">
        <v>18</v>
      </c>
      <c r="J3" s="7" t="s">
        <v>19</v>
      </c>
      <c r="K3" s="7" t="s">
        <v>17</v>
      </c>
      <c r="L3" s="7" t="s">
        <v>18</v>
      </c>
      <c r="M3" s="7" t="s">
        <v>19</v>
      </c>
      <c r="N3" t="s">
        <v>20</v>
      </c>
      <c r="O3" s="42" t="s">
        <v>17</v>
      </c>
      <c r="P3" s="42" t="s">
        <v>18</v>
      </c>
      <c r="Q3" s="42" t="s">
        <v>19</v>
      </c>
      <c r="U3" s="7" t="s">
        <v>17</v>
      </c>
      <c r="V3" s="7" t="s">
        <v>18</v>
      </c>
      <c r="W3" s="7" t="s">
        <v>19</v>
      </c>
      <c r="X3" s="42" t="s">
        <v>17</v>
      </c>
      <c r="Y3" s="42" t="s">
        <v>18</v>
      </c>
      <c r="Z3" s="42" t="s">
        <v>19</v>
      </c>
      <c r="AA3" t="s">
        <v>17</v>
      </c>
      <c r="AB3" t="s">
        <v>18</v>
      </c>
      <c r="AC3" t="s">
        <v>19</v>
      </c>
      <c r="AD3" s="79"/>
      <c r="AE3" s="80"/>
      <c r="AF3" s="81"/>
    </row>
    <row r="4" spans="1:32" x14ac:dyDescent="0.3">
      <c r="A4" s="7">
        <v>1</v>
      </c>
      <c r="B4" s="7">
        <v>3</v>
      </c>
      <c r="C4" s="7">
        <v>23</v>
      </c>
      <c r="D4" s="6">
        <v>10.02</v>
      </c>
      <c r="E4" s="7">
        <v>114405</v>
      </c>
      <c r="F4" s="7">
        <v>118798</v>
      </c>
      <c r="G4" s="7">
        <v>52411</v>
      </c>
      <c r="H4" s="6">
        <f t="shared" ref="H4:H15" si="0">(E4-$K$24)/$K$23</f>
        <v>9.5551746568278091</v>
      </c>
      <c r="I4" s="6">
        <f t="shared" ref="I4:I15" si="1">(F4-$L$24)/$L$23</f>
        <v>6.2395388770144811</v>
      </c>
      <c r="J4" s="6">
        <f t="shared" ref="J4:J15" si="2">(G4-$M$24)/$M$23</f>
        <v>3.2366282725445932</v>
      </c>
      <c r="K4" s="37">
        <f t="shared" ref="K4:K15" si="3">H4*C4/1000</f>
        <v>0.21976901710703961</v>
      </c>
      <c r="L4" s="37">
        <f t="shared" ref="L4:L15" si="4">I4*C4/1000</f>
        <v>0.14350939417133307</v>
      </c>
      <c r="M4" s="13">
        <f t="shared" ref="M4:M15" si="5">J4*C4/1000</f>
        <v>7.4442450268525653E-2</v>
      </c>
      <c r="N4" s="15">
        <f>SUM(K4:M4)</f>
        <v>0.43772086154689832</v>
      </c>
      <c r="O4" s="180">
        <f>K4*100/K18</f>
        <v>68.810498434866361</v>
      </c>
      <c r="P4" s="26">
        <f>L4*100/L18</f>
        <v>66.622268680874029</v>
      </c>
      <c r="Q4" s="181">
        <f>M4*100/M18</f>
        <v>72.689063608688699</v>
      </c>
      <c r="R4" s="6">
        <f>K4*100/K30</f>
        <v>101.91421260509446</v>
      </c>
      <c r="S4" s="6">
        <f>L4*100/L30</f>
        <v>97.701654665783877</v>
      </c>
      <c r="T4" s="6">
        <f>M4*100/M30</f>
        <v>106.62179856638446</v>
      </c>
      <c r="U4" s="21">
        <f t="shared" ref="U4:Z4" si="6">AVERAGE(H4:H6)</f>
        <v>9.375703753757076</v>
      </c>
      <c r="V4" s="21">
        <f t="shared" si="6"/>
        <v>6.3863185309998967</v>
      </c>
      <c r="W4" s="21">
        <f t="shared" si="6"/>
        <v>3.0356159022485598</v>
      </c>
      <c r="X4" s="23">
        <f>AVERAGE(K4:K6)</f>
        <v>0.21564118633641274</v>
      </c>
      <c r="Y4" s="23">
        <f t="shared" si="6"/>
        <v>0.14688532621299763</v>
      </c>
      <c r="Z4" s="23">
        <f t="shared" si="6"/>
        <v>6.9819165751716872E-2</v>
      </c>
      <c r="AA4" s="50">
        <f>AVERAGE(O4:O6)</f>
        <v>67.518059234288458</v>
      </c>
      <c r="AB4" s="50">
        <f t="shared" ref="AB4:AF4" si="7">AVERAGE(P4:P6)</f>
        <v>68.189498846027035</v>
      </c>
      <c r="AC4" s="50">
        <f t="shared" si="7"/>
        <v>68.174674021683572</v>
      </c>
      <c r="AD4" s="82">
        <f t="shared" si="7"/>
        <v>100</v>
      </c>
      <c r="AE4" s="83">
        <f t="shared" si="7"/>
        <v>100</v>
      </c>
      <c r="AF4" s="84">
        <f t="shared" si="7"/>
        <v>99.999999999999986</v>
      </c>
    </row>
    <row r="5" spans="1:32" x14ac:dyDescent="0.3">
      <c r="A5" s="7">
        <v>2</v>
      </c>
      <c r="B5" s="7">
        <v>3</v>
      </c>
      <c r="C5" s="168">
        <v>23</v>
      </c>
      <c r="D5" s="6">
        <v>10.01</v>
      </c>
      <c r="E5" s="7">
        <v>111638</v>
      </c>
      <c r="F5" s="7">
        <v>120879</v>
      </c>
      <c r="G5" s="7">
        <v>44951</v>
      </c>
      <c r="H5" s="6">
        <f t="shared" si="0"/>
        <v>9.3238770374534656</v>
      </c>
      <c r="I5" s="6">
        <f t="shared" si="1"/>
        <v>6.349070956841274</v>
      </c>
      <c r="J5" s="6">
        <f t="shared" si="2"/>
        <v>2.7614347743693282</v>
      </c>
      <c r="K5" s="37">
        <f t="shared" si="3"/>
        <v>0.2144491718614297</v>
      </c>
      <c r="L5" s="37">
        <f t="shared" si="4"/>
        <v>0.14602863200734931</v>
      </c>
      <c r="M5" s="13">
        <f t="shared" si="5"/>
        <v>6.3512999810494547E-2</v>
      </c>
      <c r="N5" s="15">
        <f t="shared" ref="N5:N15" si="8">SUM(K5:M5)</f>
        <v>0.42399080367927355</v>
      </c>
      <c r="O5" s="19">
        <f>K5*100/K18</f>
        <v>67.144835058993493</v>
      </c>
      <c r="P5" s="149">
        <f>L5*100/L18</f>
        <v>67.791790306627107</v>
      </c>
      <c r="Q5" s="182">
        <f>M5*100/M18</f>
        <v>62.017040902744412</v>
      </c>
      <c r="R5" s="6">
        <f>K5*100/K30</f>
        <v>99.447223188095691</v>
      </c>
      <c r="S5" s="6">
        <f>L5*100/L30</f>
        <v>99.416759844066362</v>
      </c>
      <c r="T5" s="6">
        <f>M5*100/M30</f>
        <v>90.967858361917976</v>
      </c>
      <c r="U5" s="24">
        <f t="shared" ref="U5:Z5" si="9">_xlfn.STDEV.P(H4:H6)</f>
        <v>0.13062522980812835</v>
      </c>
      <c r="V5" s="24">
        <f t="shared" si="9"/>
        <v>0.13759562650893378</v>
      </c>
      <c r="W5" s="24">
        <f t="shared" si="9"/>
        <v>0.20077759750814322</v>
      </c>
      <c r="X5" s="24">
        <f t="shared" si="9"/>
        <v>3.0043802855869509E-3</v>
      </c>
      <c r="Y5" s="24">
        <f t="shared" si="9"/>
        <v>3.1646994097054744E-3</v>
      </c>
      <c r="Z5" s="24">
        <f t="shared" si="9"/>
        <v>4.6178847426872971E-3</v>
      </c>
      <c r="AA5" s="51">
        <f t="shared" ref="AA5:AF5" si="10">_xlfn.STDEV.P(O4:O6)</f>
        <v>0.94068266610317652</v>
      </c>
      <c r="AB5" s="51">
        <f t="shared" si="10"/>
        <v>1.4691683118380692</v>
      </c>
      <c r="AC5" s="51">
        <f t="shared" si="10"/>
        <v>4.509116996928177</v>
      </c>
      <c r="AD5" s="85">
        <f t="shared" si="10"/>
        <v>1.3932311988396953</v>
      </c>
      <c r="AE5" s="86">
        <f t="shared" si="10"/>
        <v>2.154537482604876</v>
      </c>
      <c r="AF5" s="87">
        <f t="shared" si="10"/>
        <v>6.6140646239012657</v>
      </c>
    </row>
    <row r="6" spans="1:32" x14ac:dyDescent="0.3">
      <c r="A6" s="7">
        <v>3</v>
      </c>
      <c r="B6" s="7">
        <v>3</v>
      </c>
      <c r="C6" s="168">
        <v>23</v>
      </c>
      <c r="D6" s="6">
        <v>10</v>
      </c>
      <c r="E6" s="7">
        <v>110731</v>
      </c>
      <c r="F6" s="7">
        <v>125083</v>
      </c>
      <c r="G6" s="7">
        <v>50404</v>
      </c>
      <c r="H6" s="6">
        <f t="shared" si="0"/>
        <v>9.248059566989955</v>
      </c>
      <c r="I6" s="6">
        <f t="shared" si="1"/>
        <v>6.570345759143934</v>
      </c>
      <c r="J6" s="6">
        <f t="shared" si="2"/>
        <v>3.1087846598317568</v>
      </c>
      <c r="K6" s="37">
        <f t="shared" si="3"/>
        <v>0.21270537004076898</v>
      </c>
      <c r="L6" s="37">
        <f t="shared" si="4"/>
        <v>0.15111795246031048</v>
      </c>
      <c r="M6" s="13">
        <f t="shared" si="5"/>
        <v>7.1502047176130401E-2</v>
      </c>
      <c r="N6" s="15">
        <f t="shared" si="8"/>
        <v>0.43532536967720986</v>
      </c>
      <c r="O6" s="19">
        <f t="shared" ref="O6:Q6" si="11">K6*100/K18</f>
        <v>66.598844209005534</v>
      </c>
      <c r="P6" s="149">
        <f t="shared" si="11"/>
        <v>70.154437550579985</v>
      </c>
      <c r="Q6" s="182">
        <f t="shared" si="11"/>
        <v>69.817917553617605</v>
      </c>
      <c r="R6" s="6">
        <f t="shared" ref="R6:T7" si="12">K6*100/K30</f>
        <v>98.63856420680986</v>
      </c>
      <c r="S6" s="6">
        <f t="shared" si="12"/>
        <v>102.88158549014975</v>
      </c>
      <c r="T6" s="6">
        <f t="shared" si="12"/>
        <v>102.41034307169754</v>
      </c>
      <c r="U6" s="21"/>
      <c r="V6" s="21"/>
      <c r="W6" s="21"/>
      <c r="X6" s="24"/>
      <c r="Y6" s="24"/>
      <c r="Z6" s="24"/>
      <c r="AA6" s="50"/>
      <c r="AB6" s="5"/>
      <c r="AC6" s="5"/>
      <c r="AD6" s="79"/>
      <c r="AE6" s="80"/>
      <c r="AF6" s="81"/>
    </row>
    <row r="7" spans="1:32" x14ac:dyDescent="0.3">
      <c r="A7" s="7">
        <v>16</v>
      </c>
      <c r="B7" s="7">
        <v>3</v>
      </c>
      <c r="C7" s="168">
        <v>23</v>
      </c>
      <c r="D7" s="6">
        <v>10.02</v>
      </c>
      <c r="E7" s="7">
        <v>111056</v>
      </c>
      <c r="F7" s="7">
        <v>118651</v>
      </c>
      <c r="G7" s="7">
        <v>47031</v>
      </c>
      <c r="H7" s="6">
        <f t="shared" si="0"/>
        <v>9.2752267973103972</v>
      </c>
      <c r="I7" s="6">
        <f t="shared" si="1"/>
        <v>6.2318016277427182</v>
      </c>
      <c r="J7" s="6">
        <f t="shared" si="2"/>
        <v>2.8939284038873643</v>
      </c>
      <c r="K7" s="37">
        <f t="shared" si="3"/>
        <v>0.21333021633813914</v>
      </c>
      <c r="L7" s="37">
        <f t="shared" si="4"/>
        <v>0.14333143743808252</v>
      </c>
      <c r="M7" s="13">
        <f t="shared" si="5"/>
        <v>6.6560353289409374E-2</v>
      </c>
      <c r="N7" s="15">
        <f t="shared" si="8"/>
        <v>0.42322200706563107</v>
      </c>
      <c r="O7" s="180">
        <f>K7*100/K18</f>
        <v>66.79448591379726</v>
      </c>
      <c r="P7" s="26">
        <f t="shared" ref="P7:Q7" si="13">L7*100/L18</f>
        <v>66.53965470731049</v>
      </c>
      <c r="Q7" s="181">
        <f t="shared" si="13"/>
        <v>64.992618279200713</v>
      </c>
      <c r="R7" s="6">
        <f t="shared" si="12"/>
        <v>100.3360843013968</v>
      </c>
      <c r="S7" s="6">
        <f t="shared" si="12"/>
        <v>101.50865210122458</v>
      </c>
      <c r="T7" s="6">
        <f t="shared" si="12"/>
        <v>99.774527789449962</v>
      </c>
      <c r="U7" s="21">
        <f t="shared" ref="U7:Z7" si="14">AVERAGE(H7:H9)</f>
        <v>9.2441586313541979</v>
      </c>
      <c r="V7" s="21">
        <f t="shared" si="14"/>
        <v>6.1391827186596428</v>
      </c>
      <c r="W7" s="21">
        <f t="shared" si="14"/>
        <v>2.9004681535494723</v>
      </c>
      <c r="X7" s="23">
        <f t="shared" si="14"/>
        <v>0.21261564852114659</v>
      </c>
      <c r="Y7" s="23">
        <f t="shared" si="14"/>
        <v>0.14120120252917179</v>
      </c>
      <c r="Z7" s="23">
        <f t="shared" si="14"/>
        <v>6.6710767531637863E-2</v>
      </c>
      <c r="AA7" s="50">
        <f t="shared" ref="AA7:AF7" si="15">AVERAGE(O7:O9)</f>
        <v>66.570752066779036</v>
      </c>
      <c r="AB7" s="50">
        <f t="shared" si="15"/>
        <v>65.550722357102174</v>
      </c>
      <c r="AC7" s="50">
        <f t="shared" si="15"/>
        <v>65.139489726628369</v>
      </c>
      <c r="AD7" s="82">
        <f t="shared" si="15"/>
        <v>100</v>
      </c>
      <c r="AE7" s="83">
        <f t="shared" si="15"/>
        <v>100</v>
      </c>
      <c r="AF7" s="84">
        <f t="shared" si="15"/>
        <v>100.00000000000001</v>
      </c>
    </row>
    <row r="8" spans="1:32" x14ac:dyDescent="0.3">
      <c r="A8" s="7">
        <v>17</v>
      </c>
      <c r="B8" s="7">
        <v>3</v>
      </c>
      <c r="C8" s="168">
        <v>23</v>
      </c>
      <c r="D8" s="6">
        <v>10.01</v>
      </c>
      <c r="E8" s="7">
        <v>111439</v>
      </c>
      <c r="F8" s="7">
        <v>116381</v>
      </c>
      <c r="G8" s="7">
        <v>46205</v>
      </c>
      <c r="H8" s="6">
        <f t="shared" si="0"/>
        <v>9.3072423333495635</v>
      </c>
      <c r="I8" s="6">
        <f t="shared" si="1"/>
        <v>6.1123216559950873</v>
      </c>
      <c r="J8" s="6">
        <f t="shared" si="2"/>
        <v>2.8413131452422209</v>
      </c>
      <c r="K8" s="37">
        <f t="shared" si="3"/>
        <v>0.21406657366703996</v>
      </c>
      <c r="L8" s="37">
        <f t="shared" si="4"/>
        <v>0.14058339808788703</v>
      </c>
      <c r="M8" s="13">
        <f t="shared" si="5"/>
        <v>6.5350202340571081E-2</v>
      </c>
      <c r="N8" s="15">
        <f t="shared" si="8"/>
        <v>0.42000017409549806</v>
      </c>
      <c r="O8" s="19">
        <f>K8*100/K18</f>
        <v>67.025042138213337</v>
      </c>
      <c r="P8" s="149">
        <f t="shared" ref="P8:Q8" si="16">L8*100/L18</f>
        <v>65.263915115547178</v>
      </c>
      <c r="Q8" s="182">
        <f t="shared" si="16"/>
        <v>63.810970724896428</v>
      </c>
      <c r="R8" s="6">
        <f>K8*100/K31</f>
        <v>100.68241691332943</v>
      </c>
      <c r="S8" s="6">
        <f>L8*100/L31</f>
        <v>99.562465170112759</v>
      </c>
      <c r="T8" s="6">
        <f>M8*100/M31</f>
        <v>97.96050136820638</v>
      </c>
      <c r="U8" s="24">
        <f t="shared" ref="U8:Z8" si="17">_xlfn.STDEV.P(H7:H9)</f>
        <v>6.7846293517258432E-2</v>
      </c>
      <c r="V8" s="22">
        <f t="shared" si="17"/>
        <v>6.738910241478166E-2</v>
      </c>
      <c r="W8" s="24">
        <f t="shared" si="17"/>
        <v>5.1179047008604331E-2</v>
      </c>
      <c r="X8" s="24">
        <f t="shared" si="17"/>
        <v>1.5604647508969424E-3</v>
      </c>
      <c r="Y8" s="24">
        <f t="shared" si="17"/>
        <v>1.5499493555399819E-3</v>
      </c>
      <c r="Z8" s="24">
        <f t="shared" si="17"/>
        <v>1.1771180811979028E-3</v>
      </c>
      <c r="AA8" s="51">
        <f t="shared" ref="AA8:AF8" si="18">_xlfn.STDEV.P(O7:O9)</f>
        <v>0.48858733006463684</v>
      </c>
      <c r="AB8" s="51">
        <f t="shared" si="18"/>
        <v>0.71954273797052182</v>
      </c>
      <c r="AC8" s="51">
        <f t="shared" si="18"/>
        <v>1.1493927291550825</v>
      </c>
      <c r="AD8" s="85">
        <f t="shared" si="18"/>
        <v>0.73393692409321232</v>
      </c>
      <c r="AE8" s="86">
        <f t="shared" si="18"/>
        <v>1.0976884954076549</v>
      </c>
      <c r="AF8" s="87">
        <f t="shared" si="18"/>
        <v>1.7645098756203756</v>
      </c>
    </row>
    <row r="9" spans="1:32" x14ac:dyDescent="0.3">
      <c r="A9" s="7">
        <v>18</v>
      </c>
      <c r="B9" s="7">
        <v>3</v>
      </c>
      <c r="C9" s="168">
        <v>23</v>
      </c>
      <c r="D9" s="6">
        <v>10.02</v>
      </c>
      <c r="E9" s="7">
        <v>109558</v>
      </c>
      <c r="F9" s="7">
        <v>115642</v>
      </c>
      <c r="G9" s="7">
        <v>48165</v>
      </c>
      <c r="H9" s="6">
        <f t="shared" si="0"/>
        <v>9.1500067634026383</v>
      </c>
      <c r="I9" s="6">
        <f t="shared" si="1"/>
        <v>6.073424872241123</v>
      </c>
      <c r="J9" s="6">
        <f t="shared" si="2"/>
        <v>2.9661629115188322</v>
      </c>
      <c r="K9" s="37">
        <f t="shared" si="3"/>
        <v>0.21045015555826069</v>
      </c>
      <c r="L9" s="37">
        <f t="shared" si="4"/>
        <v>0.13968877206154581</v>
      </c>
      <c r="M9" s="13">
        <f t="shared" si="5"/>
        <v>6.8221746964933147E-2</v>
      </c>
      <c r="N9" s="15">
        <f t="shared" si="8"/>
        <v>0.41836067458473963</v>
      </c>
      <c r="O9" s="183">
        <f>K9*100/K18</f>
        <v>65.892728148326512</v>
      </c>
      <c r="P9" s="25">
        <f t="shared" ref="P9:Q9" si="19">L9*100/L18</f>
        <v>64.848597248448868</v>
      </c>
      <c r="Q9" s="184">
        <f t="shared" si="19"/>
        <v>66.614880175787974</v>
      </c>
      <c r="R9" s="6">
        <f t="shared" ref="R9:T10" si="20">K9*100/K31</f>
        <v>98.981498785273786</v>
      </c>
      <c r="S9" s="6">
        <f t="shared" si="20"/>
        <v>98.928882728662657</v>
      </c>
      <c r="T9" s="6">
        <f t="shared" si="20"/>
        <v>102.2649708423437</v>
      </c>
      <c r="U9" s="21"/>
      <c r="V9" s="21"/>
      <c r="W9" s="21"/>
      <c r="AA9" s="50"/>
      <c r="AB9" s="5"/>
      <c r="AC9" s="5"/>
      <c r="AD9" s="79"/>
      <c r="AE9" s="80"/>
      <c r="AF9" s="81"/>
    </row>
    <row r="10" spans="1:32" x14ac:dyDescent="0.3">
      <c r="A10" s="7">
        <v>41</v>
      </c>
      <c r="B10" s="7">
        <v>5</v>
      </c>
      <c r="C10" s="7">
        <v>25</v>
      </c>
      <c r="D10" s="6">
        <v>10.039999999999999</v>
      </c>
      <c r="E10" s="7">
        <v>113990</v>
      </c>
      <c r="F10" s="7">
        <v>138704</v>
      </c>
      <c r="G10" s="7">
        <v>46084</v>
      </c>
      <c r="H10" s="6">
        <f t="shared" si="0"/>
        <v>9.5204841934955535</v>
      </c>
      <c r="I10" s="6">
        <f t="shared" si="1"/>
        <v>7.2872782239785057</v>
      </c>
      <c r="J10" s="6">
        <f t="shared" si="2"/>
        <v>2.8336055831404505</v>
      </c>
      <c r="K10" s="37">
        <f t="shared" si="3"/>
        <v>0.23801210483738885</v>
      </c>
      <c r="L10" s="37">
        <f t="shared" si="4"/>
        <v>0.18218195559946265</v>
      </c>
      <c r="M10" s="13">
        <f t="shared" si="5"/>
        <v>7.0840139578511263E-2</v>
      </c>
      <c r="N10" s="15">
        <f t="shared" si="8"/>
        <v>0.49103420001536274</v>
      </c>
      <c r="O10" s="6">
        <f>K10*100/K19</f>
        <v>41.126801589804465</v>
      </c>
      <c r="P10" s="6">
        <f t="shared" ref="P10:Q10" si="21">L10*100/L19</f>
        <v>46.659125171593359</v>
      </c>
      <c r="Q10" s="6">
        <f t="shared" si="21"/>
        <v>37.836394194457107</v>
      </c>
      <c r="R10" s="6">
        <f t="shared" si="20"/>
        <v>137.7860132753712</v>
      </c>
      <c r="S10" s="6">
        <f t="shared" si="20"/>
        <v>115.47848087188613</v>
      </c>
      <c r="T10" s="6">
        <f t="shared" si="20"/>
        <v>110.53562731709258</v>
      </c>
      <c r="U10" s="21">
        <f t="shared" ref="U10:Z10" si="22">AVERAGE(H10:H12)</f>
        <v>6.9096158363102225</v>
      </c>
      <c r="V10" s="21">
        <f t="shared" si="22"/>
        <v>6.310507523962964</v>
      </c>
      <c r="W10" s="21">
        <f t="shared" si="22"/>
        <v>2.5635224152767613</v>
      </c>
      <c r="X10" s="23">
        <f t="shared" si="22"/>
        <v>0.17274039590775556</v>
      </c>
      <c r="Y10" s="23">
        <f t="shared" si="22"/>
        <v>0.15776268809907409</v>
      </c>
      <c r="Z10" s="23">
        <f t="shared" si="22"/>
        <v>6.4088060381919013E-2</v>
      </c>
      <c r="AA10" s="50">
        <f t="shared" ref="AA10:AF10" si="23">AVERAGE(O10:O12)</f>
        <v>29.848313781755774</v>
      </c>
      <c r="AB10" s="50">
        <f t="shared" si="23"/>
        <v>40.405038946916711</v>
      </c>
      <c r="AC10" s="50">
        <f t="shared" si="23"/>
        <v>34.230044296863831</v>
      </c>
      <c r="AD10" s="82">
        <f t="shared" si="23"/>
        <v>100</v>
      </c>
      <c r="AE10" s="83">
        <f t="shared" si="23"/>
        <v>100</v>
      </c>
      <c r="AF10" s="84">
        <f t="shared" si="23"/>
        <v>100</v>
      </c>
    </row>
    <row r="11" spans="1:32" x14ac:dyDescent="0.3">
      <c r="A11" s="7">
        <v>42</v>
      </c>
      <c r="B11" s="7">
        <v>5</v>
      </c>
      <c r="C11" s="168">
        <v>25</v>
      </c>
      <c r="D11" s="6">
        <v>9.98</v>
      </c>
      <c r="E11" s="7">
        <v>68466</v>
      </c>
      <c r="F11" s="7">
        <v>126127</v>
      </c>
      <c r="G11" s="7">
        <v>44045</v>
      </c>
      <c r="H11" s="6">
        <f t="shared" si="0"/>
        <v>5.7150657531639126</v>
      </c>
      <c r="I11" s="6">
        <f t="shared" si="1"/>
        <v>6.6252960192780863</v>
      </c>
      <c r="J11" s="6">
        <f t="shared" si="2"/>
        <v>2.7037236068965678</v>
      </c>
      <c r="K11" s="37">
        <f t="shared" si="3"/>
        <v>0.14287664382909782</v>
      </c>
      <c r="L11" s="37">
        <f t="shared" si="4"/>
        <v>0.16563240048195216</v>
      </c>
      <c r="M11" s="13">
        <f t="shared" si="5"/>
        <v>6.7593090172414189E-2</v>
      </c>
      <c r="N11" s="15">
        <f t="shared" si="8"/>
        <v>0.37610213448346419</v>
      </c>
      <c r="O11" s="6">
        <f>K11*100/K19</f>
        <v>24.688069485335721</v>
      </c>
      <c r="P11" s="6">
        <f t="shared" ref="P11:Q11" si="24">L11*100/L19</f>
        <v>42.420572779171991</v>
      </c>
      <c r="Q11" s="6">
        <f t="shared" si="24"/>
        <v>36.102114137572038</v>
      </c>
      <c r="R11" s="6">
        <f>K11*100/K32</f>
        <v>82.711772818556483</v>
      </c>
      <c r="S11" s="6">
        <f>L11*100/L32</f>
        <v>104.98832295373664</v>
      </c>
      <c r="T11" s="6">
        <f>M11*100/M32</f>
        <v>105.46908389738698</v>
      </c>
      <c r="U11" s="24">
        <f t="shared" ref="U11:Z11" si="25">_xlfn.STDEV.P(H10:H12)</f>
        <v>1.848381357933959</v>
      </c>
      <c r="V11" s="22">
        <f t="shared" si="25"/>
        <v>0.95241761712580797</v>
      </c>
      <c r="W11" s="24">
        <f t="shared" si="25"/>
        <v>0.29492063753473124</v>
      </c>
      <c r="X11" s="24">
        <f t="shared" si="25"/>
        <v>4.6209533948349001E-2</v>
      </c>
      <c r="Y11" s="24">
        <f t="shared" si="25"/>
        <v>2.3810440428145164E-2</v>
      </c>
      <c r="Z11" s="24">
        <f t="shared" si="25"/>
        <v>7.3730159383683606E-3</v>
      </c>
      <c r="AA11" s="51">
        <f t="shared" ref="AA11:AF11" si="26">_xlfn.STDEV.P(O10:O12)</f>
        <v>7.9846793319586897</v>
      </c>
      <c r="AB11" s="51">
        <f t="shared" si="26"/>
        <v>6.0981578371577614</v>
      </c>
      <c r="AC11" s="51">
        <f t="shared" si="26"/>
        <v>3.9379981336279686</v>
      </c>
      <c r="AD11" s="85">
        <f t="shared" si="26"/>
        <v>26.750855644110661</v>
      </c>
      <c r="AE11" s="86">
        <f t="shared" si="26"/>
        <v>15.092567650211654</v>
      </c>
      <c r="AF11" s="87">
        <f t="shared" si="26"/>
        <v>11.504507851276038</v>
      </c>
    </row>
    <row r="12" spans="1:32" x14ac:dyDescent="0.3">
      <c r="A12" s="7">
        <v>43</v>
      </c>
      <c r="B12" s="7">
        <v>5</v>
      </c>
      <c r="C12" s="168">
        <v>25</v>
      </c>
      <c r="D12" s="6">
        <v>10</v>
      </c>
      <c r="E12" s="7">
        <v>65813</v>
      </c>
      <c r="F12" s="7">
        <v>95608</v>
      </c>
      <c r="G12" s="7">
        <v>35403</v>
      </c>
      <c r="H12" s="6">
        <f t="shared" si="0"/>
        <v>5.4932975622711995</v>
      </c>
      <c r="I12" s="6">
        <f t="shared" si="1"/>
        <v>5.0189483286322982</v>
      </c>
      <c r="J12" s="6">
        <f t="shared" si="2"/>
        <v>2.1532380557932647</v>
      </c>
      <c r="K12" s="37">
        <f t="shared" si="3"/>
        <v>0.13733243905677997</v>
      </c>
      <c r="L12" s="37">
        <f t="shared" si="4"/>
        <v>0.12547370821580744</v>
      </c>
      <c r="M12" s="13">
        <f t="shared" si="5"/>
        <v>5.3830951394831614E-2</v>
      </c>
      <c r="N12" s="15">
        <f t="shared" si="8"/>
        <v>0.31663709866741907</v>
      </c>
      <c r="O12" s="6">
        <f>K12*100/K19</f>
        <v>23.730070270127133</v>
      </c>
      <c r="P12" s="6">
        <f t="shared" ref="P12:Q12" si="27">L12*100/L19</f>
        <v>32.135418889984784</v>
      </c>
      <c r="Q12" s="6">
        <f t="shared" si="27"/>
        <v>28.751624558562355</v>
      </c>
      <c r="R12" s="6">
        <f t="shared" ref="R12:T13" si="28">K12*100/K32</f>
        <v>79.502213906072285</v>
      </c>
      <c r="S12" s="6">
        <f t="shared" si="28"/>
        <v>79.53319617437721</v>
      </c>
      <c r="T12" s="6">
        <f t="shared" si="28"/>
        <v>83.995288785520472</v>
      </c>
      <c r="U12" s="21"/>
      <c r="V12" s="21"/>
      <c r="W12" s="21"/>
      <c r="AA12" s="50"/>
      <c r="AB12" s="5"/>
      <c r="AC12" s="5"/>
      <c r="AD12" s="79"/>
      <c r="AE12" s="80"/>
      <c r="AF12" s="81"/>
    </row>
    <row r="13" spans="1:32" x14ac:dyDescent="0.3">
      <c r="A13" s="7">
        <v>56</v>
      </c>
      <c r="B13" s="7">
        <v>5</v>
      </c>
      <c r="C13" s="168">
        <v>25</v>
      </c>
      <c r="D13" s="6">
        <v>9.99</v>
      </c>
      <c r="E13" s="7">
        <v>87657</v>
      </c>
      <c r="F13" s="7">
        <v>108724</v>
      </c>
      <c r="G13" s="7">
        <v>38216</v>
      </c>
      <c r="H13" s="6">
        <f t="shared" si="0"/>
        <v>7.3192698057165115</v>
      </c>
      <c r="I13" s="6">
        <f t="shared" si="1"/>
        <v>5.7093004473291815</v>
      </c>
      <c r="J13" s="6">
        <f t="shared" si="2"/>
        <v>2.3324229499443399</v>
      </c>
      <c r="K13" s="37">
        <f t="shared" si="3"/>
        <v>0.18298174514291279</v>
      </c>
      <c r="L13" s="37">
        <f t="shared" si="4"/>
        <v>0.14273251118322955</v>
      </c>
      <c r="M13" s="13">
        <f t="shared" si="5"/>
        <v>5.8310573748608499E-2</v>
      </c>
      <c r="N13" s="15">
        <f t="shared" si="8"/>
        <v>0.38402483007475086</v>
      </c>
      <c r="O13" s="6">
        <f>K13*100/K19</f>
        <v>31.617946205677949</v>
      </c>
      <c r="P13" s="6">
        <f t="shared" ref="P13:Q13" si="29">L13*100/L19</f>
        <v>36.555618713392491</v>
      </c>
      <c r="Q13" s="6">
        <f t="shared" si="29"/>
        <v>31.144233582602425</v>
      </c>
      <c r="R13" s="6">
        <f t="shared" si="28"/>
        <v>105.51855452274025</v>
      </c>
      <c r="S13" s="6">
        <f t="shared" si="28"/>
        <v>110.00483406971203</v>
      </c>
      <c r="T13" s="6">
        <f t="shared" si="28"/>
        <v>102.13285829044062</v>
      </c>
      <c r="U13" s="21">
        <f t="shared" ref="U13:Z13" si="30">AVERAGE(H13:H15)</f>
        <v>6.9364765645449964</v>
      </c>
      <c r="V13" s="21">
        <f t="shared" si="30"/>
        <v>5.1900450517575401</v>
      </c>
      <c r="W13" s="21">
        <f t="shared" si="30"/>
        <v>2.2837145547337028</v>
      </c>
      <c r="X13" s="23">
        <f t="shared" si="30"/>
        <v>0.17341191411362492</v>
      </c>
      <c r="Y13" s="23">
        <f t="shared" si="30"/>
        <v>0.12975112629393851</v>
      </c>
      <c r="Z13" s="23">
        <f t="shared" si="30"/>
        <v>5.7092863868342579E-2</v>
      </c>
      <c r="AA13" s="50">
        <f t="shared" ref="AA13:AF13" si="31">AVERAGE(O13:O15)</f>
        <v>29.964347359273187</v>
      </c>
      <c r="AB13" s="50">
        <f t="shared" si="31"/>
        <v>33.230920279582023</v>
      </c>
      <c r="AC13" s="50">
        <f t="shared" si="31"/>
        <v>30.493843121511315</v>
      </c>
      <c r="AD13" s="82">
        <f t="shared" si="31"/>
        <v>100</v>
      </c>
      <c r="AE13" s="83">
        <f t="shared" si="31"/>
        <v>100</v>
      </c>
      <c r="AF13" s="84">
        <f t="shared" si="31"/>
        <v>99.999999999999986</v>
      </c>
    </row>
    <row r="14" spans="1:32" x14ac:dyDescent="0.3">
      <c r="A14" s="7">
        <v>57</v>
      </c>
      <c r="B14" s="7">
        <v>5</v>
      </c>
      <c r="C14" s="168">
        <v>25</v>
      </c>
      <c r="D14" s="6">
        <v>10.039999999999999</v>
      </c>
      <c r="E14" s="7">
        <v>85278</v>
      </c>
      <c r="F14" s="7">
        <v>105480</v>
      </c>
      <c r="G14" s="7">
        <v>38989</v>
      </c>
      <c r="H14" s="6">
        <f t="shared" si="0"/>
        <v>7.1204056797708786</v>
      </c>
      <c r="I14" s="6">
        <f t="shared" si="1"/>
        <v>5.5385546198625226</v>
      </c>
      <c r="J14" s="6">
        <f t="shared" si="2"/>
        <v>2.3816621689911872</v>
      </c>
      <c r="K14" s="37">
        <f t="shared" si="3"/>
        <v>0.17801014199427198</v>
      </c>
      <c r="L14" s="37">
        <f t="shared" si="4"/>
        <v>0.13846386549656306</v>
      </c>
      <c r="M14" s="13">
        <f t="shared" si="5"/>
        <v>5.9541554224779678E-2</v>
      </c>
      <c r="N14" s="15">
        <f t="shared" si="8"/>
        <v>0.37601556171561473</v>
      </c>
      <c r="O14" s="6">
        <f>K14*100/K19</f>
        <v>30.758888484991473</v>
      </c>
      <c r="P14" s="6">
        <f t="shared" ref="P14:Q14" si="32">L14*100/L19</f>
        <v>35.462364045266938</v>
      </c>
      <c r="Q14" s="6">
        <f t="shared" si="32"/>
        <v>31.801711995536291</v>
      </c>
      <c r="R14" s="6">
        <f>K14*100/K33</f>
        <v>102.6516216628773</v>
      </c>
      <c r="S14" s="6">
        <f>L14*100/L33</f>
        <v>106.71496229087575</v>
      </c>
      <c r="T14" s="6">
        <f>M14*100/M33</f>
        <v>104.2889604593734</v>
      </c>
      <c r="U14" s="14">
        <f t="shared" ref="U14:Z14" si="33">_xlfn.STDEV.P(H13:H15)</f>
        <v>0.40887439560945327</v>
      </c>
      <c r="V14" s="15">
        <f t="shared" si="33"/>
        <v>0.61754921992115419</v>
      </c>
      <c r="W14" s="14">
        <f t="shared" si="33"/>
        <v>0.10563179448102135</v>
      </c>
      <c r="X14" s="14">
        <f t="shared" si="33"/>
        <v>1.0221859890236338E-2</v>
      </c>
      <c r="Y14" s="14">
        <f t="shared" si="33"/>
        <v>1.5438730498028866E-2</v>
      </c>
      <c r="Z14" s="14">
        <f t="shared" si="33"/>
        <v>2.6407948620255348E-3</v>
      </c>
      <c r="AA14" s="6">
        <f t="shared" ref="AA14:AF14" si="34">_xlfn.STDEV.P(O13:O15)</f>
        <v>1.7662648035138571</v>
      </c>
      <c r="AB14" s="6">
        <f t="shared" si="34"/>
        <v>3.9540560228795032</v>
      </c>
      <c r="AC14" s="6">
        <f t="shared" si="34"/>
        <v>1.4104737226774795</v>
      </c>
      <c r="AD14" s="88">
        <f t="shared" si="34"/>
        <v>5.8945545595781006</v>
      </c>
      <c r="AE14" s="89">
        <f t="shared" si="34"/>
        <v>11.898725613413067</v>
      </c>
      <c r="AF14" s="90">
        <f t="shared" si="34"/>
        <v>4.6254377221560725</v>
      </c>
    </row>
    <row r="15" spans="1:32" x14ac:dyDescent="0.3">
      <c r="A15" s="7">
        <v>58</v>
      </c>
      <c r="B15" s="7">
        <v>5</v>
      </c>
      <c r="C15" s="168">
        <v>25</v>
      </c>
      <c r="D15" s="6">
        <v>10.01</v>
      </c>
      <c r="E15" s="7">
        <v>76298</v>
      </c>
      <c r="F15" s="7">
        <v>82372</v>
      </c>
      <c r="G15" s="7">
        <v>35149</v>
      </c>
      <c r="H15" s="6">
        <f t="shared" si="0"/>
        <v>6.3697542081476</v>
      </c>
      <c r="I15" s="6">
        <f t="shared" si="1"/>
        <v>4.322280088080916</v>
      </c>
      <c r="J15" s="6">
        <f t="shared" si="2"/>
        <v>2.1370585452655817</v>
      </c>
      <c r="K15" s="37">
        <f t="shared" si="3"/>
        <v>0.15924385520369</v>
      </c>
      <c r="L15" s="37">
        <f t="shared" si="4"/>
        <v>0.1080570022020229</v>
      </c>
      <c r="M15" s="13">
        <f t="shared" si="5"/>
        <v>5.342646363163954E-2</v>
      </c>
      <c r="N15" s="15">
        <f t="shared" si="8"/>
        <v>0.32072732103735246</v>
      </c>
      <c r="O15" s="6">
        <f>K15*100/K19</f>
        <v>27.516207387150128</v>
      </c>
      <c r="P15" s="6">
        <f t="shared" ref="P15:Q15" si="35">L15*100/L19</f>
        <v>27.674778080086636</v>
      </c>
      <c r="Q15" s="6">
        <f t="shared" si="35"/>
        <v>28.535583786395218</v>
      </c>
      <c r="R15" s="6">
        <f>K15*100/K33</f>
        <v>91.829823814382465</v>
      </c>
      <c r="S15" s="6">
        <f>L15*100/L33</f>
        <v>83.280203639412207</v>
      </c>
      <c r="T15" s="6">
        <f>M15*100/M33</f>
        <v>93.578181250185949</v>
      </c>
    </row>
    <row r="16" spans="1:32" x14ac:dyDescent="0.3">
      <c r="O16" s="10"/>
      <c r="P16" s="10"/>
      <c r="Q16" s="10"/>
    </row>
    <row r="17" spans="1:17" x14ac:dyDescent="0.3">
      <c r="A17" s="8" t="s">
        <v>43</v>
      </c>
      <c r="H17" s="6"/>
      <c r="I17" s="6"/>
      <c r="J17" s="6"/>
      <c r="K17" s="37"/>
      <c r="N17" s="15"/>
      <c r="O17" s="21"/>
      <c r="P17" s="21"/>
      <c r="Q17" s="21"/>
    </row>
    <row r="18" spans="1:17" ht="14.4" customHeight="1" x14ac:dyDescent="0.3">
      <c r="A18" s="47" t="s">
        <v>40</v>
      </c>
      <c r="B18" s="7"/>
      <c r="C18" s="7">
        <v>23</v>
      </c>
      <c r="D18" s="7">
        <v>0</v>
      </c>
      <c r="E18" s="7">
        <v>166217</v>
      </c>
      <c r="F18" s="7">
        <v>178189</v>
      </c>
      <c r="G18" s="7">
        <v>71502</v>
      </c>
      <c r="H18" s="6">
        <f>(E18-$K$24)/$K$23</f>
        <v>13.886216310251562</v>
      </c>
      <c r="I18" s="6">
        <f>(F18-$L$24)/$L$23</f>
        <v>9.3655454858530405</v>
      </c>
      <c r="J18" s="6">
        <f>(G18-$M$24)/$M$23</f>
        <v>4.452703215394993</v>
      </c>
      <c r="K18" s="37">
        <f>H18*C18/1000</f>
        <v>0.31938297513578595</v>
      </c>
      <c r="L18" s="37">
        <f>I18*C18/1000</f>
        <v>0.21540754617461993</v>
      </c>
      <c r="M18" s="37">
        <f>J18*C18/1000</f>
        <v>0.10241217395408483</v>
      </c>
      <c r="N18" s="15"/>
      <c r="O18" s="21"/>
      <c r="P18" s="21"/>
      <c r="Q18" s="21"/>
    </row>
    <row r="19" spans="1:17" x14ac:dyDescent="0.3">
      <c r="A19" t="s">
        <v>59</v>
      </c>
      <c r="C19" s="40">
        <v>25</v>
      </c>
      <c r="D19">
        <v>0</v>
      </c>
      <c r="E19" s="6">
        <f>E18*5/3</f>
        <v>277028.33333333331</v>
      </c>
      <c r="F19" s="6">
        <f>F18*5/3</f>
        <v>296981.66666666669</v>
      </c>
      <c r="G19" s="6">
        <f>G18*5/3</f>
        <v>119170</v>
      </c>
      <c r="H19" s="6">
        <f>(E19-$K$24)/$K$23</f>
        <v>23.149099432657387</v>
      </c>
      <c r="I19" s="6">
        <f>(F19-$L$24)/$L$23</f>
        <v>15.618120136583894</v>
      </c>
      <c r="J19" s="6">
        <f>(G19-$M$24)/$M$23</f>
        <v>7.4891004903304532</v>
      </c>
      <c r="K19" s="37">
        <f>H19*C19/1000</f>
        <v>0.57872748581643463</v>
      </c>
      <c r="L19" s="37">
        <f>I19*C19/1000</f>
        <v>0.39045300341459732</v>
      </c>
      <c r="M19" s="37">
        <f>J19*C19/1000</f>
        <v>0.18722751225826134</v>
      </c>
      <c r="N19" s="15"/>
      <c r="O19" s="21"/>
      <c r="P19" s="21"/>
      <c r="Q19" s="21"/>
    </row>
    <row r="20" spans="1:17" x14ac:dyDescent="0.3">
      <c r="H20" s="48"/>
      <c r="I20" s="6"/>
      <c r="J20" s="6"/>
      <c r="K20" s="11"/>
      <c r="L20" s="13"/>
      <c r="M20" s="13"/>
      <c r="N20" s="15"/>
    </row>
    <row r="21" spans="1:17" x14ac:dyDescent="0.3">
      <c r="A21" s="8" t="s">
        <v>42</v>
      </c>
      <c r="H21" s="48"/>
      <c r="I21" s="6"/>
      <c r="J21" s="6"/>
      <c r="K21" s="11"/>
      <c r="L21" s="13"/>
      <c r="M21" s="13"/>
      <c r="N21" s="15"/>
    </row>
    <row r="22" spans="1:17" x14ac:dyDescent="0.3">
      <c r="A22" s="12">
        <v>31</v>
      </c>
      <c r="B22" s="7">
        <v>3</v>
      </c>
      <c r="C22" s="7">
        <v>23</v>
      </c>
      <c r="D22" s="6">
        <v>10.02</v>
      </c>
      <c r="E22" s="7">
        <v>0</v>
      </c>
      <c r="F22" s="7">
        <v>0</v>
      </c>
      <c r="G22" s="7">
        <v>0</v>
      </c>
      <c r="H22" s="48"/>
      <c r="I22" s="6"/>
      <c r="K22" t="s">
        <v>17</v>
      </c>
      <c r="L22" t="s">
        <v>18</v>
      </c>
      <c r="M22" t="s">
        <v>19</v>
      </c>
      <c r="N22" s="15"/>
    </row>
    <row r="23" spans="1:17" x14ac:dyDescent="0.3">
      <c r="A23" s="12">
        <v>36</v>
      </c>
      <c r="B23" s="7">
        <v>5</v>
      </c>
      <c r="C23" s="7">
        <v>25</v>
      </c>
      <c r="D23" s="6">
        <v>10.01</v>
      </c>
      <c r="E23" s="7">
        <v>0</v>
      </c>
      <c r="F23" s="7">
        <v>0</v>
      </c>
      <c r="G23" s="7">
        <v>0</v>
      </c>
      <c r="H23" s="48"/>
      <c r="I23" s="6"/>
      <c r="J23" t="s">
        <v>21</v>
      </c>
      <c r="K23" s="11">
        <f>Standards!E3</f>
        <v>11962.941977028051</v>
      </c>
      <c r="L23" s="11">
        <f>Standards!F3</f>
        <v>18999.000140331184</v>
      </c>
      <c r="M23" s="11">
        <f>Standards!G3</f>
        <v>15698.867995135188</v>
      </c>
    </row>
    <row r="24" spans="1:17" x14ac:dyDescent="0.3">
      <c r="A24" s="12">
        <v>71</v>
      </c>
      <c r="B24" s="7">
        <v>3</v>
      </c>
      <c r="C24" s="7">
        <v>23</v>
      </c>
      <c r="D24" s="6">
        <v>10</v>
      </c>
      <c r="E24" s="7">
        <v>0</v>
      </c>
      <c r="F24" s="7">
        <v>0</v>
      </c>
      <c r="G24" s="7">
        <v>0</v>
      </c>
      <c r="J24" t="s">
        <v>22</v>
      </c>
      <c r="K24" s="11">
        <f>Standards!E4</f>
        <v>96.999999999992724</v>
      </c>
      <c r="L24" s="11">
        <f>Standards!F4</f>
        <v>252.99999999999272</v>
      </c>
      <c r="M24" s="11">
        <f>Standards!G4</f>
        <v>1599.5999999999985</v>
      </c>
    </row>
    <row r="25" spans="1:17" x14ac:dyDescent="0.3">
      <c r="A25" s="12">
        <v>76</v>
      </c>
      <c r="B25" s="7">
        <v>5</v>
      </c>
      <c r="C25" s="7">
        <v>25</v>
      </c>
      <c r="D25" s="6">
        <v>9.9600000000000009</v>
      </c>
      <c r="E25" s="7">
        <v>0</v>
      </c>
      <c r="F25" s="7">
        <v>0</v>
      </c>
      <c r="G25" s="7">
        <v>0</v>
      </c>
    </row>
    <row r="26" spans="1:17" x14ac:dyDescent="0.3">
      <c r="J26" t="s">
        <v>24</v>
      </c>
    </row>
    <row r="28" spans="1:17" ht="16.2" x14ac:dyDescent="0.3">
      <c r="A28" t="s">
        <v>61</v>
      </c>
      <c r="K28" s="61"/>
      <c r="L28" s="62" t="s">
        <v>49</v>
      </c>
      <c r="M28" s="63"/>
    </row>
    <row r="29" spans="1:17" ht="16.2" x14ac:dyDescent="0.3">
      <c r="A29" t="s">
        <v>60</v>
      </c>
      <c r="J29" s="123"/>
      <c r="K29" s="102" t="s">
        <v>17</v>
      </c>
      <c r="L29" s="102" t="s">
        <v>18</v>
      </c>
      <c r="M29" s="55" t="s">
        <v>19</v>
      </c>
    </row>
    <row r="30" spans="1:17" ht="16.2" x14ac:dyDescent="0.3">
      <c r="A30" t="s">
        <v>62</v>
      </c>
      <c r="J30" s="124" t="s">
        <v>64</v>
      </c>
      <c r="K30" s="56">
        <f>X4</f>
        <v>0.21564118633641274</v>
      </c>
      <c r="L30" s="56">
        <f>Y4</f>
        <v>0.14688532621299763</v>
      </c>
      <c r="M30" s="57">
        <f>Z4</f>
        <v>6.9819165751716872E-2</v>
      </c>
    </row>
    <row r="31" spans="1:17" ht="16.2" x14ac:dyDescent="0.3">
      <c r="A31" t="s">
        <v>63</v>
      </c>
      <c r="J31" s="124" t="s">
        <v>65</v>
      </c>
      <c r="K31" s="56">
        <f>X7</f>
        <v>0.21261564852114659</v>
      </c>
      <c r="L31" s="56">
        <f>Y7</f>
        <v>0.14120120252917179</v>
      </c>
      <c r="M31" s="57">
        <f>Z7</f>
        <v>6.6710767531637863E-2</v>
      </c>
    </row>
    <row r="32" spans="1:17" x14ac:dyDescent="0.3">
      <c r="J32" s="124" t="s">
        <v>66</v>
      </c>
      <c r="K32" s="56">
        <f>X10</f>
        <v>0.17274039590775556</v>
      </c>
      <c r="L32" s="56">
        <f>Y10</f>
        <v>0.15776268809907409</v>
      </c>
      <c r="M32" s="57">
        <f>Z10</f>
        <v>6.4088060381919013E-2</v>
      </c>
    </row>
    <row r="33" spans="1:13" x14ac:dyDescent="0.3">
      <c r="A33" t="s">
        <v>106</v>
      </c>
      <c r="J33" s="125" t="s">
        <v>67</v>
      </c>
      <c r="K33" s="59">
        <f>X13</f>
        <v>0.17341191411362492</v>
      </c>
      <c r="L33" s="59">
        <f>Y13</f>
        <v>0.12975112629393851</v>
      </c>
      <c r="M33" s="60">
        <f>Z13</f>
        <v>5.7092863868342579E-2</v>
      </c>
    </row>
    <row r="34" spans="1:13" x14ac:dyDescent="0.3">
      <c r="A34" t="s">
        <v>107</v>
      </c>
    </row>
    <row r="35" spans="1:13" x14ac:dyDescent="0.3">
      <c r="A35" t="s">
        <v>108</v>
      </c>
    </row>
    <row r="36" spans="1:13" x14ac:dyDescent="0.3">
      <c r="A36" t="s">
        <v>109</v>
      </c>
    </row>
  </sheetData>
  <mergeCells count="4">
    <mergeCell ref="O2:Q2"/>
    <mergeCell ref="H2:J2"/>
    <mergeCell ref="K2:N2"/>
    <mergeCell ref="E2:G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29"/>
  <sheetViews>
    <sheetView zoomScale="80" zoomScaleNormal="80" workbookViewId="0">
      <selection activeCell="X14" activeCellId="3" sqref="X5:Z5 X8:Z8 X11:Z11 X14:Z14"/>
    </sheetView>
  </sheetViews>
  <sheetFormatPr defaultRowHeight="14.4" x14ac:dyDescent="0.3"/>
  <cols>
    <col min="2" max="2" width="9.77734375" customWidth="1"/>
    <col min="3" max="3" width="10.88671875" customWidth="1"/>
    <col min="4" max="4" width="9.88671875" customWidth="1"/>
    <col min="15" max="15" width="6.21875" customWidth="1"/>
    <col min="16" max="16" width="6.6640625" customWidth="1"/>
    <col min="17" max="17" width="6.88671875" customWidth="1"/>
  </cols>
  <sheetData>
    <row r="1" spans="1:26" x14ac:dyDescent="0.3">
      <c r="A1" s="9" t="s">
        <v>78</v>
      </c>
      <c r="B1" s="9"/>
      <c r="C1" s="9"/>
    </row>
    <row r="2" spans="1:26" x14ac:dyDescent="0.3">
      <c r="E2" s="245" t="s">
        <v>10</v>
      </c>
      <c r="F2" s="245"/>
      <c r="G2" s="245"/>
      <c r="H2" s="247" t="s">
        <v>75</v>
      </c>
      <c r="I2" s="247"/>
      <c r="J2" s="247"/>
      <c r="K2" s="248" t="s">
        <v>23</v>
      </c>
      <c r="L2" s="248"/>
      <c r="M2" s="248"/>
      <c r="N2" s="248"/>
      <c r="O2" s="250" t="s">
        <v>48</v>
      </c>
      <c r="P2" s="250"/>
      <c r="Q2" s="250"/>
      <c r="R2" s="249" t="s">
        <v>27</v>
      </c>
      <c r="S2" s="249"/>
      <c r="T2" s="249"/>
      <c r="U2" s="251" t="s">
        <v>28</v>
      </c>
      <c r="V2" s="251"/>
      <c r="W2" s="252"/>
      <c r="X2" s="246" t="s">
        <v>48</v>
      </c>
      <c r="Y2" s="246"/>
      <c r="Z2" s="246"/>
    </row>
    <row r="3" spans="1:26" x14ac:dyDescent="0.3">
      <c r="A3" t="s">
        <v>1</v>
      </c>
      <c r="B3" t="s">
        <v>11</v>
      </c>
      <c r="C3" t="s">
        <v>30</v>
      </c>
      <c r="D3" t="s">
        <v>13</v>
      </c>
      <c r="E3" s="27" t="s">
        <v>17</v>
      </c>
      <c r="F3" s="27" t="s">
        <v>18</v>
      </c>
      <c r="G3" s="27" t="s">
        <v>19</v>
      </c>
      <c r="H3" s="27" t="s">
        <v>17</v>
      </c>
      <c r="I3" s="27" t="s">
        <v>18</v>
      </c>
      <c r="J3" s="27" t="s">
        <v>19</v>
      </c>
      <c r="K3" s="27" t="s">
        <v>17</v>
      </c>
      <c r="L3" s="27" t="s">
        <v>18</v>
      </c>
      <c r="M3" s="27" t="s">
        <v>19</v>
      </c>
      <c r="N3" s="27" t="s">
        <v>20</v>
      </c>
      <c r="O3" t="s">
        <v>17</v>
      </c>
      <c r="P3" t="s">
        <v>18</v>
      </c>
      <c r="Q3" t="s">
        <v>19</v>
      </c>
      <c r="R3" s="27" t="s">
        <v>17</v>
      </c>
      <c r="S3" s="27" t="s">
        <v>18</v>
      </c>
      <c r="T3" s="27" t="s">
        <v>19</v>
      </c>
      <c r="U3" s="42" t="s">
        <v>17</v>
      </c>
      <c r="V3" s="42" t="s">
        <v>18</v>
      </c>
      <c r="W3" s="42" t="s">
        <v>19</v>
      </c>
      <c r="X3" s="43" t="s">
        <v>17</v>
      </c>
      <c r="Y3" s="43" t="s">
        <v>18</v>
      </c>
      <c r="Z3" s="43" t="s">
        <v>19</v>
      </c>
    </row>
    <row r="4" spans="1:26" x14ac:dyDescent="0.3">
      <c r="A4" s="18">
        <v>4</v>
      </c>
      <c r="B4" s="18">
        <v>3</v>
      </c>
      <c r="C4" s="18">
        <v>23</v>
      </c>
      <c r="D4" s="101">
        <v>10.199999999999999</v>
      </c>
      <c r="E4" s="101">
        <v>119205</v>
      </c>
      <c r="F4" s="101">
        <v>110765</v>
      </c>
      <c r="G4" s="101">
        <v>50218</v>
      </c>
      <c r="H4" s="139">
        <f>(E4-$D$25)/$D$24</f>
        <v>10.358635268536441</v>
      </c>
      <c r="I4" s="139">
        <f>(F4-$E$25)/$E$24</f>
        <v>5.4523277241135863</v>
      </c>
      <c r="J4" s="140">
        <f>(G4-$F$25)/$F$24</f>
        <v>3.1251510677384884</v>
      </c>
      <c r="K4" s="140">
        <f>H4*C4/1000</f>
        <v>0.23824861117633814</v>
      </c>
      <c r="L4" s="140">
        <f>I4*C4/1000</f>
        <v>0.12540353765461248</v>
      </c>
      <c r="M4" s="140">
        <f t="shared" ref="M4:M15" si="0">J4*C4/1000</f>
        <v>7.1878474557985225E-2</v>
      </c>
      <c r="N4" s="140">
        <f>SUM(K4:M4)</f>
        <v>0.43553062338893589</v>
      </c>
      <c r="O4" s="141">
        <f>K4*100/$I$25</f>
        <v>110.4838158350031</v>
      </c>
      <c r="P4" s="141">
        <f>L4*100/J25</f>
        <v>85.375129625110048</v>
      </c>
      <c r="Q4" s="141">
        <f>M4*100/K25</f>
        <v>102.94948927575479</v>
      </c>
      <c r="R4" s="142">
        <f>AVERAGE(H4:H6)</f>
        <v>9.7131502371247933</v>
      </c>
      <c r="S4" s="142">
        <f>AVERAGE(I4:I6)</f>
        <v>4.9091393007113426</v>
      </c>
      <c r="T4" s="142">
        <f>AVERAGE(J4:J6)</f>
        <v>2.9286512036922558</v>
      </c>
      <c r="U4" s="56">
        <v>0.23524320918646022</v>
      </c>
      <c r="V4" s="56">
        <f>AVERAGE(L4:L6)</f>
        <v>0.1129102039163609</v>
      </c>
      <c r="W4" s="56">
        <f>AVERAGE(M4:M6)</f>
        <v>6.735897768492187E-2</v>
      </c>
      <c r="X4" s="70">
        <f>AVERAGE(O4:O6)</f>
        <v>103.59915897761267</v>
      </c>
      <c r="Y4" s="70">
        <f>AVERAGE(P4:P6)</f>
        <v>76.869628047549426</v>
      </c>
      <c r="Z4" s="70">
        <f>AVERAGE(Q4:Q6)</f>
        <v>96.476342791686093</v>
      </c>
    </row>
    <row r="5" spans="1:26" x14ac:dyDescent="0.3">
      <c r="A5" s="18">
        <v>5</v>
      </c>
      <c r="B5" s="18">
        <v>3</v>
      </c>
      <c r="C5" s="18">
        <v>23</v>
      </c>
      <c r="D5" s="101">
        <v>10</v>
      </c>
      <c r="E5" s="101">
        <v>107627</v>
      </c>
      <c r="F5" s="101">
        <v>92855</v>
      </c>
      <c r="G5" s="101">
        <v>44299</v>
      </c>
      <c r="H5" s="139">
        <f t="shared" ref="H5:H15" si="1">(E5-$D$25)/$D$24</f>
        <v>9.3564773442984563</v>
      </c>
      <c r="I5" s="139">
        <f t="shared" ref="I5:I15" si="2">(F5-$E$25)/$E$24</f>
        <v>4.6049216096162571</v>
      </c>
      <c r="J5" s="140">
        <f t="shared" ref="J5:J15" si="3">(G5-$F$25)/$F$24</f>
        <v>2.76259411783523</v>
      </c>
      <c r="K5" s="140">
        <f t="shared" ref="K5:K15" si="4">H5*C5/1000</f>
        <v>0.2151989789188645</v>
      </c>
      <c r="L5" s="140">
        <f t="shared" ref="L5:L15" si="5">I5*C5/1000</f>
        <v>0.10591319702117391</v>
      </c>
      <c r="M5" s="140">
        <f t="shared" si="0"/>
        <v>6.3539664710210289E-2</v>
      </c>
      <c r="N5" s="140">
        <f t="shared" ref="N5:N15" si="6">SUM(K5:M5)</f>
        <v>0.38465184065024866</v>
      </c>
      <c r="O5" s="141">
        <f>K5*100/$I$25</f>
        <v>99.794933692834377</v>
      </c>
      <c r="P5" s="141">
        <f>L5*100/J25</f>
        <v>72.106043368545699</v>
      </c>
      <c r="Q5" s="141">
        <f>M5*100/K25</f>
        <v>91.006049737349997</v>
      </c>
      <c r="R5" s="143">
        <f t="shared" ref="R5:W5" si="7">_xlfn.STDEV.P(H4:H6)</f>
        <v>0.45726685485531843</v>
      </c>
      <c r="S5" s="143">
        <f t="shared" si="7"/>
        <v>0.38501475200865515</v>
      </c>
      <c r="T5" s="143">
        <f t="shared" si="7"/>
        <v>0.14957040156995505</v>
      </c>
      <c r="U5" s="144">
        <f t="shared" si="7"/>
        <v>1.0517137661672322E-2</v>
      </c>
      <c r="V5" s="144">
        <f t="shared" si="7"/>
        <v>8.8553392961990707E-3</v>
      </c>
      <c r="W5" s="144">
        <f t="shared" si="7"/>
        <v>3.4401192361089637E-3</v>
      </c>
      <c r="X5" s="73">
        <f>_xlfn.STDEV.P(O4:O6)</f>
        <v>4.8771470053336499</v>
      </c>
      <c r="Y5" s="73">
        <f>_xlfn.STDEV.P(P4:P6)</f>
        <v>6.028743322772752</v>
      </c>
      <c r="Z5" s="73">
        <f>_xlfn.STDEV.P(Q4:Q6)</f>
        <v>4.9271846764000715</v>
      </c>
    </row>
    <row r="6" spans="1:26" x14ac:dyDescent="0.3">
      <c r="A6" s="133">
        <v>6</v>
      </c>
      <c r="B6" s="133">
        <v>3</v>
      </c>
      <c r="C6" s="133">
        <v>23</v>
      </c>
      <c r="D6" s="34">
        <v>10.06</v>
      </c>
      <c r="E6" s="34">
        <v>108411</v>
      </c>
      <c r="F6" s="34">
        <v>94234</v>
      </c>
      <c r="G6" s="34">
        <v>46513</v>
      </c>
      <c r="H6" s="139">
        <f t="shared" si="1"/>
        <v>9.4243380985394811</v>
      </c>
      <c r="I6" s="139">
        <f t="shared" si="2"/>
        <v>4.6701685684041863</v>
      </c>
      <c r="J6" s="140">
        <f t="shared" si="3"/>
        <v>2.8982084255030478</v>
      </c>
      <c r="K6" s="140">
        <f t="shared" si="4"/>
        <v>0.21675977626640808</v>
      </c>
      <c r="L6" s="140">
        <f t="shared" si="5"/>
        <v>0.10741387707329628</v>
      </c>
      <c r="M6" s="140">
        <f t="shared" si="0"/>
        <v>6.6658793786570095E-2</v>
      </c>
      <c r="N6" s="140">
        <f t="shared" si="6"/>
        <v>0.39083244712627446</v>
      </c>
      <c r="O6" s="141">
        <f>K6*100/$I$25</f>
        <v>100.51872740500058</v>
      </c>
      <c r="P6" s="65">
        <f>L6*100/J25</f>
        <v>73.127711148992503</v>
      </c>
      <c r="Q6" s="65">
        <f>M6*100/K25</f>
        <v>95.473489361953497</v>
      </c>
      <c r="R6" s="145"/>
      <c r="S6" s="145"/>
      <c r="T6" s="145"/>
      <c r="U6" s="46"/>
      <c r="V6" s="46"/>
      <c r="W6" s="46"/>
      <c r="X6" s="33"/>
      <c r="Y6" s="33"/>
      <c r="Z6" s="33"/>
    </row>
    <row r="7" spans="1:26" x14ac:dyDescent="0.3">
      <c r="A7" s="134">
        <v>19</v>
      </c>
      <c r="B7" s="134">
        <v>5</v>
      </c>
      <c r="C7" s="134">
        <v>23</v>
      </c>
      <c r="D7" s="146">
        <v>10</v>
      </c>
      <c r="E7" s="146">
        <v>109964</v>
      </c>
      <c r="F7" s="146">
        <v>98474</v>
      </c>
      <c r="G7" s="146">
        <v>51492</v>
      </c>
      <c r="H7" s="139">
        <f t="shared" si="1"/>
        <v>9.5587612507541628</v>
      </c>
      <c r="I7" s="139">
        <f t="shared" si="2"/>
        <v>4.8707828579334258</v>
      </c>
      <c r="J7" s="140">
        <f t="shared" si="3"/>
        <v>3.2031874850685695</v>
      </c>
      <c r="K7" s="140">
        <f t="shared" si="4"/>
        <v>0.21985150876734574</v>
      </c>
      <c r="L7" s="140">
        <f t="shared" si="5"/>
        <v>0.11202800573246879</v>
      </c>
      <c r="M7" s="140">
        <f t="shared" si="0"/>
        <v>7.3673312156577103E-2</v>
      </c>
      <c r="N7" s="140">
        <f t="shared" si="6"/>
        <v>0.4055528266563917</v>
      </c>
      <c r="O7" s="141">
        <f>K7*100/$I$26</f>
        <v>95.130997870009153</v>
      </c>
      <c r="P7" s="26">
        <f>L7*100/J26</f>
        <v>72.992129973240267</v>
      </c>
      <c r="Q7" s="26">
        <f>M7*100/K26</f>
        <v>101.60195976145269</v>
      </c>
      <c r="R7" s="147">
        <f t="shared" ref="R7:W7" si="8">AVERAGE(H7:H9)</f>
        <v>10.366598520309623</v>
      </c>
      <c r="S7" s="147">
        <f t="shared" si="8"/>
        <v>5.5143572839184998</v>
      </c>
      <c r="T7" s="147">
        <f t="shared" si="8"/>
        <v>3.2063726449595933</v>
      </c>
      <c r="U7" s="148">
        <f t="shared" si="8"/>
        <v>0.23843176596712132</v>
      </c>
      <c r="V7" s="148">
        <f t="shared" si="8"/>
        <v>0.12683021753012549</v>
      </c>
      <c r="W7" s="148">
        <f t="shared" si="8"/>
        <v>7.3746570834070657E-2</v>
      </c>
      <c r="X7" s="70">
        <f>AVERAGE(O7:O9)</f>
        <v>103.17078080352798</v>
      </c>
      <c r="Y7" s="70">
        <f>AVERAGE(P7:P9)</f>
        <v>82.636548441298785</v>
      </c>
      <c r="Z7" s="70">
        <f>AVERAGE(Q7:Q9)</f>
        <v>101.70298990364388</v>
      </c>
    </row>
    <row r="8" spans="1:26" x14ac:dyDescent="0.3">
      <c r="A8" s="18">
        <v>20</v>
      </c>
      <c r="B8" s="18">
        <v>5</v>
      </c>
      <c r="C8" s="18">
        <v>23</v>
      </c>
      <c r="D8" s="101">
        <v>9.9700000000000006</v>
      </c>
      <c r="E8" s="101">
        <v>125940</v>
      </c>
      <c r="F8" s="101">
        <v>122863</v>
      </c>
      <c r="G8" s="101">
        <v>52663</v>
      </c>
      <c r="H8" s="139">
        <f t="shared" si="1"/>
        <v>10.941597232584016</v>
      </c>
      <c r="I8" s="139">
        <f t="shared" si="2"/>
        <v>6.0247408549448922</v>
      </c>
      <c r="J8" s="140">
        <f t="shared" si="3"/>
        <v>3.2749148356914306</v>
      </c>
      <c r="K8" s="140">
        <f t="shared" si="4"/>
        <v>0.25165673634943236</v>
      </c>
      <c r="L8" s="140">
        <f t="shared" si="5"/>
        <v>0.13856903966373252</v>
      </c>
      <c r="M8" s="140">
        <f t="shared" si="0"/>
        <v>7.5323041220902914E-2</v>
      </c>
      <c r="N8" s="140">
        <f t="shared" si="6"/>
        <v>0.46554881723406782</v>
      </c>
      <c r="O8" s="141">
        <f>K8*100/$I$26</f>
        <v>108.89330068216995</v>
      </c>
      <c r="P8" s="149">
        <f>L8*100/J26</f>
        <v>90.285007639574587</v>
      </c>
      <c r="Q8" s="149">
        <f>M8*100/K26</f>
        <v>103.87708084810477</v>
      </c>
      <c r="R8" s="143">
        <f t="shared" ref="R8:W8" si="9">_xlfn.STDEV.P(H7:H9)</f>
        <v>0.5880584911261687</v>
      </c>
      <c r="S8" s="143">
        <f t="shared" si="9"/>
        <v>0.48042315903111027</v>
      </c>
      <c r="T8" s="143">
        <f t="shared" si="9"/>
        <v>5.4710506712385719E-2</v>
      </c>
      <c r="U8" s="144">
        <f t="shared" si="9"/>
        <v>1.3525345295901881E-2</v>
      </c>
      <c r="V8" s="144">
        <f t="shared" si="9"/>
        <v>1.1049732657715536E-2</v>
      </c>
      <c r="W8" s="144">
        <f t="shared" si="9"/>
        <v>1.2583416543848732E-3</v>
      </c>
      <c r="X8" s="73">
        <f>_xlfn.STDEV.P(O7:O9)</f>
        <v>5.8524938116171255</v>
      </c>
      <c r="Y8" s="73">
        <f>_xlfn.STDEV.P(P7:P9)</f>
        <v>7.1994812105074537</v>
      </c>
      <c r="Z8" s="73">
        <f>_xlfn.STDEV.P(Q7:Q9)</f>
        <v>1.7353635175686613</v>
      </c>
    </row>
    <row r="9" spans="1:26" x14ac:dyDescent="0.3">
      <c r="A9" s="133">
        <v>21</v>
      </c>
      <c r="B9" s="133">
        <v>5</v>
      </c>
      <c r="C9" s="150">
        <v>23</v>
      </c>
      <c r="D9" s="34">
        <v>10</v>
      </c>
      <c r="E9" s="151">
        <v>121987</v>
      </c>
      <c r="F9" s="151">
        <v>114891</v>
      </c>
      <c r="G9" s="34">
        <v>50477</v>
      </c>
      <c r="H9" s="139">
        <f t="shared" si="1"/>
        <v>10.599437077590688</v>
      </c>
      <c r="I9" s="139">
        <f t="shared" si="2"/>
        <v>5.6475481388771804</v>
      </c>
      <c r="J9" s="140">
        <f t="shared" si="3"/>
        <v>3.1410156141187797</v>
      </c>
      <c r="K9" s="140">
        <f t="shared" si="4"/>
        <v>0.24378705278458582</v>
      </c>
      <c r="L9" s="140">
        <f t="shared" si="5"/>
        <v>0.12989360719417517</v>
      </c>
      <c r="M9" s="140">
        <f t="shared" si="0"/>
        <v>7.224335912473194E-2</v>
      </c>
      <c r="N9" s="140">
        <f t="shared" si="6"/>
        <v>0.44592401910349294</v>
      </c>
      <c r="O9" s="141">
        <f>K9*100/$I$26</f>
        <v>105.48804385840482</v>
      </c>
      <c r="P9" s="25">
        <f>L9*100/J26</f>
        <v>84.63250771108153</v>
      </c>
      <c r="Q9" s="25">
        <f>M9*100/K26</f>
        <v>99.629929101374245</v>
      </c>
      <c r="R9" s="145"/>
      <c r="S9" s="145"/>
      <c r="T9" s="145"/>
      <c r="U9" s="46"/>
      <c r="V9" s="46"/>
      <c r="W9" s="46"/>
      <c r="X9" s="33"/>
      <c r="Y9" s="33"/>
      <c r="Z9" s="33"/>
    </row>
    <row r="10" spans="1:26" x14ac:dyDescent="0.3">
      <c r="A10" s="134">
        <v>44</v>
      </c>
      <c r="B10" s="134">
        <v>0</v>
      </c>
      <c r="C10" s="134">
        <v>25</v>
      </c>
      <c r="D10" s="146">
        <v>10.01</v>
      </c>
      <c r="E10" s="146">
        <v>64818</v>
      </c>
      <c r="F10" s="146">
        <v>93005</v>
      </c>
      <c r="G10" s="146">
        <v>31436</v>
      </c>
      <c r="H10" s="139">
        <f t="shared" si="1"/>
        <v>5.6510551143188508</v>
      </c>
      <c r="I10" s="139">
        <f t="shared" si="2"/>
        <v>4.6120188132552631</v>
      </c>
      <c r="J10" s="140">
        <f t="shared" si="3"/>
        <v>1.9746958163306498</v>
      </c>
      <c r="K10" s="140">
        <f t="shared" si="4"/>
        <v>0.14127637785797129</v>
      </c>
      <c r="L10" s="140">
        <f t="shared" si="5"/>
        <v>0.11530047033138158</v>
      </c>
      <c r="M10" s="140">
        <f t="shared" si="0"/>
        <v>4.9367395408266249E-2</v>
      </c>
      <c r="N10" s="140">
        <f t="shared" si="6"/>
        <v>0.30594424359761913</v>
      </c>
      <c r="O10" s="141">
        <f>K10*100/$I$27</f>
        <v>88.897145032830792</v>
      </c>
      <c r="P10" s="26">
        <f>L10*100/J27</f>
        <v>79.439948505174996</v>
      </c>
      <c r="Q10" s="26">
        <f>M10*100/K27</f>
        <v>83.728875675926048</v>
      </c>
      <c r="R10" s="142">
        <f t="shared" ref="R10:W10" si="10">AVERAGE(H10:H12)</f>
        <v>5.3333329095135111</v>
      </c>
      <c r="S10" s="142">
        <f t="shared" si="10"/>
        <v>4.5691990179665929</v>
      </c>
      <c r="T10" s="142">
        <f t="shared" si="10"/>
        <v>2.0308036328725292</v>
      </c>
      <c r="U10" s="56">
        <f t="shared" si="10"/>
        <v>0.13333332273783777</v>
      </c>
      <c r="V10" s="56">
        <f t="shared" si="10"/>
        <v>0.11422997544916481</v>
      </c>
      <c r="W10" s="56">
        <f t="shared" si="10"/>
        <v>5.0770090821813225E-2</v>
      </c>
      <c r="X10" s="153">
        <f>AVERAGE(O10:O12)</f>
        <v>83.899034706643405</v>
      </c>
      <c r="Y10" s="153">
        <f>AVERAGE(P10:P12)</f>
        <v>78.702396801578814</v>
      </c>
      <c r="Z10" s="153">
        <f>AVERAGE(Q10:Q12)</f>
        <v>86.107897476059364</v>
      </c>
    </row>
    <row r="11" spans="1:26" x14ac:dyDescent="0.3">
      <c r="A11" s="18">
        <v>45</v>
      </c>
      <c r="B11" s="18">
        <v>3</v>
      </c>
      <c r="C11" s="18">
        <v>25</v>
      </c>
      <c r="D11" s="101">
        <v>10.029999999999999</v>
      </c>
      <c r="E11" s="101">
        <v>52636</v>
      </c>
      <c r="F11" s="101">
        <v>94362</v>
      </c>
      <c r="G11" s="101">
        <v>31773</v>
      </c>
      <c r="H11" s="139">
        <f t="shared" si="1"/>
        <v>4.5966167110482408</v>
      </c>
      <c r="I11" s="139">
        <f t="shared" si="2"/>
        <v>4.6762248488428053</v>
      </c>
      <c r="J11" s="140">
        <f t="shared" si="3"/>
        <v>1.9953381025474766</v>
      </c>
      <c r="K11" s="140">
        <f t="shared" si="4"/>
        <v>0.11491541777620601</v>
      </c>
      <c r="L11" s="140">
        <f t="shared" si="5"/>
        <v>0.11690562122107014</v>
      </c>
      <c r="M11" s="140">
        <f t="shared" si="0"/>
        <v>4.9883452563686918E-2</v>
      </c>
      <c r="N11" s="140">
        <f t="shared" si="6"/>
        <v>0.28170449156096306</v>
      </c>
      <c r="O11" s="141">
        <f>K11*100/$I$27</f>
        <v>72.309700428685829</v>
      </c>
      <c r="P11" s="149">
        <f>L11*100/J27</f>
        <v>80.545868573440245</v>
      </c>
      <c r="Q11" s="149">
        <f>M11*100/K27</f>
        <v>84.604127146062424</v>
      </c>
      <c r="R11" s="143">
        <f t="shared" ref="R11:W11" si="11">_xlfn.STDEV.P(H10:H12)</f>
        <v>0.52257507378703749</v>
      </c>
      <c r="S11" s="143">
        <f t="shared" si="11"/>
        <v>0.10915092765532351</v>
      </c>
      <c r="T11" s="143">
        <f t="shared" si="11"/>
        <v>6.5298210222399053E-2</v>
      </c>
      <c r="U11" s="152">
        <f t="shared" si="11"/>
        <v>1.306437684467595E-2</v>
      </c>
      <c r="V11" s="152">
        <f t="shared" si="11"/>
        <v>2.7287731913830889E-3</v>
      </c>
      <c r="W11" s="152">
        <f t="shared" si="11"/>
        <v>1.6324552555599752E-3</v>
      </c>
      <c r="X11" s="73">
        <f>_xlfn.STDEV.P(O10:O12)</f>
        <v>8.2206652006061827</v>
      </c>
      <c r="Y11" s="73">
        <f>_xlfn.STDEV.P(P10:P12)</f>
        <v>1.8800756075213905</v>
      </c>
      <c r="Z11" s="73">
        <f>_xlfn.STDEV.P(Q10:Q12)</f>
        <v>2.768702744167999</v>
      </c>
    </row>
    <row r="12" spans="1:26" x14ac:dyDescent="0.3">
      <c r="A12" s="133">
        <v>46</v>
      </c>
      <c r="B12" s="133">
        <v>3</v>
      </c>
      <c r="C12" s="133">
        <v>25</v>
      </c>
      <c r="D12" s="34">
        <v>10.039999999999999</v>
      </c>
      <c r="E12" s="34">
        <v>65988</v>
      </c>
      <c r="F12" s="34">
        <v>88933</v>
      </c>
      <c r="G12" s="34">
        <v>33847</v>
      </c>
      <c r="H12" s="139">
        <f t="shared" si="1"/>
        <v>5.752326903173441</v>
      </c>
      <c r="I12" s="139">
        <f t="shared" si="2"/>
        <v>4.4193533918017103</v>
      </c>
      <c r="J12" s="140">
        <f t="shared" si="3"/>
        <v>2.1223769797394612</v>
      </c>
      <c r="K12" s="140">
        <f t="shared" si="4"/>
        <v>0.14380817257933604</v>
      </c>
      <c r="L12" s="140">
        <f t="shared" si="5"/>
        <v>0.11048383479504276</v>
      </c>
      <c r="M12" s="140">
        <f t="shared" si="0"/>
        <v>5.305942449348653E-2</v>
      </c>
      <c r="N12" s="140">
        <f t="shared" si="6"/>
        <v>0.30735143186786534</v>
      </c>
      <c r="O12" s="141">
        <f>K12*100/$I$27</f>
        <v>90.490258658413595</v>
      </c>
      <c r="P12" s="25">
        <f>L12*100/J27</f>
        <v>76.121373326121216</v>
      </c>
      <c r="Q12" s="25">
        <f>M12*100/K27</f>
        <v>89.990689606189633</v>
      </c>
      <c r="R12" s="33"/>
      <c r="S12" s="143"/>
      <c r="T12" s="143"/>
      <c r="U12" s="144"/>
      <c r="V12" s="144"/>
      <c r="W12" s="144"/>
      <c r="X12" s="33"/>
      <c r="Y12" s="73"/>
      <c r="Z12" s="73"/>
    </row>
    <row r="13" spans="1:26" x14ac:dyDescent="0.3">
      <c r="A13" s="132">
        <v>59</v>
      </c>
      <c r="B13" s="27">
        <v>3</v>
      </c>
      <c r="C13" s="27">
        <v>25</v>
      </c>
      <c r="D13" s="32">
        <v>9.93</v>
      </c>
      <c r="E13" s="32">
        <v>63678</v>
      </c>
      <c r="F13" s="32">
        <v>89449</v>
      </c>
      <c r="G13" s="32">
        <v>33038</v>
      </c>
      <c r="H13" s="139">
        <f t="shared" si="1"/>
        <v>5.5523800379989945</v>
      </c>
      <c r="I13" s="139">
        <f t="shared" si="2"/>
        <v>4.4437677723198918</v>
      </c>
      <c r="J13" s="140">
        <f t="shared" si="3"/>
        <v>2.0728232422041115</v>
      </c>
      <c r="K13" s="140">
        <f t="shared" si="4"/>
        <v>0.13880950094997488</v>
      </c>
      <c r="L13" s="140">
        <f t="shared" si="5"/>
        <v>0.1110941943079973</v>
      </c>
      <c r="M13" s="140">
        <f t="shared" si="0"/>
        <v>5.1820581055102788E-2</v>
      </c>
      <c r="N13" s="140">
        <f t="shared" si="6"/>
        <v>0.30172427631307497</v>
      </c>
      <c r="O13" s="141">
        <f>K13*100/$I$28</f>
        <v>80.046115435311179</v>
      </c>
      <c r="P13" s="6">
        <f>L13*100/J28</f>
        <v>85.620986484791089</v>
      </c>
      <c r="Q13" s="6">
        <f>M13*100/K28</f>
        <v>90.765425911375218</v>
      </c>
      <c r="R13" s="21">
        <f t="shared" ref="R13:W13" si="12">AVERAGE(H13:H15)</f>
        <v>5.5466961227840779</v>
      </c>
      <c r="S13" s="21">
        <f t="shared" si="12"/>
        <v>4.1568199434130539</v>
      </c>
      <c r="T13" s="21">
        <f t="shared" si="12"/>
        <v>1.9374335291439937</v>
      </c>
      <c r="U13" s="23">
        <f t="shared" si="12"/>
        <v>0.13866740306960199</v>
      </c>
      <c r="V13" s="23">
        <f t="shared" si="12"/>
        <v>0.10392049858532633</v>
      </c>
      <c r="W13" s="23">
        <f t="shared" si="12"/>
        <v>4.8435838228599849E-2</v>
      </c>
      <c r="X13" s="70">
        <f>AVERAGE(O13:O15)</f>
        <v>79.964173037581915</v>
      </c>
      <c r="Y13" s="70">
        <f>AVERAGE(P13:P15)</f>
        <v>80.092174575737104</v>
      </c>
      <c r="Z13" s="70">
        <f>AVERAGE(Q13:Q15)</f>
        <v>84.836939236914034</v>
      </c>
    </row>
    <row r="14" spans="1:26" x14ac:dyDescent="0.3">
      <c r="A14" s="132">
        <v>60</v>
      </c>
      <c r="B14" s="27">
        <v>0</v>
      </c>
      <c r="C14" s="27">
        <v>25</v>
      </c>
      <c r="D14" s="32">
        <v>10.09</v>
      </c>
      <c r="E14" s="32">
        <v>54420</v>
      </c>
      <c r="F14" s="32">
        <v>88382</v>
      </c>
      <c r="G14" s="32">
        <v>32056</v>
      </c>
      <c r="H14" s="139">
        <f t="shared" si="1"/>
        <v>4.7510345497803677</v>
      </c>
      <c r="I14" s="139">
        <f t="shared" si="2"/>
        <v>4.3932829971010952</v>
      </c>
      <c r="J14" s="140">
        <f t="shared" si="3"/>
        <v>2.0126727227236247</v>
      </c>
      <c r="K14" s="140">
        <f t="shared" si="4"/>
        <v>0.1187758637445092</v>
      </c>
      <c r="L14" s="140">
        <f t="shared" si="5"/>
        <v>0.10983207492752738</v>
      </c>
      <c r="M14" s="140">
        <f t="shared" si="0"/>
        <v>5.0316818068090616E-2</v>
      </c>
      <c r="N14" s="140">
        <f t="shared" si="6"/>
        <v>0.27892475674012718</v>
      </c>
      <c r="O14" s="141">
        <f>K14*100/$I$28</f>
        <v>68.493485209259333</v>
      </c>
      <c r="P14" s="6">
        <f>L14*100/J28</f>
        <v>84.648263228724147</v>
      </c>
      <c r="Q14" s="6">
        <f>M14*100/K28</f>
        <v>88.131536340727834</v>
      </c>
      <c r="R14" s="36">
        <f t="shared" ref="R14:W14" si="13">_xlfn.STDEV.P(H13:H15)</f>
        <v>0.64734698203575203</v>
      </c>
      <c r="S14" s="36">
        <f t="shared" si="13"/>
        <v>0.37068080801527531</v>
      </c>
      <c r="T14" s="36">
        <f t="shared" si="13"/>
        <v>0.15094794573546427</v>
      </c>
      <c r="U14" s="37">
        <f t="shared" si="13"/>
        <v>1.6183674550893718E-2</v>
      </c>
      <c r="V14" s="13">
        <f t="shared" si="13"/>
        <v>9.2670202003818872E-3</v>
      </c>
      <c r="W14" s="13">
        <f t="shared" si="13"/>
        <v>3.773698643386606E-3</v>
      </c>
      <c r="X14" s="141">
        <f>_xlfn.STDEV.P(O13:O15)</f>
        <v>9.3325044208264298</v>
      </c>
      <c r="Y14" s="141">
        <f>_xlfn.STDEV.P(P13:P15)</f>
        <v>7.1421501031045844</v>
      </c>
      <c r="Z14" s="141">
        <f>_xlfn.STDEV.P(Q13:Q15)</f>
        <v>6.6097553839457808</v>
      </c>
    </row>
    <row r="15" spans="1:26" x14ac:dyDescent="0.3">
      <c r="A15" s="132">
        <v>61</v>
      </c>
      <c r="B15" s="27">
        <v>5</v>
      </c>
      <c r="C15" s="27">
        <v>25</v>
      </c>
      <c r="D15" s="32">
        <v>9.9700000000000006</v>
      </c>
      <c r="E15" s="32">
        <v>72739</v>
      </c>
      <c r="F15" s="32">
        <v>72322</v>
      </c>
      <c r="G15" s="32">
        <v>27389</v>
      </c>
      <c r="H15" s="139">
        <f t="shared" si="1"/>
        <v>6.3366737805728732</v>
      </c>
      <c r="I15" s="139">
        <f t="shared" si="2"/>
        <v>3.6334090608181744</v>
      </c>
      <c r="J15" s="140">
        <f t="shared" si="3"/>
        <v>1.7268046225042455</v>
      </c>
      <c r="K15" s="140">
        <f t="shared" si="4"/>
        <v>0.15841684451432184</v>
      </c>
      <c r="L15" s="140">
        <f t="shared" si="5"/>
        <v>9.0835226520454351E-2</v>
      </c>
      <c r="M15" s="140">
        <f t="shared" si="0"/>
        <v>4.3170115562606137E-2</v>
      </c>
      <c r="N15" s="140">
        <f t="shared" si="6"/>
        <v>0.29242218659738234</v>
      </c>
      <c r="O15" s="141">
        <f>K15*100/$I$28</f>
        <v>91.352918468175233</v>
      </c>
      <c r="P15" s="6">
        <f>L15*100/J28</f>
        <v>70.007274013696048</v>
      </c>
      <c r="Q15" s="6">
        <f>M15*100/K28</f>
        <v>75.61385545863908</v>
      </c>
      <c r="S15" s="36"/>
      <c r="T15" s="36"/>
      <c r="U15" s="37"/>
      <c r="V15" s="37"/>
      <c r="W15" s="37"/>
      <c r="X15" s="33"/>
      <c r="Y15" s="141"/>
      <c r="Z15" s="141"/>
    </row>
    <row r="16" spans="1:26" x14ac:dyDescent="0.3">
      <c r="B16" s="27"/>
      <c r="C16" s="27"/>
      <c r="D16" s="32"/>
      <c r="E16" s="32"/>
      <c r="F16" s="32"/>
      <c r="G16" s="32"/>
      <c r="H16" s="15"/>
      <c r="I16" s="15"/>
      <c r="J16" s="14"/>
      <c r="K16" s="14"/>
      <c r="L16" s="14"/>
      <c r="M16" s="14"/>
      <c r="N16" s="14"/>
      <c r="O16" s="6"/>
      <c r="P16" s="6"/>
      <c r="Q16" s="6"/>
    </row>
    <row r="17" spans="1:15" x14ac:dyDescent="0.3">
      <c r="B17" s="27"/>
      <c r="C17" s="27"/>
      <c r="D17" s="32"/>
      <c r="E17" s="32"/>
      <c r="F17" s="32"/>
      <c r="G17" s="32"/>
      <c r="H17" s="15"/>
      <c r="I17" s="15"/>
      <c r="J17" s="14"/>
      <c r="K17" s="14"/>
      <c r="L17" s="14"/>
      <c r="M17" s="14"/>
      <c r="N17" s="14"/>
      <c r="O17" s="6"/>
    </row>
    <row r="18" spans="1:15" x14ac:dyDescent="0.3">
      <c r="A18" t="s">
        <v>68</v>
      </c>
      <c r="B18" s="27"/>
      <c r="C18" s="27"/>
      <c r="D18" s="32"/>
      <c r="E18" s="32"/>
      <c r="F18" s="32"/>
      <c r="G18" s="32"/>
      <c r="H18" s="15"/>
      <c r="I18" s="15"/>
      <c r="J18" s="14"/>
      <c r="K18" s="14"/>
      <c r="L18" s="14"/>
      <c r="M18" s="14"/>
      <c r="N18" s="14"/>
    </row>
    <row r="19" spans="1:15" x14ac:dyDescent="0.3">
      <c r="A19" t="s">
        <v>69</v>
      </c>
      <c r="B19" s="27">
        <v>3</v>
      </c>
      <c r="C19" s="27">
        <v>23</v>
      </c>
      <c r="D19">
        <v>0</v>
      </c>
      <c r="E19" s="32">
        <v>147929</v>
      </c>
      <c r="F19" s="32">
        <v>152445</v>
      </c>
      <c r="G19" s="32">
        <v>55391</v>
      </c>
      <c r="H19" s="15">
        <f t="shared" ref="H19:J20" si="14">(E19-$D$25)/$D$24</f>
        <v>12.844900963458867</v>
      </c>
      <c r="I19" s="15">
        <f t="shared" si="14"/>
        <v>13.235792757020686</v>
      </c>
      <c r="J19" s="15">
        <f t="shared" si="14"/>
        <v>4.8350814788212277</v>
      </c>
      <c r="K19" s="14">
        <f>H19*$C$19/1000</f>
        <v>0.29543272215955396</v>
      </c>
      <c r="L19" s="14">
        <f>I19*$C$19/1000</f>
        <v>0.30442323341147581</v>
      </c>
      <c r="M19" s="14">
        <f>J19*$C$19/1000</f>
        <v>0.11120687401288823</v>
      </c>
      <c r="N19" s="14">
        <f>SUM(K19:M19)</f>
        <v>0.71106282958391798</v>
      </c>
    </row>
    <row r="20" spans="1:15" x14ac:dyDescent="0.3">
      <c r="A20" t="s">
        <v>70</v>
      </c>
      <c r="B20" s="28">
        <v>5</v>
      </c>
      <c r="C20" s="28">
        <v>25</v>
      </c>
      <c r="D20">
        <v>0</v>
      </c>
      <c r="E20" s="32">
        <v>252511</v>
      </c>
      <c r="F20" s="32">
        <v>254482</v>
      </c>
      <c r="G20" s="32">
        <v>98912</v>
      </c>
      <c r="H20" s="15">
        <f t="shared" si="14"/>
        <v>21.897213973707345</v>
      </c>
      <c r="I20" s="15">
        <f t="shared" si="14"/>
        <v>22.067817987239309</v>
      </c>
      <c r="J20" s="15">
        <f t="shared" si="14"/>
        <v>8.602132352958499</v>
      </c>
      <c r="K20" s="14">
        <f>H20*C21/1000</f>
        <v>0</v>
      </c>
      <c r="L20" s="14">
        <f>I20*C21/1000</f>
        <v>0</v>
      </c>
      <c r="M20" s="14">
        <f>J20*C21/1000</f>
        <v>0</v>
      </c>
      <c r="N20" s="14">
        <f>SUM(K20:M20)</f>
        <v>0</v>
      </c>
    </row>
    <row r="21" spans="1:15" x14ac:dyDescent="0.3">
      <c r="B21" s="28"/>
      <c r="C21" s="28"/>
      <c r="D21" s="32"/>
      <c r="E21" s="32"/>
      <c r="F21" s="32"/>
      <c r="G21" s="32"/>
    </row>
    <row r="23" spans="1:15" x14ac:dyDescent="0.3">
      <c r="D23" t="s">
        <v>17</v>
      </c>
      <c r="E23" t="s">
        <v>18</v>
      </c>
      <c r="F23" t="s">
        <v>19</v>
      </c>
      <c r="I23" s="61"/>
      <c r="J23" s="62" t="s">
        <v>49</v>
      </c>
      <c r="K23" s="63"/>
    </row>
    <row r="24" spans="1:15" x14ac:dyDescent="0.3">
      <c r="C24" t="s">
        <v>21</v>
      </c>
      <c r="D24" s="5">
        <f>Standards!$H$3</f>
        <v>11553.069351623019</v>
      </c>
      <c r="E24" s="5">
        <f>Standards!$I$3</f>
        <v>21135.084693864865</v>
      </c>
      <c r="F24" s="5">
        <f>Standards!$J$3</f>
        <v>16325.711040925786</v>
      </c>
      <c r="H24" s="54"/>
      <c r="I24" s="52" t="s">
        <v>17</v>
      </c>
      <c r="J24" s="52" t="s">
        <v>18</v>
      </c>
      <c r="K24" s="55" t="s">
        <v>19</v>
      </c>
    </row>
    <row r="25" spans="1:15" x14ac:dyDescent="0.3">
      <c r="C25" t="s">
        <v>22</v>
      </c>
      <c r="D25" s="5">
        <f>Standards!$H$4</f>
        <v>-469.0316455696302</v>
      </c>
      <c r="E25" s="5">
        <f>Standards!$I$4</f>
        <v>-4470.4082278481073</v>
      </c>
      <c r="F25" s="5">
        <f>Standards!$J$4</f>
        <v>-802.31329113924585</v>
      </c>
      <c r="H25" s="124" t="s">
        <v>64</v>
      </c>
      <c r="I25" s="56">
        <v>0.21564118633641274</v>
      </c>
      <c r="J25" s="56">
        <v>0.14688532621299763</v>
      </c>
      <c r="K25" s="57">
        <v>6.9819165751716872E-2</v>
      </c>
    </row>
    <row r="26" spans="1:15" x14ac:dyDescent="0.3">
      <c r="H26" s="124" t="s">
        <v>65</v>
      </c>
      <c r="I26" s="56">
        <v>0.23110396578385498</v>
      </c>
      <c r="J26" s="56">
        <v>0.15347956796649107</v>
      </c>
      <c r="K26" s="57">
        <v>7.2511703838736799E-2</v>
      </c>
    </row>
    <row r="27" spans="1:15" x14ac:dyDescent="0.3">
      <c r="C27" t="s">
        <v>24</v>
      </c>
      <c r="H27" s="124" t="s">
        <v>66</v>
      </c>
      <c r="I27" s="56">
        <v>0.15892116423513511</v>
      </c>
      <c r="J27" s="56">
        <v>0.14514167305114817</v>
      </c>
      <c r="K27" s="57">
        <v>5.8961015551365507E-2</v>
      </c>
    </row>
    <row r="28" spans="1:15" x14ac:dyDescent="0.3">
      <c r="C28" t="s">
        <v>31</v>
      </c>
      <c r="H28" s="125" t="s">
        <v>67</v>
      </c>
      <c r="I28" s="59">
        <v>0.17341191411362492</v>
      </c>
      <c r="J28" s="59">
        <v>0.12975112629393851</v>
      </c>
      <c r="K28" s="60">
        <v>5.7092863868342579E-2</v>
      </c>
    </row>
    <row r="29" spans="1:15" x14ac:dyDescent="0.3">
      <c r="C29" t="s">
        <v>32</v>
      </c>
      <c r="I29" s="21"/>
      <c r="J29" s="21"/>
      <c r="K29" s="21"/>
    </row>
  </sheetData>
  <mergeCells count="7">
    <mergeCell ref="X2:Z2"/>
    <mergeCell ref="E2:G2"/>
    <mergeCell ref="H2:J2"/>
    <mergeCell ref="K2:N2"/>
    <mergeCell ref="R2:T2"/>
    <mergeCell ref="O2:Q2"/>
    <mergeCell ref="U2:W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418E7-6531-48CA-B0EB-E305B407E650}">
  <dimension ref="A1:Z29"/>
  <sheetViews>
    <sheetView zoomScale="80" zoomScaleNormal="80" workbookViewId="0">
      <selection activeCell="X14" activeCellId="3" sqref="X5:Z5 X8:Z8 X11:Z11 X14:Z14"/>
    </sheetView>
  </sheetViews>
  <sheetFormatPr defaultRowHeight="14.4" x14ac:dyDescent="0.3"/>
  <cols>
    <col min="2" max="2" width="9.77734375" customWidth="1"/>
    <col min="3" max="3" width="10.88671875" customWidth="1"/>
    <col min="4" max="4" width="9.88671875" customWidth="1"/>
    <col min="15" max="15" width="6.21875" customWidth="1"/>
    <col min="16" max="16" width="6.6640625" customWidth="1"/>
    <col min="17" max="17" width="6.88671875" customWidth="1"/>
  </cols>
  <sheetData>
    <row r="1" spans="1:26" x14ac:dyDescent="0.3">
      <c r="A1" s="9" t="s">
        <v>76</v>
      </c>
      <c r="B1" s="9"/>
      <c r="C1" s="9"/>
    </row>
    <row r="2" spans="1:26" x14ac:dyDescent="0.3">
      <c r="E2" s="245" t="s">
        <v>10</v>
      </c>
      <c r="F2" s="245"/>
      <c r="G2" s="245"/>
      <c r="H2" s="247" t="s">
        <v>75</v>
      </c>
      <c r="I2" s="247"/>
      <c r="J2" s="247"/>
      <c r="K2" s="248" t="s">
        <v>23</v>
      </c>
      <c r="L2" s="248"/>
      <c r="M2" s="248"/>
      <c r="N2" s="248"/>
      <c r="O2" s="250" t="s">
        <v>48</v>
      </c>
      <c r="P2" s="250"/>
      <c r="Q2" s="250"/>
      <c r="R2" s="249" t="s">
        <v>27</v>
      </c>
      <c r="S2" s="249"/>
      <c r="T2" s="249"/>
      <c r="U2" s="251" t="s">
        <v>28</v>
      </c>
      <c r="V2" s="251"/>
      <c r="W2" s="252"/>
      <c r="X2" s="246" t="s">
        <v>48</v>
      </c>
      <c r="Y2" s="246"/>
      <c r="Z2" s="246"/>
    </row>
    <row r="3" spans="1:26" x14ac:dyDescent="0.3">
      <c r="A3" t="s">
        <v>1</v>
      </c>
      <c r="B3" t="s">
        <v>11</v>
      </c>
      <c r="C3" t="s">
        <v>30</v>
      </c>
      <c r="D3" t="s">
        <v>13</v>
      </c>
      <c r="E3" s="138" t="s">
        <v>17</v>
      </c>
      <c r="F3" s="138" t="s">
        <v>18</v>
      </c>
      <c r="G3" s="138" t="s">
        <v>19</v>
      </c>
      <c r="H3" s="138" t="s">
        <v>17</v>
      </c>
      <c r="I3" s="138" t="s">
        <v>18</v>
      </c>
      <c r="J3" s="138" t="s">
        <v>19</v>
      </c>
      <c r="K3" s="138" t="s">
        <v>17</v>
      </c>
      <c r="L3" s="138" t="s">
        <v>18</v>
      </c>
      <c r="M3" s="138" t="s">
        <v>19</v>
      </c>
      <c r="N3" s="138" t="s">
        <v>20</v>
      </c>
      <c r="O3" t="s">
        <v>17</v>
      </c>
      <c r="P3" t="s">
        <v>18</v>
      </c>
      <c r="Q3" t="s">
        <v>19</v>
      </c>
      <c r="R3" s="138" t="s">
        <v>17</v>
      </c>
      <c r="S3" s="138" t="s">
        <v>18</v>
      </c>
      <c r="T3" s="138" t="s">
        <v>19</v>
      </c>
      <c r="U3" s="138" t="s">
        <v>17</v>
      </c>
      <c r="V3" s="138" t="s">
        <v>18</v>
      </c>
      <c r="W3" s="138" t="s">
        <v>19</v>
      </c>
      <c r="X3" s="43" t="s">
        <v>17</v>
      </c>
      <c r="Y3" s="43" t="s">
        <v>18</v>
      </c>
      <c r="Z3" s="43" t="s">
        <v>19</v>
      </c>
    </row>
    <row r="4" spans="1:26" x14ac:dyDescent="0.3">
      <c r="A4" s="18">
        <v>7</v>
      </c>
      <c r="B4" s="18">
        <v>3</v>
      </c>
      <c r="C4" s="18">
        <v>23</v>
      </c>
      <c r="D4" s="101">
        <v>10.199999999999999</v>
      </c>
      <c r="E4" s="101">
        <v>126642</v>
      </c>
      <c r="F4" s="101">
        <v>108803</v>
      </c>
      <c r="G4" s="101">
        <v>52482</v>
      </c>
      <c r="H4" s="139">
        <f>(E4-$D$25)/$D$24</f>
        <v>10.873473845158971</v>
      </c>
      <c r="I4" s="139">
        <f>(F4-$E$25)/$E$24</f>
        <v>5.3146638973962803</v>
      </c>
      <c r="J4" s="140">
        <f>(G4-$F$25)/$F$24</f>
        <v>3.3577559307091063</v>
      </c>
      <c r="K4" s="140">
        <f>H4*C4/1000</f>
        <v>0.25008989843865631</v>
      </c>
      <c r="L4" s="140">
        <f>I4*C4/1000</f>
        <v>0.12223726964011444</v>
      </c>
      <c r="M4" s="140">
        <f t="shared" ref="M4:M15" si="0">J4*C4/1000</f>
        <v>7.7228386406309441E-2</v>
      </c>
      <c r="N4" s="140">
        <f>SUM(K4:M4)</f>
        <v>0.44955555448508022</v>
      </c>
      <c r="O4" s="141">
        <f>K4*100/$I$25</f>
        <v>115.97501511075049</v>
      </c>
      <c r="P4" s="141">
        <f>L4*100/J25</f>
        <v>83.219524231344138</v>
      </c>
      <c r="Q4" s="141">
        <f>M4*100/K25</f>
        <v>110.61201544707711</v>
      </c>
      <c r="R4" s="142">
        <f>AVERAGE(H4:H6)</f>
        <v>11.345932624617811</v>
      </c>
      <c r="S4" s="142">
        <f>AVERAGE(I4:I6)</f>
        <v>5.5104127570552306</v>
      </c>
      <c r="T4" s="142">
        <f>AVERAGE(J4:J6)</f>
        <v>3.418478487988871</v>
      </c>
      <c r="U4" s="56">
        <v>0.23524320918646022</v>
      </c>
      <c r="V4" s="56">
        <f>AVERAGE(L4:L6)</f>
        <v>0.12673949341227028</v>
      </c>
      <c r="W4" s="56">
        <f>AVERAGE(M4:M6)</f>
        <v>7.8625005223744035E-2</v>
      </c>
      <c r="X4" s="70">
        <f>AVERAGE(O4:O6)</f>
        <v>121.01419714836038</v>
      </c>
      <c r="Y4" s="70">
        <f>AVERAGE(P4:P6)</f>
        <v>86.284652578900918</v>
      </c>
      <c r="Z4" s="70">
        <f>AVERAGE(Q4:Q6)</f>
        <v>112.61235275044895</v>
      </c>
    </row>
    <row r="5" spans="1:26" x14ac:dyDescent="0.3">
      <c r="A5" s="18">
        <v>8</v>
      </c>
      <c r="B5" s="18">
        <v>3</v>
      </c>
      <c r="C5" s="18">
        <v>23</v>
      </c>
      <c r="D5" s="101">
        <v>10</v>
      </c>
      <c r="E5" s="101">
        <v>135515</v>
      </c>
      <c r="F5" s="101">
        <v>114468</v>
      </c>
      <c r="G5" s="101">
        <v>53625</v>
      </c>
      <c r="H5" s="139">
        <f t="shared" ref="H5:H15" si="1">(E5-$D$25)/$D$24</f>
        <v>11.628086844703846</v>
      </c>
      <c r="I5" s="139">
        <f t="shared" ref="I5:I15" si="2">(F5-$E$25)/$E$24</f>
        <v>5.5759750174892702</v>
      </c>
      <c r="J5" s="140">
        <f t="shared" ref="J5:J15" si="3">(G5-$F$25)/$F$24</f>
        <v>3.4294315413501781</v>
      </c>
      <c r="K5" s="140">
        <f t="shared" ref="K5:K15" si="4">H5*C5/1000</f>
        <v>0.26744599742818842</v>
      </c>
      <c r="L5" s="140">
        <f t="shared" ref="L5:L15" si="5">I5*C5/1000</f>
        <v>0.1282474254022532</v>
      </c>
      <c r="M5" s="140">
        <f t="shared" si="0"/>
        <v>7.8876925451054097E-2</v>
      </c>
      <c r="N5" s="140">
        <f t="shared" ref="N5:N15" si="6">SUM(K5:M5)</f>
        <v>0.47457034828149569</v>
      </c>
      <c r="O5" s="141">
        <f>K5*100/$I$25</f>
        <v>124.02361625434446</v>
      </c>
      <c r="P5" s="141">
        <f>L5*100/J25</f>
        <v>87.3112575018435</v>
      </c>
      <c r="Q5" s="141">
        <f>M5*100/K25</f>
        <v>112.9731709077525</v>
      </c>
      <c r="R5" s="143">
        <f t="shared" ref="R5:W5" si="7">_xlfn.STDEV.P(H4:H6)</f>
        <v>0.33617660414241329</v>
      </c>
      <c r="S5" s="143">
        <f t="shared" si="7"/>
        <v>0.14090727053485391</v>
      </c>
      <c r="T5" s="143">
        <f t="shared" si="7"/>
        <v>4.5768263607072229E-2</v>
      </c>
      <c r="U5" s="144">
        <f t="shared" si="7"/>
        <v>7.7320618952755145E-3</v>
      </c>
      <c r="V5" s="144">
        <f t="shared" si="7"/>
        <v>3.2408672223016399E-3</v>
      </c>
      <c r="W5" s="144">
        <f t="shared" si="7"/>
        <v>1.052670062962668E-3</v>
      </c>
      <c r="X5" s="73">
        <f>_xlfn.STDEV.P(O4:O6)</f>
        <v>3.5856146159449609</v>
      </c>
      <c r="Y5" s="73">
        <f>_xlfn.STDEV.P(P4:P6)</f>
        <v>2.2063927730957071</v>
      </c>
      <c r="Z5" s="73">
        <f>_xlfn.STDEV.P(Q4:Q6)</f>
        <v>1.5077093110881004</v>
      </c>
    </row>
    <row r="6" spans="1:26" x14ac:dyDescent="0.3">
      <c r="A6" s="136">
        <v>9</v>
      </c>
      <c r="B6" s="136">
        <v>3</v>
      </c>
      <c r="C6" s="136">
        <v>23</v>
      </c>
      <c r="D6" s="34">
        <v>10.06</v>
      </c>
      <c r="E6" s="34">
        <v>134435</v>
      </c>
      <c r="F6" s="34">
        <v>115869</v>
      </c>
      <c r="G6" s="34">
        <v>54244</v>
      </c>
      <c r="H6" s="139">
        <f t="shared" si="1"/>
        <v>11.53623718399062</v>
      </c>
      <c r="I6" s="139">
        <f t="shared" si="2"/>
        <v>5.6405993562801404</v>
      </c>
      <c r="J6" s="140">
        <f t="shared" si="3"/>
        <v>3.468247991907329</v>
      </c>
      <c r="K6" s="140">
        <f t="shared" si="4"/>
        <v>0.26533345523178431</v>
      </c>
      <c r="L6" s="140">
        <f t="shared" si="5"/>
        <v>0.12973378519444323</v>
      </c>
      <c r="M6" s="140">
        <f t="shared" si="0"/>
        <v>7.9769703813868581E-2</v>
      </c>
      <c r="N6" s="140">
        <f t="shared" si="6"/>
        <v>0.47483694424009615</v>
      </c>
      <c r="O6" s="141">
        <f>K6*100/$I$25</f>
        <v>123.04396007998619</v>
      </c>
      <c r="P6" s="65">
        <f>L6*100/J25</f>
        <v>88.323176003515115</v>
      </c>
      <c r="Q6" s="65">
        <f>M6*100/K25</f>
        <v>114.25187189651722</v>
      </c>
      <c r="R6" s="145"/>
      <c r="S6" s="145"/>
      <c r="T6" s="145"/>
      <c r="U6" s="46"/>
      <c r="V6" s="46"/>
      <c r="W6" s="46"/>
      <c r="X6" s="33"/>
      <c r="Y6" s="33"/>
      <c r="Z6" s="33"/>
    </row>
    <row r="7" spans="1:26" x14ac:dyDescent="0.3">
      <c r="A7" s="137">
        <v>22</v>
      </c>
      <c r="B7" s="137">
        <v>3</v>
      </c>
      <c r="C7" s="137">
        <v>23</v>
      </c>
      <c r="D7" s="146">
        <v>10</v>
      </c>
      <c r="E7" s="146">
        <v>130497</v>
      </c>
      <c r="F7" s="146">
        <v>111876</v>
      </c>
      <c r="G7" s="146">
        <v>52712</v>
      </c>
      <c r="H7" s="139">
        <f t="shared" si="1"/>
        <v>11.201326106315907</v>
      </c>
      <c r="I7" s="139">
        <f t="shared" si="2"/>
        <v>5.4564130716320722</v>
      </c>
      <c r="J7" s="140">
        <f t="shared" si="3"/>
        <v>3.3721788444863998</v>
      </c>
      <c r="K7" s="140">
        <f t="shared" si="4"/>
        <v>0.25763050044526586</v>
      </c>
      <c r="L7" s="140">
        <f t="shared" si="5"/>
        <v>0.12549750064753767</v>
      </c>
      <c r="M7" s="140">
        <f t="shared" si="0"/>
        <v>7.7560113423187194E-2</v>
      </c>
      <c r="N7" s="140">
        <f t="shared" si="6"/>
        <v>0.46068811451599073</v>
      </c>
      <c r="O7" s="141">
        <f>K7*100/$I$26</f>
        <v>111.47818237192018</v>
      </c>
      <c r="P7" s="26">
        <f>L7*100/J26</f>
        <v>81.768213391724785</v>
      </c>
      <c r="Q7" s="26">
        <f>M7*100/K26</f>
        <v>106.96219964114739</v>
      </c>
      <c r="R7" s="147">
        <f t="shared" ref="R7:W7" si="8">AVERAGE(H7:H9)</f>
        <v>11.603735345150556</v>
      </c>
      <c r="S7" s="147">
        <f t="shared" si="8"/>
        <v>5.6012066472670048</v>
      </c>
      <c r="T7" s="147">
        <f t="shared" si="8"/>
        <v>3.4820856280240946</v>
      </c>
      <c r="U7" s="148">
        <f t="shared" si="8"/>
        <v>0.26688591293846281</v>
      </c>
      <c r="V7" s="148">
        <f t="shared" si="8"/>
        <v>0.1288277528871411</v>
      </c>
      <c r="W7" s="148">
        <f t="shared" si="8"/>
        <v>8.0087969444554194E-2</v>
      </c>
      <c r="X7" s="70">
        <f>AVERAGE(O7:O9)</f>
        <v>115.48305198192647</v>
      </c>
      <c r="Y7" s="70">
        <f>AVERAGE(P7:P9)</f>
        <v>83.938047646360246</v>
      </c>
      <c r="Z7" s="70">
        <f>AVERAGE(Q7:Q9)</f>
        <v>110.44833482697732</v>
      </c>
    </row>
    <row r="8" spans="1:26" x14ac:dyDescent="0.3">
      <c r="A8" s="18">
        <v>23</v>
      </c>
      <c r="B8" s="18">
        <v>3</v>
      </c>
      <c r="C8" s="18">
        <v>23</v>
      </c>
      <c r="D8" s="101">
        <v>9.9700000000000006</v>
      </c>
      <c r="E8" s="101">
        <v>139757</v>
      </c>
      <c r="F8" s="101">
        <v>118503</v>
      </c>
      <c r="G8" s="101">
        <v>56209</v>
      </c>
      <c r="H8" s="139">
        <f t="shared" si="1"/>
        <v>11.98885190094969</v>
      </c>
      <c r="I8" s="139">
        <f t="shared" si="2"/>
        <v>5.7620986484822465</v>
      </c>
      <c r="J8" s="140">
        <f t="shared" si="3"/>
        <v>3.5914698422220326</v>
      </c>
      <c r="K8" s="140">
        <f t="shared" si="4"/>
        <v>0.27574359372184287</v>
      </c>
      <c r="L8" s="140">
        <f t="shared" si="5"/>
        <v>0.13252826891509167</v>
      </c>
      <c r="M8" s="140">
        <f t="shared" si="0"/>
        <v>8.2603806371106744E-2</v>
      </c>
      <c r="N8" s="140">
        <f t="shared" si="6"/>
        <v>0.4908756690080413</v>
      </c>
      <c r="O8" s="141">
        <f>K8*100/$I$26</f>
        <v>119.31582081968168</v>
      </c>
      <c r="P8" s="149">
        <f>L8*100/J26</f>
        <v>86.349128207102041</v>
      </c>
      <c r="Q8" s="149">
        <f>M8*100/K26</f>
        <v>113.91789462679624</v>
      </c>
      <c r="R8" s="143">
        <f t="shared" ref="R8:W8" si="9">_xlfn.STDEV.P(H7:H9)</f>
        <v>0.32173850351729016</v>
      </c>
      <c r="S8" s="143">
        <f t="shared" si="9"/>
        <v>0.12531370622875357</v>
      </c>
      <c r="T8" s="143">
        <f t="shared" si="9"/>
        <v>8.952593751164506E-2</v>
      </c>
      <c r="U8" s="144">
        <f t="shared" si="9"/>
        <v>7.3999855808976715E-3</v>
      </c>
      <c r="V8" s="144">
        <f t="shared" si="9"/>
        <v>2.8822152432613291E-3</v>
      </c>
      <c r="W8" s="144">
        <f t="shared" si="9"/>
        <v>2.0590965627678352E-3</v>
      </c>
      <c r="X8" s="73">
        <f>_xlfn.STDEV.P(O7:O9)</f>
        <v>3.2020158355130346</v>
      </c>
      <c r="Y8" s="73">
        <f>_xlfn.STDEV.P(P7:P9)</f>
        <v>1.8779146185051783</v>
      </c>
      <c r="Z8" s="73">
        <f>_xlfn.STDEV.P(Q7:Q9)</f>
        <v>2.8396747749124596</v>
      </c>
    </row>
    <row r="9" spans="1:26" x14ac:dyDescent="0.3">
      <c r="A9" s="136">
        <v>24</v>
      </c>
      <c r="B9" s="136">
        <v>3</v>
      </c>
      <c r="C9" s="150">
        <v>23</v>
      </c>
      <c r="D9" s="34">
        <v>10</v>
      </c>
      <c r="E9" s="151">
        <v>135432</v>
      </c>
      <c r="F9" s="151">
        <v>114666</v>
      </c>
      <c r="G9" s="34">
        <v>54473</v>
      </c>
      <c r="H9" s="139">
        <f t="shared" si="1"/>
        <v>11.621028028186071</v>
      </c>
      <c r="I9" s="139">
        <f t="shared" si="2"/>
        <v>5.5851082216866947</v>
      </c>
      <c r="J9" s="140">
        <f t="shared" si="3"/>
        <v>3.4826081973638519</v>
      </c>
      <c r="K9" s="140">
        <f t="shared" si="4"/>
        <v>0.26728364464827964</v>
      </c>
      <c r="L9" s="140">
        <f t="shared" si="5"/>
        <v>0.12845748909879398</v>
      </c>
      <c r="M9" s="140">
        <f t="shared" si="0"/>
        <v>8.0099988539368602E-2</v>
      </c>
      <c r="N9" s="140">
        <f t="shared" si="6"/>
        <v>0.47584112228644226</v>
      </c>
      <c r="O9" s="141">
        <f>K9*100/$I$26</f>
        <v>115.65515275417754</v>
      </c>
      <c r="P9" s="25">
        <f>L9*100/J26</f>
        <v>83.696801340253899</v>
      </c>
      <c r="Q9" s="25">
        <f>M9*100/K26</f>
        <v>110.46491021298831</v>
      </c>
      <c r="R9" s="145"/>
      <c r="S9" s="145"/>
      <c r="T9" s="145"/>
      <c r="U9" s="46"/>
      <c r="V9" s="46"/>
      <c r="W9" s="46"/>
      <c r="X9" s="33"/>
      <c r="Y9" s="33"/>
      <c r="Z9" s="33"/>
    </row>
    <row r="10" spans="1:26" x14ac:dyDescent="0.3">
      <c r="A10" s="137">
        <v>47</v>
      </c>
      <c r="B10" s="137">
        <v>5</v>
      </c>
      <c r="C10" s="137">
        <v>25</v>
      </c>
      <c r="D10" s="146">
        <v>10.01</v>
      </c>
      <c r="E10" s="146">
        <v>78543</v>
      </c>
      <c r="F10" s="154">
        <v>93603</v>
      </c>
      <c r="G10" s="146">
        <v>35810</v>
      </c>
      <c r="H10" s="139">
        <f t="shared" si="1"/>
        <v>6.7828471501168135</v>
      </c>
      <c r="I10" s="139">
        <f t="shared" si="2"/>
        <v>4.6135290297151794</v>
      </c>
      <c r="J10" s="140">
        <f t="shared" si="3"/>
        <v>2.3122828068176382</v>
      </c>
      <c r="K10" s="140">
        <f t="shared" si="4"/>
        <v>0.16957117875292033</v>
      </c>
      <c r="L10" s="140">
        <f t="shared" si="5"/>
        <v>0.11533822574287948</v>
      </c>
      <c r="M10" s="140">
        <f t="shared" si="0"/>
        <v>5.7807070170440948E-2</v>
      </c>
      <c r="N10" s="140">
        <f t="shared" si="6"/>
        <v>0.34271647466624078</v>
      </c>
      <c r="O10" s="141">
        <f>K10*100/$I$27</f>
        <v>106.70144506494286</v>
      </c>
      <c r="P10" s="26">
        <f>L10*100/J27</f>
        <v>79.465961304052271</v>
      </c>
      <c r="Q10" s="26">
        <f>M10*100/K27</f>
        <v>98.04286718922053</v>
      </c>
      <c r="R10" s="142">
        <f t="shared" ref="R10:W10" si="10">AVERAGE(H10:H12)</f>
        <v>6.4282337532458991</v>
      </c>
      <c r="S10" s="142">
        <f t="shared" si="10"/>
        <v>4.5164003244708484</v>
      </c>
      <c r="T10" s="142">
        <f t="shared" si="10"/>
        <v>2.1721088071212171</v>
      </c>
      <c r="U10" s="56">
        <f t="shared" si="10"/>
        <v>0.16070584383114747</v>
      </c>
      <c r="V10" s="56">
        <f t="shared" si="10"/>
        <v>0.1129100081117712</v>
      </c>
      <c r="W10" s="56">
        <f t="shared" si="10"/>
        <v>5.4302720178030429E-2</v>
      </c>
      <c r="X10" s="153">
        <f>AVERAGE(O10:O12)</f>
        <v>101.12299680448591</v>
      </c>
      <c r="Y10" s="153">
        <f>AVERAGE(P10:P12)</f>
        <v>77.792963067182995</v>
      </c>
      <c r="Z10" s="153">
        <f>AVERAGE(Q10:Q12)</f>
        <v>92.099363740984302</v>
      </c>
    </row>
    <row r="11" spans="1:26" x14ac:dyDescent="0.3">
      <c r="A11" s="18">
        <v>48</v>
      </c>
      <c r="B11" s="18">
        <v>5</v>
      </c>
      <c r="C11" s="18">
        <v>25</v>
      </c>
      <c r="D11" s="101">
        <v>10.029999999999999</v>
      </c>
      <c r="E11" s="101">
        <v>65314</v>
      </c>
      <c r="F11" s="146">
        <v>100778</v>
      </c>
      <c r="G11" s="101">
        <v>34160</v>
      </c>
      <c r="H11" s="139">
        <f t="shared" si="1"/>
        <v>5.6577738523619177</v>
      </c>
      <c r="I11" s="139">
        <f t="shared" si="2"/>
        <v>4.9444923636370151</v>
      </c>
      <c r="J11" s="140">
        <f t="shared" si="3"/>
        <v>2.2088140775457501</v>
      </c>
      <c r="K11" s="140">
        <f t="shared" si="4"/>
        <v>0.14144434630904795</v>
      </c>
      <c r="L11" s="140">
        <f t="shared" si="5"/>
        <v>0.12361230909092538</v>
      </c>
      <c r="M11" s="140">
        <f t="shared" si="0"/>
        <v>5.5220351938643754E-2</v>
      </c>
      <c r="N11" s="140">
        <f t="shared" si="6"/>
        <v>0.32027700733861714</v>
      </c>
      <c r="O11" s="141">
        <f>K11*100/$I$27</f>
        <v>89.002837973028591</v>
      </c>
      <c r="P11" s="149">
        <f>L11*100/J27</f>
        <v>85.166655786973195</v>
      </c>
      <c r="Q11" s="149">
        <f>M11*100/K27</f>
        <v>93.655700164351856</v>
      </c>
      <c r="R11" s="143">
        <f t="shared" ref="R11:W11" si="11">_xlfn.STDEV.P(H10:H12)</f>
        <v>0.54537064919507483</v>
      </c>
      <c r="S11" s="143">
        <f t="shared" si="11"/>
        <v>0.39520189344140111</v>
      </c>
      <c r="T11" s="143">
        <f t="shared" si="11"/>
        <v>0.13201300853369397</v>
      </c>
      <c r="U11" s="152">
        <f t="shared" si="11"/>
        <v>1.3634266229876865E-2</v>
      </c>
      <c r="V11" s="152">
        <f t="shared" si="11"/>
        <v>9.8800473360350291E-3</v>
      </c>
      <c r="W11" s="152">
        <f t="shared" si="11"/>
        <v>3.3003252133423462E-3</v>
      </c>
      <c r="X11" s="73">
        <f>_xlfn.STDEV.P(O10:O12)</f>
        <v>8.5792639989120616</v>
      </c>
      <c r="Y11" s="73">
        <f>_xlfn.STDEV.P(P10:P12)</f>
        <v>6.8071747612784446</v>
      </c>
      <c r="Z11" s="73">
        <f>_xlfn.STDEV.P(Q10:Q12)</f>
        <v>5.597470095248231</v>
      </c>
    </row>
    <row r="12" spans="1:26" x14ac:dyDescent="0.3">
      <c r="A12" s="136">
        <v>49</v>
      </c>
      <c r="B12" s="136">
        <v>5</v>
      </c>
      <c r="C12" s="136">
        <v>25</v>
      </c>
      <c r="D12" s="34">
        <v>10.039999999999999</v>
      </c>
      <c r="E12" s="34">
        <v>79263</v>
      </c>
      <c r="F12" s="101">
        <v>80111</v>
      </c>
      <c r="G12" s="34">
        <v>30754</v>
      </c>
      <c r="H12" s="139">
        <f t="shared" si="1"/>
        <v>6.8440802572589652</v>
      </c>
      <c r="I12" s="139">
        <f t="shared" si="2"/>
        <v>3.9911795800603493</v>
      </c>
      <c r="J12" s="140">
        <f t="shared" si="3"/>
        <v>1.995229537000264</v>
      </c>
      <c r="K12" s="140">
        <f t="shared" si="4"/>
        <v>0.17110200643147414</v>
      </c>
      <c r="L12" s="140">
        <f t="shared" si="5"/>
        <v>9.9779489501508736E-2</v>
      </c>
      <c r="M12" s="140">
        <f t="shared" si="0"/>
        <v>4.98807384250066E-2</v>
      </c>
      <c r="N12" s="140">
        <f t="shared" si="6"/>
        <v>0.32076223435798951</v>
      </c>
      <c r="O12" s="141">
        <f>K12*100/$I$27</f>
        <v>107.66470737548626</v>
      </c>
      <c r="P12" s="25">
        <f>L12*100/J27</f>
        <v>68.746272110523535</v>
      </c>
      <c r="Q12" s="25">
        <f>M12*100/K27</f>
        <v>84.599523869380491</v>
      </c>
      <c r="R12" s="33"/>
      <c r="S12" s="143"/>
      <c r="T12" s="143"/>
      <c r="U12" s="144"/>
      <c r="V12" s="144"/>
      <c r="W12" s="144"/>
      <c r="X12" s="33"/>
      <c r="Y12" s="73"/>
      <c r="Z12" s="73"/>
    </row>
    <row r="13" spans="1:26" x14ac:dyDescent="0.3">
      <c r="A13" s="138">
        <v>62</v>
      </c>
      <c r="B13" s="138">
        <v>5</v>
      </c>
      <c r="C13" s="138">
        <v>25</v>
      </c>
      <c r="D13" s="32">
        <v>9.93</v>
      </c>
      <c r="E13" s="32">
        <v>65658</v>
      </c>
      <c r="F13" s="32">
        <v>97431</v>
      </c>
      <c r="G13" s="32">
        <v>34985</v>
      </c>
      <c r="H13" s="139">
        <f t="shared" si="1"/>
        <v>5.687029670218724</v>
      </c>
      <c r="I13" s="139">
        <f t="shared" si="2"/>
        <v>4.7901043108653933</v>
      </c>
      <c r="J13" s="140">
        <f t="shared" si="3"/>
        <v>2.2605484421816939</v>
      </c>
      <c r="K13" s="140">
        <f t="shared" si="4"/>
        <v>0.1421757417554681</v>
      </c>
      <c r="L13" s="140">
        <f t="shared" si="5"/>
        <v>0.11975260777163482</v>
      </c>
      <c r="M13" s="140">
        <f t="shared" si="0"/>
        <v>5.6513711054542351E-2</v>
      </c>
      <c r="N13" s="140">
        <f t="shared" si="6"/>
        <v>0.31844206058164526</v>
      </c>
      <c r="O13" s="141">
        <f>K13*100/$I$28</f>
        <v>81.987297402363083</v>
      </c>
      <c r="P13" s="6">
        <f>L13*100/J28</f>
        <v>92.294079590759765</v>
      </c>
      <c r="Q13" s="6">
        <f>M13*100/K28</f>
        <v>98.985595090945566</v>
      </c>
      <c r="R13" s="21">
        <f t="shared" ref="R13:W13" si="12">AVERAGE(H13:H15)</f>
        <v>5.8135213943244084</v>
      </c>
      <c r="S13" s="21">
        <f t="shared" si="12"/>
        <v>4.8282669587071583</v>
      </c>
      <c r="T13" s="21">
        <f t="shared" si="12"/>
        <v>2.2405653906293854</v>
      </c>
      <c r="U13" s="23">
        <f t="shared" si="12"/>
        <v>0.14533803485811023</v>
      </c>
      <c r="V13" s="23">
        <f t="shared" si="12"/>
        <v>0.12070667396767898</v>
      </c>
      <c r="W13" s="23">
        <f t="shared" si="12"/>
        <v>5.6014134765734643E-2</v>
      </c>
      <c r="X13" s="70">
        <f>AVERAGE(O13:O15)</f>
        <v>83.810870551189581</v>
      </c>
      <c r="Y13" s="70">
        <f>AVERAGE(P13:P15)</f>
        <v>93.029384341704898</v>
      </c>
      <c r="Z13" s="70">
        <f>AVERAGE(Q13:Q15)</f>
        <v>98.110571042476508</v>
      </c>
    </row>
    <row r="14" spans="1:26" x14ac:dyDescent="0.3">
      <c r="A14" s="138">
        <v>63</v>
      </c>
      <c r="B14" s="138">
        <v>5</v>
      </c>
      <c r="C14" s="138">
        <v>25</v>
      </c>
      <c r="D14" s="32">
        <v>10.09</v>
      </c>
      <c r="E14" s="32">
        <v>56389</v>
      </c>
      <c r="F14" s="32">
        <v>99495</v>
      </c>
      <c r="G14" s="32">
        <v>35665</v>
      </c>
      <c r="H14" s="139">
        <f t="shared" si="1"/>
        <v>4.8987384617456629</v>
      </c>
      <c r="I14" s="139">
        <f t="shared" si="2"/>
        <v>4.8853110455294591</v>
      </c>
      <c r="J14" s="140">
        <f t="shared" si="3"/>
        <v>2.3031901003058661</v>
      </c>
      <c r="K14" s="140">
        <f t="shared" si="4"/>
        <v>0.12246846154364156</v>
      </c>
      <c r="L14" s="140">
        <f t="shared" si="5"/>
        <v>0.12213277613823648</v>
      </c>
      <c r="M14" s="140">
        <f t="shared" si="0"/>
        <v>5.7579752507646652E-2</v>
      </c>
      <c r="N14" s="140">
        <f t="shared" si="6"/>
        <v>0.30218099018952466</v>
      </c>
      <c r="O14" s="141">
        <f>K14*100/$I$28</f>
        <v>70.622864737769049</v>
      </c>
      <c r="P14" s="6">
        <f>L14*100/J28</f>
        <v>94.128490153955653</v>
      </c>
      <c r="Q14" s="6">
        <f>M14*100/K28</f>
        <v>100.85280121947788</v>
      </c>
      <c r="R14" s="36">
        <f t="shared" ref="R14:W14" si="13">_xlfn.STDEV.P(H13:H15)</f>
        <v>0.8035506374124618</v>
      </c>
      <c r="S14" s="36">
        <f t="shared" si="13"/>
        <v>4.1097138057940991E-2</v>
      </c>
      <c r="T14" s="36">
        <f t="shared" si="13"/>
        <v>6.0951398197356517E-2</v>
      </c>
      <c r="U14" s="37">
        <f t="shared" si="13"/>
        <v>2.0088765935311555E-2</v>
      </c>
      <c r="V14" s="13">
        <f t="shared" si="13"/>
        <v>1.0274284514485274E-3</v>
      </c>
      <c r="W14" s="13">
        <f t="shared" si="13"/>
        <v>1.5237849549339128E-3</v>
      </c>
      <c r="X14" s="141">
        <f>_xlfn.STDEV.P(O13:O15)</f>
        <v>11.584420850200921</v>
      </c>
      <c r="Y14" s="141">
        <f>_xlfn.STDEV.P(P13:P15)</f>
        <v>0.79184549744946764</v>
      </c>
      <c r="Z14" s="141">
        <f>_xlfn.STDEV.P(Q13:Q15)</f>
        <v>2.6689586958674831</v>
      </c>
    </row>
    <row r="15" spans="1:26" x14ac:dyDescent="0.3">
      <c r="A15" s="138">
        <v>64</v>
      </c>
      <c r="B15" s="138">
        <v>5</v>
      </c>
      <c r="C15" s="138">
        <v>25</v>
      </c>
      <c r="D15" s="32">
        <v>9.9700000000000006</v>
      </c>
      <c r="E15" s="32">
        <v>79389</v>
      </c>
      <c r="F15" s="32">
        <v>97849</v>
      </c>
      <c r="G15" s="32">
        <v>33349</v>
      </c>
      <c r="H15" s="139">
        <f t="shared" si="1"/>
        <v>6.854796051008841</v>
      </c>
      <c r="I15" s="139">
        <f t="shared" si="2"/>
        <v>4.8093855197266242</v>
      </c>
      <c r="J15" s="140">
        <f t="shared" si="3"/>
        <v>2.1579576294005975</v>
      </c>
      <c r="K15" s="140">
        <f t="shared" si="4"/>
        <v>0.17136990127522103</v>
      </c>
      <c r="L15" s="140">
        <f t="shared" si="5"/>
        <v>0.12023463799316561</v>
      </c>
      <c r="M15" s="140">
        <f t="shared" si="0"/>
        <v>5.3948940735014939E-2</v>
      </c>
      <c r="N15" s="140">
        <f t="shared" si="6"/>
        <v>0.34555348000340158</v>
      </c>
      <c r="O15" s="141">
        <f>K15*100/$I$28</f>
        <v>98.822449513436609</v>
      </c>
      <c r="P15" s="6">
        <f>L15*100/J28</f>
        <v>92.665583280399261</v>
      </c>
      <c r="Q15" s="6">
        <f>M15*100/K28</f>
        <v>94.493316817006061</v>
      </c>
      <c r="S15" s="36"/>
      <c r="T15" s="36"/>
      <c r="U15" s="37"/>
      <c r="V15" s="37"/>
      <c r="W15" s="37"/>
      <c r="X15" s="33"/>
      <c r="Y15" s="141"/>
      <c r="Z15" s="141"/>
    </row>
    <row r="16" spans="1:26" x14ac:dyDescent="0.3">
      <c r="B16" s="138"/>
      <c r="C16" s="138"/>
      <c r="D16" s="32"/>
      <c r="E16" s="32"/>
      <c r="F16" s="32"/>
      <c r="G16" s="32"/>
      <c r="H16" s="15"/>
      <c r="I16" s="15"/>
      <c r="J16" s="14"/>
      <c r="K16" s="14"/>
      <c r="L16" s="14"/>
      <c r="M16" s="14"/>
      <c r="N16" s="14"/>
      <c r="O16" s="6"/>
      <c r="P16" s="6"/>
      <c r="Q16" s="6"/>
    </row>
    <row r="17" spans="1:15" x14ac:dyDescent="0.3">
      <c r="B17" s="138"/>
      <c r="C17" s="138"/>
      <c r="D17" s="32"/>
      <c r="E17" s="32"/>
      <c r="F17" s="32"/>
      <c r="G17" s="32"/>
      <c r="H17" s="15"/>
      <c r="I17" s="15"/>
      <c r="J17" s="14"/>
      <c r="K17" s="14"/>
      <c r="L17" s="14"/>
      <c r="M17" s="14"/>
      <c r="N17" s="14"/>
      <c r="O17" s="6"/>
    </row>
    <row r="18" spans="1:15" x14ac:dyDescent="0.3">
      <c r="A18" t="s">
        <v>68</v>
      </c>
      <c r="B18" s="138"/>
      <c r="C18" s="138"/>
      <c r="D18" s="32"/>
      <c r="E18" s="32"/>
      <c r="F18" s="32"/>
      <c r="G18" s="32"/>
      <c r="H18" s="15"/>
      <c r="I18" s="15"/>
      <c r="J18" s="14"/>
      <c r="K18" s="14"/>
      <c r="L18" s="14"/>
      <c r="M18" s="14"/>
      <c r="N18" s="14"/>
    </row>
    <row r="19" spans="1:15" x14ac:dyDescent="0.3">
      <c r="A19" t="s">
        <v>69</v>
      </c>
      <c r="B19" s="138">
        <v>3</v>
      </c>
      <c r="C19" s="138">
        <v>23</v>
      </c>
      <c r="D19">
        <v>0</v>
      </c>
      <c r="E19" s="32">
        <v>148127</v>
      </c>
      <c r="F19" s="32">
        <v>152241</v>
      </c>
      <c r="G19" s="32">
        <v>53515</v>
      </c>
      <c r="H19" s="15">
        <f t="shared" ref="H19:J20" si="14">(E19-$D$25)/$D$24</f>
        <v>12.700686771477203</v>
      </c>
      <c r="I19" s="15">
        <f t="shared" si="14"/>
        <v>13.050565942008888</v>
      </c>
      <c r="J19" s="15">
        <f t="shared" si="14"/>
        <v>4.6543163090699071</v>
      </c>
      <c r="K19" s="14">
        <f>H19*$C$19/1000</f>
        <v>0.29211579574397567</v>
      </c>
      <c r="L19" s="14">
        <f>I19*$C$19/1000</f>
        <v>0.30016301666620437</v>
      </c>
      <c r="M19" s="14">
        <f>J19*$C$19/1000</f>
        <v>0.10704927510860786</v>
      </c>
      <c r="N19" s="14">
        <f>SUM(K19:M19)</f>
        <v>0.69932808751878794</v>
      </c>
    </row>
    <row r="20" spans="1:15" x14ac:dyDescent="0.3">
      <c r="A20" t="s">
        <v>70</v>
      </c>
      <c r="B20" s="138">
        <v>5</v>
      </c>
      <c r="C20" s="138">
        <v>25</v>
      </c>
      <c r="D20">
        <v>0</v>
      </c>
      <c r="E20" s="32">
        <v>254924</v>
      </c>
      <c r="F20" s="32">
        <v>256724</v>
      </c>
      <c r="G20" s="32">
        <v>101083</v>
      </c>
      <c r="H20" s="15">
        <f t="shared" si="14"/>
        <v>21.783342526283278</v>
      </c>
      <c r="I20" s="15">
        <f t="shared" si="14"/>
        <v>21.936425294138655</v>
      </c>
      <c r="J20" s="15">
        <f t="shared" si="14"/>
        <v>8.6997835875947285</v>
      </c>
      <c r="K20" s="14">
        <f>H20*C21/1000</f>
        <v>0</v>
      </c>
      <c r="L20" s="14">
        <f>I20*C21/1000</f>
        <v>0</v>
      </c>
      <c r="M20" s="14">
        <f>J20*C21/1000</f>
        <v>0</v>
      </c>
      <c r="N20" s="14">
        <f>SUM(K20:M20)</f>
        <v>0</v>
      </c>
    </row>
    <row r="21" spans="1:15" x14ac:dyDescent="0.3">
      <c r="B21" s="138"/>
      <c r="C21" s="138"/>
      <c r="D21" s="32"/>
      <c r="E21" s="32"/>
      <c r="F21" s="32"/>
      <c r="G21" s="32"/>
    </row>
    <row r="23" spans="1:15" x14ac:dyDescent="0.3">
      <c r="D23" t="s">
        <v>17</v>
      </c>
      <c r="E23" t="s">
        <v>18</v>
      </c>
      <c r="F23" t="s">
        <v>19</v>
      </c>
      <c r="I23" s="61"/>
      <c r="J23" s="62" t="s">
        <v>49</v>
      </c>
      <c r="K23" s="63"/>
    </row>
    <row r="24" spans="1:15" x14ac:dyDescent="0.3">
      <c r="C24" t="s">
        <v>21</v>
      </c>
      <c r="D24" s="5">
        <f>Standards!K3</f>
        <v>11758.345013074897</v>
      </c>
      <c r="E24" s="5">
        <f>Standards!L3</f>
        <v>21679.138637437514</v>
      </c>
      <c r="F24" s="5">
        <f>Standards!M3</f>
        <v>15946.847048485906</v>
      </c>
      <c r="H24" s="123"/>
      <c r="I24" s="137" t="s">
        <v>17</v>
      </c>
      <c r="J24" s="137" t="s">
        <v>18</v>
      </c>
      <c r="K24" s="55" t="s">
        <v>19</v>
      </c>
    </row>
    <row r="25" spans="1:15" x14ac:dyDescent="0.3">
      <c r="C25" t="s">
        <v>22</v>
      </c>
      <c r="D25" s="5">
        <f>Standards!K4</f>
        <v>-1212.0569620253082</v>
      </c>
      <c r="E25" s="5">
        <f>Standards!L4</f>
        <v>-6414.335443037955</v>
      </c>
      <c r="F25" s="5">
        <f>Standards!M4</f>
        <v>-1063.6202531645613</v>
      </c>
      <c r="H25" s="124" t="s">
        <v>64</v>
      </c>
      <c r="I25" s="56">
        <v>0.21564118633641274</v>
      </c>
      <c r="J25" s="56">
        <v>0.14688532621299763</v>
      </c>
      <c r="K25" s="57">
        <v>6.9819165751716872E-2</v>
      </c>
    </row>
    <row r="26" spans="1:15" x14ac:dyDescent="0.3">
      <c r="H26" s="124" t="s">
        <v>65</v>
      </c>
      <c r="I26" s="56">
        <v>0.23110396578385498</v>
      </c>
      <c r="J26" s="56">
        <v>0.15347956796649107</v>
      </c>
      <c r="K26" s="57">
        <v>7.2511703838736799E-2</v>
      </c>
    </row>
    <row r="27" spans="1:15" x14ac:dyDescent="0.3">
      <c r="C27" t="s">
        <v>24</v>
      </c>
      <c r="H27" s="124" t="s">
        <v>66</v>
      </c>
      <c r="I27" s="56">
        <v>0.15892116423513511</v>
      </c>
      <c r="J27" s="56">
        <v>0.14514167305114817</v>
      </c>
      <c r="K27" s="57">
        <v>5.8961015551365507E-2</v>
      </c>
    </row>
    <row r="28" spans="1:15" x14ac:dyDescent="0.3">
      <c r="C28" t="s">
        <v>31</v>
      </c>
      <c r="H28" s="125" t="s">
        <v>67</v>
      </c>
      <c r="I28" s="59">
        <v>0.17341191411362492</v>
      </c>
      <c r="J28" s="59">
        <v>0.12975112629393851</v>
      </c>
      <c r="K28" s="60">
        <v>5.7092863868342579E-2</v>
      </c>
    </row>
    <row r="29" spans="1:15" x14ac:dyDescent="0.3">
      <c r="C29" t="s">
        <v>32</v>
      </c>
      <c r="I29" s="21"/>
      <c r="J29" s="21"/>
      <c r="K29" s="21"/>
    </row>
  </sheetData>
  <mergeCells count="7">
    <mergeCell ref="X2:Z2"/>
    <mergeCell ref="E2:G2"/>
    <mergeCell ref="H2:J2"/>
    <mergeCell ref="K2:N2"/>
    <mergeCell ref="O2:Q2"/>
    <mergeCell ref="R2:T2"/>
    <mergeCell ref="U2:W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24"/>
  <sheetViews>
    <sheetView tabSelected="1" zoomScale="80" zoomScaleNormal="80" workbookViewId="0">
      <selection activeCell="X13" sqref="X13:Z14"/>
    </sheetView>
  </sheetViews>
  <sheetFormatPr defaultRowHeight="14.4" x14ac:dyDescent="0.3"/>
  <cols>
    <col min="2" max="2" width="5.21875" customWidth="1"/>
    <col min="3" max="3" width="7.109375" customWidth="1"/>
  </cols>
  <sheetData>
    <row r="1" spans="1:26" x14ac:dyDescent="0.3">
      <c r="A1" s="9" t="s">
        <v>77</v>
      </c>
      <c r="B1" s="9"/>
      <c r="C1" s="9"/>
    </row>
    <row r="2" spans="1:26" x14ac:dyDescent="0.3">
      <c r="E2" s="245" t="s">
        <v>10</v>
      </c>
      <c r="F2" s="245"/>
      <c r="G2" s="245"/>
      <c r="H2" s="247" t="s">
        <v>9</v>
      </c>
      <c r="I2" s="247"/>
      <c r="J2" s="247"/>
      <c r="K2" s="248" t="s">
        <v>23</v>
      </c>
      <c r="L2" s="248"/>
      <c r="M2" s="248"/>
      <c r="N2" s="248"/>
      <c r="O2" t="s">
        <v>48</v>
      </c>
      <c r="R2" s="249" t="s">
        <v>27</v>
      </c>
      <c r="S2" s="249"/>
      <c r="T2" s="249"/>
      <c r="U2" s="53" t="s">
        <v>28</v>
      </c>
      <c r="V2" s="53"/>
      <c r="W2" s="53"/>
      <c r="X2" t="s">
        <v>48</v>
      </c>
    </row>
    <row r="3" spans="1:26" x14ac:dyDescent="0.3">
      <c r="A3" t="s">
        <v>1</v>
      </c>
      <c r="B3" t="s">
        <v>11</v>
      </c>
      <c r="C3" t="s">
        <v>30</v>
      </c>
      <c r="D3" t="s">
        <v>13</v>
      </c>
      <c r="E3" t="s">
        <v>17</v>
      </c>
      <c r="F3" t="s">
        <v>18</v>
      </c>
      <c r="G3" t="s">
        <v>19</v>
      </c>
      <c r="H3" t="s">
        <v>17</v>
      </c>
      <c r="I3" t="s">
        <v>18</v>
      </c>
      <c r="J3" t="s">
        <v>19</v>
      </c>
      <c r="K3" t="s">
        <v>17</v>
      </c>
      <c r="L3" t="s">
        <v>18</v>
      </c>
      <c r="M3" t="s">
        <v>19</v>
      </c>
      <c r="N3" t="s">
        <v>20</v>
      </c>
      <c r="O3" t="s">
        <v>17</v>
      </c>
      <c r="P3" t="s">
        <v>18</v>
      </c>
      <c r="Q3" t="s">
        <v>19</v>
      </c>
      <c r="R3" t="s">
        <v>17</v>
      </c>
      <c r="S3" t="s">
        <v>18</v>
      </c>
      <c r="T3" t="s">
        <v>19</v>
      </c>
      <c r="U3" s="42" t="s">
        <v>17</v>
      </c>
      <c r="V3" s="42" t="s">
        <v>18</v>
      </c>
      <c r="W3" s="42" t="s">
        <v>19</v>
      </c>
      <c r="X3" t="s">
        <v>17</v>
      </c>
      <c r="Y3" t="s">
        <v>18</v>
      </c>
      <c r="Z3" t="s">
        <v>19</v>
      </c>
    </row>
    <row r="4" spans="1:26" x14ac:dyDescent="0.3">
      <c r="A4">
        <v>10</v>
      </c>
      <c r="B4">
        <v>3</v>
      </c>
      <c r="C4">
        <v>23</v>
      </c>
      <c r="D4" s="39">
        <v>10.050000000000001</v>
      </c>
      <c r="E4" s="40">
        <v>44367</v>
      </c>
      <c r="F4" s="40">
        <v>35507</v>
      </c>
      <c r="G4" s="40">
        <v>17447</v>
      </c>
      <c r="H4" s="15">
        <f>(E4-$D$20)/$D$19</f>
        <v>4.7403310797482145</v>
      </c>
      <c r="I4" s="15">
        <f>(F4-$E$20)/$E$19</f>
        <v>2.8765588175251109</v>
      </c>
      <c r="J4" s="14">
        <f>(G4-$F$20)/$F$19</f>
        <v>1.4327588631226384</v>
      </c>
      <c r="K4" s="14">
        <f>H4*C4/1000</f>
        <v>0.10902761483420893</v>
      </c>
      <c r="L4" s="14">
        <f>I4*C4/1000</f>
        <v>6.6160852803077541E-2</v>
      </c>
      <c r="M4" s="14">
        <f t="shared" ref="M4:M15" si="0">J4*C4/1000</f>
        <v>3.2953453851820684E-2</v>
      </c>
      <c r="N4" s="14">
        <f>SUM(K4:M4)</f>
        <v>0.20814192148910715</v>
      </c>
      <c r="O4" s="11">
        <f>K4*100/I21</f>
        <v>50.559736146192186</v>
      </c>
      <c r="P4" s="11">
        <f>L4*100/J21</f>
        <v>45.042520249529922</v>
      </c>
      <c r="Q4" s="11">
        <f>M4*100/K21</f>
        <v>47.198292183848309</v>
      </c>
      <c r="R4" s="21">
        <f t="shared" ref="R4:W4" si="1">AVERAGE(H4:H6)</f>
        <v>4.8787059801673101</v>
      </c>
      <c r="S4" s="21">
        <f t="shared" si="1"/>
        <v>2.9585461899544003</v>
      </c>
      <c r="T4" s="21">
        <f t="shared" si="1"/>
        <v>1.4481636675668004</v>
      </c>
      <c r="U4" s="23">
        <f t="shared" si="1"/>
        <v>0.11221023754384814</v>
      </c>
      <c r="V4" s="23">
        <f t="shared" si="1"/>
        <v>6.8046562368951208E-2</v>
      </c>
      <c r="W4" s="23">
        <f t="shared" si="1"/>
        <v>3.3307764354036422E-2</v>
      </c>
      <c r="X4" s="11">
        <f>AVERAGE(O4:O6)</f>
        <v>52.035624293400836</v>
      </c>
      <c r="Y4" s="11">
        <f>AVERAGE(P4:P6)</f>
        <v>46.326317354721489</v>
      </c>
      <c r="Z4" s="11">
        <f>AVERAGE(Q4:Q6)</f>
        <v>47.705761011928679</v>
      </c>
    </row>
    <row r="5" spans="1:26" x14ac:dyDescent="0.3">
      <c r="A5">
        <v>11</v>
      </c>
      <c r="B5">
        <v>3</v>
      </c>
      <c r="C5">
        <v>23</v>
      </c>
      <c r="D5" s="39">
        <v>10.039999999999999</v>
      </c>
      <c r="E5" s="40">
        <v>47283</v>
      </c>
      <c r="F5" s="40">
        <v>36766</v>
      </c>
      <c r="G5" s="40">
        <v>17003</v>
      </c>
      <c r="H5" s="15">
        <f>(E5-$D$20)/$D$19</f>
        <v>5.0035985066438755</v>
      </c>
      <c r="I5" s="15">
        <f t="shared" ref="I5:I15" si="2">(F5-$E$20)/$E$19</f>
        <v>2.9549752028544161</v>
      </c>
      <c r="J5" s="14">
        <f>(G5-$F$20)/$F$19</f>
        <v>1.404534379601835</v>
      </c>
      <c r="K5" s="14">
        <f t="shared" ref="K5:K14" si="3">H5*C5/1000</f>
        <v>0.11508276565280914</v>
      </c>
      <c r="L5" s="14">
        <f t="shared" ref="L5:L15" si="4">I5*C5/1000</f>
        <v>6.7964429665651568E-2</v>
      </c>
      <c r="M5" s="14">
        <f t="shared" si="0"/>
        <v>3.2304290730842206E-2</v>
      </c>
      <c r="N5" s="14">
        <f t="shared" ref="N5:N15" si="5">SUM(K5:M5)</f>
        <v>0.2153514860493029</v>
      </c>
      <c r="O5" s="11">
        <f>K5*100/I21</f>
        <v>53.367711246623067</v>
      </c>
      <c r="P5" s="11">
        <f>L5*100/J21</f>
        <v>46.27040114755691</v>
      </c>
      <c r="Q5" s="11">
        <f>M5*100/K21</f>
        <v>46.268514358534617</v>
      </c>
      <c r="R5" s="22">
        <f t="shared" ref="R5:W5" si="6">_xlfn.STDEV.P(H4:H6)</f>
        <v>0.10790046438395658</v>
      </c>
      <c r="S5" s="22">
        <f t="shared" si="6"/>
        <v>6.8446850602170942E-2</v>
      </c>
      <c r="T5" s="22">
        <f t="shared" si="6"/>
        <v>4.3304529535458616E-2</v>
      </c>
      <c r="U5" s="24">
        <f t="shared" si="6"/>
        <v>2.4817106808310047E-3</v>
      </c>
      <c r="V5" s="24">
        <f t="shared" si="6"/>
        <v>1.5742775638499342E-3</v>
      </c>
      <c r="W5" s="24">
        <f t="shared" si="6"/>
        <v>9.9600417931554786E-4</v>
      </c>
      <c r="X5" s="11">
        <f>_xlfn.STDEV.P(O4:O6)</f>
        <v>1.1508518956853628</v>
      </c>
      <c r="Y5" s="11">
        <f>_xlfn.STDEV.P(P4:P6)</f>
        <v>1.0717732018834105</v>
      </c>
      <c r="Z5" s="11">
        <f>_xlfn.STDEV.P(Q4:Q6)</f>
        <v>1.4265483819406062</v>
      </c>
    </row>
    <row r="6" spans="1:26" x14ac:dyDescent="0.3">
      <c r="A6">
        <v>12</v>
      </c>
      <c r="B6">
        <v>3</v>
      </c>
      <c r="C6">
        <v>23</v>
      </c>
      <c r="D6" s="39">
        <v>9.98</v>
      </c>
      <c r="E6" s="40">
        <v>46049</v>
      </c>
      <c r="F6" s="40">
        <v>38197</v>
      </c>
      <c r="G6" s="40">
        <v>18618</v>
      </c>
      <c r="H6" s="15">
        <f>(E6-$D$20)/$D$19</f>
        <v>4.892188354109841</v>
      </c>
      <c r="I6" s="15">
        <f t="shared" si="2"/>
        <v>3.044104549483674</v>
      </c>
      <c r="J6" s="14">
        <f>(G6-$F$20)/$F$19</f>
        <v>1.5071977599759285</v>
      </c>
      <c r="K6" s="14">
        <f t="shared" si="3"/>
        <v>0.11252033214452635</v>
      </c>
      <c r="L6" s="14">
        <f t="shared" si="4"/>
        <v>7.00144046381245E-2</v>
      </c>
      <c r="M6" s="14">
        <f t="shared" si="0"/>
        <v>3.4665548479446355E-2</v>
      </c>
      <c r="N6" s="14">
        <f t="shared" si="5"/>
        <v>0.21720028526209723</v>
      </c>
      <c r="O6" s="11">
        <f t="shared" ref="O6:Q7" si="7">K6*100/I21</f>
        <v>52.179425487387235</v>
      </c>
      <c r="P6" s="11">
        <f t="shared" si="7"/>
        <v>47.666030667077656</v>
      </c>
      <c r="Q6" s="11">
        <f t="shared" si="7"/>
        <v>49.650476493403126</v>
      </c>
      <c r="R6" s="21"/>
      <c r="S6" s="21"/>
      <c r="T6" s="21"/>
      <c r="X6" s="11"/>
      <c r="Y6" s="11"/>
      <c r="Z6" s="11"/>
    </row>
    <row r="7" spans="1:26" x14ac:dyDescent="0.3">
      <c r="A7" s="165">
        <v>25</v>
      </c>
      <c r="B7">
        <v>5</v>
      </c>
      <c r="C7">
        <v>25</v>
      </c>
      <c r="D7" s="39">
        <v>9.98</v>
      </c>
      <c r="E7" s="40">
        <v>134569</v>
      </c>
      <c r="F7" s="40">
        <v>91873</v>
      </c>
      <c r="G7" s="40">
        <v>51509</v>
      </c>
      <c r="H7" s="15">
        <f t="shared" ref="H7:H15" si="8">(E7-$D$20)/$D$19</f>
        <v>12.884106265222293</v>
      </c>
      <c r="I7" s="15">
        <f t="shared" si="2"/>
        <v>6.3872958909735784</v>
      </c>
      <c r="J7" s="14">
        <f>(G7-$F$20)/$F$19</f>
        <v>3.5980344434956248</v>
      </c>
      <c r="K7" s="14">
        <f t="shared" si="3"/>
        <v>0.32210265663055732</v>
      </c>
      <c r="L7" s="14">
        <f t="shared" si="4"/>
        <v>0.15968239727433944</v>
      </c>
      <c r="M7" s="14">
        <f t="shared" si="0"/>
        <v>8.9950861087390616E-2</v>
      </c>
      <c r="N7" s="14">
        <f t="shared" si="5"/>
        <v>0.57173591499228738</v>
      </c>
      <c r="O7" s="11">
        <f t="shared" si="7"/>
        <v>139.37565092751842</v>
      </c>
      <c r="P7" s="11">
        <f t="shared" si="7"/>
        <v>104.04146909587512</v>
      </c>
      <c r="Q7" s="11">
        <f t="shared" si="7"/>
        <v>124.05012753174</v>
      </c>
      <c r="R7" s="21">
        <f t="shared" ref="R7:W7" si="9">AVERAGE(H7:H9)</f>
        <v>14.335327328295287</v>
      </c>
      <c r="S7" s="21">
        <f t="shared" si="9"/>
        <v>7.2399728688593514</v>
      </c>
      <c r="T7" s="21">
        <f t="shared" si="9"/>
        <v>2.9023602554539605</v>
      </c>
      <c r="U7" s="23">
        <f t="shared" si="9"/>
        <v>0.35838318320738222</v>
      </c>
      <c r="V7" s="23">
        <f t="shared" si="9"/>
        <v>0.18099932172148378</v>
      </c>
      <c r="W7" s="23">
        <f t="shared" si="9"/>
        <v>7.2559006386349018E-2</v>
      </c>
      <c r="X7" s="162">
        <f>AVERAGE(O7:O9)</f>
        <v>155.074441060249</v>
      </c>
      <c r="Y7" s="162">
        <f>AVERAGE(P7:P9)</f>
        <v>117.93056503846888</v>
      </c>
      <c r="Z7" s="162">
        <f>AVERAGE(Q7:Q9)</f>
        <v>100.06523436232777</v>
      </c>
    </row>
    <row r="8" spans="1:26" x14ac:dyDescent="0.3">
      <c r="A8" s="165">
        <v>26</v>
      </c>
      <c r="B8">
        <v>5</v>
      </c>
      <c r="C8">
        <v>25</v>
      </c>
      <c r="D8" s="39">
        <v>10.01</v>
      </c>
      <c r="E8" s="40">
        <v>159949</v>
      </c>
      <c r="F8" s="40">
        <v>110927</v>
      </c>
      <c r="G8" s="40">
        <v>59740</v>
      </c>
      <c r="H8" s="15">
        <f t="shared" si="8"/>
        <v>15.175507943758602</v>
      </c>
      <c r="I8" s="15">
        <f t="shared" si="2"/>
        <v>7.5740677782369481</v>
      </c>
      <c r="J8" s="14">
        <f>(G9-$F$20)/$F$19</f>
        <v>4.0672346977006928</v>
      </c>
      <c r="K8" s="14">
        <f t="shared" si="3"/>
        <v>0.37938769859396504</v>
      </c>
      <c r="L8" s="14">
        <f t="shared" si="4"/>
        <v>0.1893516944559237</v>
      </c>
      <c r="M8" s="14">
        <f t="shared" si="0"/>
        <v>0.10168086744251732</v>
      </c>
      <c r="N8" s="14">
        <f t="shared" si="5"/>
        <v>0.67042026049240611</v>
      </c>
      <c r="O8" s="11">
        <f>K8*100/I22</f>
        <v>164.16321429498774</v>
      </c>
      <c r="P8" s="11">
        <f>L8*100/J22</f>
        <v>123.37257458091396</v>
      </c>
      <c r="Q8" s="11">
        <f>M8*100/K22</f>
        <v>140.22683519980666</v>
      </c>
      <c r="R8" s="22">
        <f t="shared" ref="R8:W8" si="10">_xlfn.STDEV.P(H7:H9)</f>
        <v>1.0304232899027577</v>
      </c>
      <c r="S8" s="22">
        <f t="shared" si="10"/>
        <v>0.60761961754227456</v>
      </c>
      <c r="T8" s="22">
        <f t="shared" si="10"/>
        <v>1.3294781241493576</v>
      </c>
      <c r="U8" s="24">
        <f t="shared" si="10"/>
        <v>2.5760582247568949E-2</v>
      </c>
      <c r="V8" s="24">
        <f t="shared" si="10"/>
        <v>1.5190490438556869E-2</v>
      </c>
      <c r="W8" s="24">
        <f t="shared" si="10"/>
        <v>3.3236953103733952E-2</v>
      </c>
      <c r="X8" s="11">
        <f>_xlfn.STDEV.P(O7:O9)</f>
        <v>11.1467504074171</v>
      </c>
      <c r="Y8" s="11">
        <f>_xlfn.STDEV.P(P7:P9)</f>
        <v>9.8974023968280846</v>
      </c>
      <c r="Z8" s="11">
        <f>_xlfn.STDEV.P(Q7:Q9)</f>
        <v>45.836673728770329</v>
      </c>
    </row>
    <row r="9" spans="1:26" x14ac:dyDescent="0.3">
      <c r="A9" s="165">
        <v>27</v>
      </c>
      <c r="B9">
        <v>5</v>
      </c>
      <c r="C9">
        <v>25</v>
      </c>
      <c r="D9" s="39">
        <v>10</v>
      </c>
      <c r="E9" s="40">
        <v>157411</v>
      </c>
      <c r="F9" s="40">
        <v>113889</v>
      </c>
      <c r="G9" s="40">
        <v>58890</v>
      </c>
      <c r="H9" s="15">
        <f t="shared" si="8"/>
        <v>14.946367775904971</v>
      </c>
      <c r="I9" s="15">
        <f t="shared" si="2"/>
        <v>7.7585549373675295</v>
      </c>
      <c r="J9" s="14">
        <f>(G10-$F$20)/$F$19</f>
        <v>1.041811625165564</v>
      </c>
      <c r="K9" s="14">
        <f t="shared" si="3"/>
        <v>0.37365919439762429</v>
      </c>
      <c r="L9" s="14">
        <f t="shared" si="4"/>
        <v>0.19396387343418822</v>
      </c>
      <c r="M9" s="14">
        <f t="shared" si="0"/>
        <v>2.6045290629139101E-2</v>
      </c>
      <c r="N9" s="14">
        <f t="shared" si="5"/>
        <v>0.59366835846095156</v>
      </c>
      <c r="O9" s="11">
        <f t="shared" ref="O9:Q10" si="11">K9*100/I22</f>
        <v>161.68445795824084</v>
      </c>
      <c r="P9" s="11">
        <f t="shared" si="11"/>
        <v>126.37765143861758</v>
      </c>
      <c r="Q9" s="11">
        <f t="shared" si="11"/>
        <v>35.918740355436704</v>
      </c>
      <c r="R9" s="21"/>
      <c r="S9" s="21"/>
      <c r="T9" s="21"/>
      <c r="X9" s="11"/>
      <c r="Y9" s="11"/>
      <c r="Z9" s="11"/>
    </row>
    <row r="10" spans="1:26" x14ac:dyDescent="0.3">
      <c r="A10">
        <v>50</v>
      </c>
      <c r="B10">
        <v>3</v>
      </c>
      <c r="C10">
        <v>23</v>
      </c>
      <c r="D10" s="39">
        <v>10</v>
      </c>
      <c r="E10" s="40">
        <v>36474</v>
      </c>
      <c r="F10" s="40">
        <v>25215</v>
      </c>
      <c r="G10" s="40">
        <v>11297</v>
      </c>
      <c r="H10" s="15">
        <f t="shared" si="8"/>
        <v>4.0277214087991569</v>
      </c>
      <c r="I10" s="15">
        <f t="shared" si="2"/>
        <v>2.2355251099721247</v>
      </c>
      <c r="J10" s="14">
        <f t="shared" ref="J10:J15" si="12">(G10-$F$20)/$F$19</f>
        <v>1.041811625165564</v>
      </c>
      <c r="K10" s="14">
        <f t="shared" si="3"/>
        <v>9.2637592402380606E-2</v>
      </c>
      <c r="L10" s="14">
        <f t="shared" si="4"/>
        <v>5.1417077529358868E-2</v>
      </c>
      <c r="M10" s="14">
        <f t="shared" si="0"/>
        <v>2.3961667378807974E-2</v>
      </c>
      <c r="N10" s="14">
        <f t="shared" si="5"/>
        <v>0.16801633731054746</v>
      </c>
      <c r="O10" s="11">
        <f t="shared" si="11"/>
        <v>58.291538983012188</v>
      </c>
      <c r="P10" s="11">
        <f t="shared" si="11"/>
        <v>35.425440845813732</v>
      </c>
      <c r="Q10" s="11">
        <f t="shared" si="11"/>
        <v>40.63984847400247</v>
      </c>
      <c r="R10" s="21">
        <f t="shared" ref="R10:W10" si="13">AVERAGE(H10:H12)</f>
        <v>3.5465691887251025</v>
      </c>
      <c r="S10" s="21">
        <f t="shared" si="13"/>
        <v>3.2306678639049444</v>
      </c>
      <c r="T10" s="21">
        <f t="shared" si="13"/>
        <v>1.336304021541034</v>
      </c>
      <c r="U10" s="23">
        <f t="shared" si="13"/>
        <v>8.157109134067736E-2</v>
      </c>
      <c r="V10" s="23">
        <f t="shared" si="13"/>
        <v>7.4305360869813722E-2</v>
      </c>
      <c r="W10" s="23">
        <f t="shared" si="13"/>
        <v>3.0734992495443782E-2</v>
      </c>
      <c r="X10" s="11">
        <f>AVERAGE(O10:O12)</f>
        <v>51.328022754720791</v>
      </c>
      <c r="Y10" s="11">
        <f>AVERAGE(P10:P12)</f>
        <v>51.195056049566404</v>
      </c>
      <c r="Z10" s="11">
        <f>AVERAGE(Q10:Q12)</f>
        <v>52.1276511403847</v>
      </c>
    </row>
    <row r="11" spans="1:26" x14ac:dyDescent="0.3">
      <c r="A11">
        <v>51</v>
      </c>
      <c r="B11">
        <v>3</v>
      </c>
      <c r="C11">
        <v>23</v>
      </c>
      <c r="D11" s="39">
        <v>10.01</v>
      </c>
      <c r="E11" s="40">
        <v>27933</v>
      </c>
      <c r="F11" s="40">
        <v>47349</v>
      </c>
      <c r="G11" s="40">
        <v>17996</v>
      </c>
      <c r="H11" s="15">
        <f t="shared" si="8"/>
        <v>3.256607865206619</v>
      </c>
      <c r="I11" s="15">
        <f t="shared" si="2"/>
        <v>3.6141337460951135</v>
      </c>
      <c r="J11" s="14">
        <f t="shared" si="12"/>
        <v>1.4676580555841725</v>
      </c>
      <c r="K11" s="14">
        <f t="shared" si="3"/>
        <v>7.4901980899752238E-2</v>
      </c>
      <c r="L11" s="14">
        <f t="shared" si="4"/>
        <v>8.3125076160187605E-2</v>
      </c>
      <c r="M11" s="14">
        <f t="shared" si="0"/>
        <v>3.3756135278435968E-2</v>
      </c>
      <c r="N11" s="14">
        <f t="shared" si="5"/>
        <v>0.19178319233837582</v>
      </c>
      <c r="O11" s="11">
        <f>K11*100/I23</f>
        <v>47.131532958649522</v>
      </c>
      <c r="P11" s="11">
        <f>L11*100/J23</f>
        <v>57.271681118691653</v>
      </c>
      <c r="Q11" s="11">
        <f>M11*100/K23</f>
        <v>57.251617806732625</v>
      </c>
      <c r="R11" s="22">
        <f t="shared" ref="R11:W11" si="14">_xlfn.STDEV.P(H10:H12)</f>
        <v>0.34260715450036205</v>
      </c>
      <c r="S11" s="22">
        <f t="shared" si="14"/>
        <v>0.70981306903854458</v>
      </c>
      <c r="T11" s="22">
        <f t="shared" si="14"/>
        <v>0.20864146204022477</v>
      </c>
      <c r="U11" s="24">
        <f t="shared" si="14"/>
        <v>7.879964553508324E-3</v>
      </c>
      <c r="V11" s="24">
        <f t="shared" si="14"/>
        <v>1.6325700587886544E-2</v>
      </c>
      <c r="W11" s="24">
        <f t="shared" si="14"/>
        <v>4.7987536269251752E-3</v>
      </c>
      <c r="X11" s="11">
        <f>_xlfn.STDEV.P(O10:O12)</f>
        <v>4.9584110407405264</v>
      </c>
      <c r="Y11" s="11">
        <f>_xlfn.STDEV.P(P10:P12)</f>
        <v>11.248113821957451</v>
      </c>
      <c r="Z11" s="11">
        <f>_xlfn.STDEV.P(Q10:Q12)</f>
        <v>8.138858501758035</v>
      </c>
    </row>
    <row r="12" spans="1:26" x14ac:dyDescent="0.3">
      <c r="A12">
        <v>52</v>
      </c>
      <c r="B12">
        <v>3</v>
      </c>
      <c r="C12">
        <v>23</v>
      </c>
      <c r="D12" s="39">
        <v>9.99</v>
      </c>
      <c r="E12" s="40">
        <v>29027</v>
      </c>
      <c r="F12" s="40">
        <v>51013</v>
      </c>
      <c r="G12" s="40">
        <v>18496</v>
      </c>
      <c r="H12" s="15">
        <f t="shared" si="8"/>
        <v>3.3553782921695317</v>
      </c>
      <c r="I12" s="15">
        <f t="shared" si="2"/>
        <v>3.842344735647595</v>
      </c>
      <c r="J12" s="14">
        <f t="shared" si="12"/>
        <v>1.4994423838733655</v>
      </c>
      <c r="K12" s="14">
        <f t="shared" si="3"/>
        <v>7.7173700719899235E-2</v>
      </c>
      <c r="L12" s="14">
        <f t="shared" si="4"/>
        <v>8.8373928919894679E-2</v>
      </c>
      <c r="M12" s="14">
        <f t="shared" si="0"/>
        <v>3.4487174829087405E-2</v>
      </c>
      <c r="N12" s="14">
        <f t="shared" si="5"/>
        <v>0.20003480446888133</v>
      </c>
      <c r="O12" s="11">
        <f t="shared" ref="O12:Q13" si="15">K12*100/I23</f>
        <v>48.560996322500685</v>
      </c>
      <c r="P12" s="11">
        <f t="shared" si="15"/>
        <v>60.888046184193811</v>
      </c>
      <c r="Q12" s="11">
        <f t="shared" si="15"/>
        <v>58.491487140419004</v>
      </c>
      <c r="R12" s="21"/>
      <c r="S12" s="21"/>
      <c r="T12" s="21"/>
      <c r="X12" s="11"/>
      <c r="Y12" s="11"/>
      <c r="Z12" s="11"/>
    </row>
    <row r="13" spans="1:26" x14ac:dyDescent="0.3">
      <c r="A13" s="165">
        <v>65</v>
      </c>
      <c r="B13">
        <v>5</v>
      </c>
      <c r="C13">
        <v>25</v>
      </c>
      <c r="D13" s="39">
        <v>9.98</v>
      </c>
      <c r="E13" s="40">
        <v>81961</v>
      </c>
      <c r="F13" s="40">
        <v>112377</v>
      </c>
      <c r="G13" s="40">
        <v>39718</v>
      </c>
      <c r="H13" s="15">
        <f t="shared" si="8"/>
        <v>8.1344585306108623</v>
      </c>
      <c r="I13" s="15">
        <f t="shared" si="2"/>
        <v>7.6643805333818982</v>
      </c>
      <c r="J13" s="14">
        <f t="shared" si="12"/>
        <v>2.8484964137798747</v>
      </c>
      <c r="K13" s="14">
        <f t="shared" si="3"/>
        <v>0.20336146326527157</v>
      </c>
      <c r="L13" s="14">
        <f t="shared" si="4"/>
        <v>0.19160951333454745</v>
      </c>
      <c r="M13" s="14">
        <f t="shared" si="0"/>
        <v>7.1212410344496879E-2</v>
      </c>
      <c r="N13" s="14">
        <f t="shared" si="5"/>
        <v>0.46618338694431594</v>
      </c>
      <c r="O13" s="11">
        <f t="shared" si="15"/>
        <v>117.27075634031856</v>
      </c>
      <c r="P13" s="11">
        <f t="shared" si="15"/>
        <v>147.67464361000984</v>
      </c>
      <c r="Q13" s="11">
        <f t="shared" si="15"/>
        <v>124.73084291009519</v>
      </c>
      <c r="R13" s="21">
        <f t="shared" ref="R13:W13" si="16">AVERAGE(H13:H15)</f>
        <v>9.6731645513868401</v>
      </c>
      <c r="S13" s="21">
        <f t="shared" si="16"/>
        <v>7.4629934701851122</v>
      </c>
      <c r="T13" s="21">
        <f t="shared" si="16"/>
        <v>3.0038370209052574</v>
      </c>
      <c r="U13" s="23">
        <f t="shared" si="16"/>
        <v>0.24182911378467101</v>
      </c>
      <c r="V13" s="23">
        <f t="shared" si="16"/>
        <v>0.18657483675462783</v>
      </c>
      <c r="W13" s="23">
        <f t="shared" si="16"/>
        <v>7.5095925522631446E-2</v>
      </c>
      <c r="X13" s="162">
        <f>AVERAGE(O13:O15)</f>
        <v>139.45357504457107</v>
      </c>
      <c r="Y13" s="162">
        <f>AVERAGE(P13:P15)</f>
        <v>143.7943870575433</v>
      </c>
      <c r="Z13" s="162">
        <f>AVERAGE(Q13:Q15)</f>
        <v>131.53294551102624</v>
      </c>
    </row>
    <row r="14" spans="1:26" x14ac:dyDescent="0.3">
      <c r="A14" s="165">
        <v>66</v>
      </c>
      <c r="B14">
        <v>5</v>
      </c>
      <c r="C14">
        <v>25</v>
      </c>
      <c r="D14" s="39">
        <v>9.99</v>
      </c>
      <c r="E14" s="40">
        <v>115098</v>
      </c>
      <c r="F14" s="40">
        <v>107527</v>
      </c>
      <c r="G14" s="40">
        <v>43427</v>
      </c>
      <c r="H14" s="15">
        <f t="shared" si="8"/>
        <v>11.126191289541424</v>
      </c>
      <c r="I14" s="15">
        <f t="shared" si="2"/>
        <v>7.3622999385867196</v>
      </c>
      <c r="J14" s="14">
        <f t="shared" si="12"/>
        <v>3.0842725610291089</v>
      </c>
      <c r="K14" s="14">
        <f t="shared" si="3"/>
        <v>0.27815478223853563</v>
      </c>
      <c r="L14" s="14">
        <f t="shared" si="4"/>
        <v>0.18405749846466798</v>
      </c>
      <c r="M14" s="14">
        <f t="shared" si="0"/>
        <v>7.7106814025727721E-2</v>
      </c>
      <c r="N14" s="14">
        <f t="shared" si="5"/>
        <v>0.53931909472893136</v>
      </c>
      <c r="O14" s="11">
        <f>K14*100/I24</f>
        <v>160.40119484309477</v>
      </c>
      <c r="P14" s="11">
        <f>L14*100/J24</f>
        <v>141.85425878131005</v>
      </c>
      <c r="Q14" s="11">
        <f>M14*100/K24</f>
        <v>135.05508184619669</v>
      </c>
      <c r="R14" s="10">
        <f t="shared" ref="R14:W14" si="17">_xlfn.STDEV.P(H13:H15)</f>
        <v>1.2228714649865235</v>
      </c>
      <c r="S14" s="10">
        <f t="shared" si="17"/>
        <v>0.14240215802969097</v>
      </c>
      <c r="T14" s="10">
        <f t="shared" si="17"/>
        <v>0.10986559880084114</v>
      </c>
      <c r="U14" s="20">
        <f t="shared" si="17"/>
        <v>3.0571786624663144E-2</v>
      </c>
      <c r="V14" s="20">
        <f t="shared" si="17"/>
        <v>3.5600539507422767E-3</v>
      </c>
      <c r="W14" s="20">
        <f t="shared" si="17"/>
        <v>2.7466399700210222E-3</v>
      </c>
      <c r="X14" s="11">
        <f>_xlfn.STDEV.P(O13:O15)</f>
        <v>17.629576826325472</v>
      </c>
      <c r="Y14" s="11">
        <f>_xlfn.STDEV.P(P13:P15)</f>
        <v>2.7437557209926138</v>
      </c>
      <c r="Z14" s="11">
        <f>_xlfn.STDEV.P(Q13:Q15)</f>
        <v>4.8108288565709962</v>
      </c>
    </row>
    <row r="15" spans="1:26" x14ac:dyDescent="0.3">
      <c r="A15" s="165">
        <v>67</v>
      </c>
      <c r="B15">
        <v>5</v>
      </c>
      <c r="C15">
        <v>25</v>
      </c>
      <c r="D15" s="39">
        <v>10.029999999999999</v>
      </c>
      <c r="E15" s="40">
        <v>99953</v>
      </c>
      <c r="F15" s="40">
        <v>107527</v>
      </c>
      <c r="G15" s="40">
        <v>43340</v>
      </c>
      <c r="H15" s="15">
        <f t="shared" si="8"/>
        <v>9.758843834008232</v>
      </c>
      <c r="I15" s="15">
        <f t="shared" si="2"/>
        <v>7.3622999385867196</v>
      </c>
      <c r="J15" s="14">
        <f t="shared" si="12"/>
        <v>3.078742087906789</v>
      </c>
      <c r="K15" s="14">
        <f>H15*C15/1000</f>
        <v>0.24397109585020582</v>
      </c>
      <c r="L15" s="14">
        <f t="shared" si="4"/>
        <v>0.18405749846466798</v>
      </c>
      <c r="M15" s="14">
        <f t="shared" si="0"/>
        <v>7.6968552197669723E-2</v>
      </c>
      <c r="N15" s="14">
        <f t="shared" si="5"/>
        <v>0.50499714651254357</v>
      </c>
      <c r="O15" s="11">
        <f>K15*100/I24</f>
        <v>140.68877395029983</v>
      </c>
      <c r="P15" s="11">
        <f>L15*100/J24</f>
        <v>141.85425878131005</v>
      </c>
      <c r="Q15" s="11">
        <f>M15*100/K24</f>
        <v>134.81291177678688</v>
      </c>
    </row>
    <row r="16" spans="1:26" x14ac:dyDescent="0.3">
      <c r="H16" s="15"/>
    </row>
    <row r="18" spans="3:11" x14ac:dyDescent="0.3">
      <c r="C18" s="38"/>
      <c r="D18" t="s">
        <v>17</v>
      </c>
      <c r="E18" t="s">
        <v>18</v>
      </c>
      <c r="F18" t="s">
        <v>19</v>
      </c>
    </row>
    <row r="19" spans="3:11" x14ac:dyDescent="0.3">
      <c r="C19" t="s">
        <v>21</v>
      </c>
      <c r="D19" s="5">
        <f>Standards!N3</f>
        <v>11076.189843856675</v>
      </c>
      <c r="E19" s="5">
        <f>Standards!O3</f>
        <v>16055.317963368234</v>
      </c>
      <c r="F19" s="5">
        <f>Standards!P3</f>
        <v>15731.02302023493</v>
      </c>
      <c r="I19" s="61"/>
      <c r="J19" s="62" t="s">
        <v>49</v>
      </c>
      <c r="K19" s="63"/>
    </row>
    <row r="20" spans="3:11" x14ac:dyDescent="0.3">
      <c r="C20" t="s">
        <v>22</v>
      </c>
      <c r="D20" s="5">
        <f>Standards!N4</f>
        <v>-8137.8069620253227</v>
      </c>
      <c r="E20" s="5">
        <f>Standards!O4</f>
        <v>-10677.0664556962</v>
      </c>
      <c r="F20" s="5">
        <f>Standards!P4</f>
        <v>-5091.7626582278535</v>
      </c>
      <c r="H20" s="54"/>
      <c r="I20" s="52" t="s">
        <v>17</v>
      </c>
      <c r="J20" s="52" t="s">
        <v>18</v>
      </c>
      <c r="K20" s="55" t="s">
        <v>19</v>
      </c>
    </row>
    <row r="21" spans="3:11" x14ac:dyDescent="0.3">
      <c r="H21" s="17" t="s">
        <v>44</v>
      </c>
      <c r="I21" s="56">
        <v>0.21564118633641274</v>
      </c>
      <c r="J21" s="56">
        <v>0.14688532621299763</v>
      </c>
      <c r="K21" s="57">
        <v>6.9819165751716872E-2</v>
      </c>
    </row>
    <row r="22" spans="3:11" x14ac:dyDescent="0.3">
      <c r="C22" t="s">
        <v>24</v>
      </c>
      <c r="H22" s="17" t="s">
        <v>45</v>
      </c>
      <c r="I22" s="56">
        <v>0.23110396578385498</v>
      </c>
      <c r="J22" s="56">
        <v>0.15347956796649107</v>
      </c>
      <c r="K22" s="57">
        <v>7.2511703838736799E-2</v>
      </c>
    </row>
    <row r="23" spans="3:11" x14ac:dyDescent="0.3">
      <c r="C23" t="s">
        <v>31</v>
      </c>
      <c r="H23" s="17" t="s">
        <v>46</v>
      </c>
      <c r="I23" s="56">
        <v>0.15892116423513511</v>
      </c>
      <c r="J23" s="56">
        <v>0.14514167305114817</v>
      </c>
      <c r="K23" s="57">
        <v>5.8961015551365507E-2</v>
      </c>
    </row>
    <row r="24" spans="3:11" x14ac:dyDescent="0.3">
      <c r="C24" t="s">
        <v>32</v>
      </c>
      <c r="H24" s="58" t="s">
        <v>47</v>
      </c>
      <c r="I24" s="59">
        <v>0.17341191411362492</v>
      </c>
      <c r="J24" s="59">
        <v>0.12975112629393851</v>
      </c>
      <c r="K24" s="60">
        <v>5.7092863868342579E-2</v>
      </c>
    </row>
  </sheetData>
  <mergeCells count="4">
    <mergeCell ref="E2:G2"/>
    <mergeCell ref="H2:J2"/>
    <mergeCell ref="K2:N2"/>
    <mergeCell ref="R2:T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24FEA-34D9-4C30-992C-D0A241F88B94}">
  <dimension ref="A1:Z36"/>
  <sheetViews>
    <sheetView zoomScale="70" zoomScaleNormal="70" workbookViewId="0">
      <selection activeCell="X17" activeCellId="3" sqref="X5:Z5 X9:Z9 X13:Z13 X17:Z17"/>
    </sheetView>
  </sheetViews>
  <sheetFormatPr defaultRowHeight="14.4" x14ac:dyDescent="0.3"/>
  <cols>
    <col min="1" max="1" width="13.44140625" customWidth="1"/>
    <col min="2" max="2" width="9.77734375" customWidth="1"/>
    <col min="3" max="3" width="10.88671875" customWidth="1"/>
    <col min="4" max="4" width="9.88671875" customWidth="1"/>
    <col min="15" max="15" width="7.6640625" customWidth="1"/>
    <col min="16" max="16" width="6.6640625" customWidth="1"/>
    <col min="17" max="17" width="6.88671875" customWidth="1"/>
  </cols>
  <sheetData>
    <row r="1" spans="1:26" x14ac:dyDescent="0.3">
      <c r="A1" s="9" t="s">
        <v>79</v>
      </c>
      <c r="B1" s="9"/>
      <c r="C1" s="9"/>
    </row>
    <row r="2" spans="1:26" x14ac:dyDescent="0.3">
      <c r="E2" s="245" t="s">
        <v>10</v>
      </c>
      <c r="F2" s="245"/>
      <c r="G2" s="245"/>
      <c r="H2" s="247" t="s">
        <v>9</v>
      </c>
      <c r="I2" s="247"/>
      <c r="J2" s="247"/>
      <c r="K2" s="248" t="s">
        <v>23</v>
      </c>
      <c r="L2" s="248"/>
      <c r="M2" s="248"/>
      <c r="N2" s="248"/>
      <c r="O2" s="250" t="s">
        <v>48</v>
      </c>
      <c r="P2" s="250"/>
      <c r="Q2" s="250"/>
      <c r="R2" s="249" t="s">
        <v>27</v>
      </c>
      <c r="S2" s="249"/>
      <c r="T2" s="249"/>
      <c r="U2" s="93" t="s">
        <v>28</v>
      </c>
      <c r="V2" s="93"/>
      <c r="W2" s="93"/>
      <c r="X2" s="255" t="s">
        <v>48</v>
      </c>
      <c r="Y2" s="256"/>
      <c r="Z2" s="257"/>
    </row>
    <row r="3" spans="1:26" x14ac:dyDescent="0.3">
      <c r="A3" t="s">
        <v>1</v>
      </c>
      <c r="B3" t="s">
        <v>11</v>
      </c>
      <c r="C3" t="s">
        <v>30</v>
      </c>
      <c r="D3" t="s">
        <v>13</v>
      </c>
      <c r="E3" s="92" t="s">
        <v>17</v>
      </c>
      <c r="F3" s="92" t="s">
        <v>18</v>
      </c>
      <c r="G3" s="92" t="s">
        <v>19</v>
      </c>
      <c r="H3" s="92" t="s">
        <v>17</v>
      </c>
      <c r="I3" s="92" t="s">
        <v>18</v>
      </c>
      <c r="J3" s="92" t="s">
        <v>19</v>
      </c>
      <c r="K3" s="92" t="s">
        <v>17</v>
      </c>
      <c r="L3" s="92" t="s">
        <v>18</v>
      </c>
      <c r="M3" s="92" t="s">
        <v>19</v>
      </c>
      <c r="N3" s="92" t="s">
        <v>20</v>
      </c>
      <c r="O3" t="s">
        <v>17</v>
      </c>
      <c r="P3" t="s">
        <v>18</v>
      </c>
      <c r="Q3" t="s">
        <v>19</v>
      </c>
      <c r="R3" s="92" t="s">
        <v>17</v>
      </c>
      <c r="S3" s="92" t="s">
        <v>18</v>
      </c>
      <c r="T3" s="92" t="s">
        <v>19</v>
      </c>
      <c r="U3" s="92" t="s">
        <v>17</v>
      </c>
      <c r="V3" s="92" t="s">
        <v>18</v>
      </c>
      <c r="W3" s="92" t="s">
        <v>19</v>
      </c>
      <c r="X3" s="67" t="s">
        <v>17</v>
      </c>
      <c r="Y3" s="43" t="s">
        <v>18</v>
      </c>
      <c r="Z3" s="68" t="s">
        <v>19</v>
      </c>
    </row>
    <row r="4" spans="1:26" x14ac:dyDescent="0.3">
      <c r="A4">
        <v>13</v>
      </c>
      <c r="B4" s="92">
        <v>3</v>
      </c>
      <c r="C4" s="96">
        <v>23</v>
      </c>
      <c r="D4" s="97">
        <v>10</v>
      </c>
      <c r="E4" s="32">
        <v>122657</v>
      </c>
      <c r="F4" s="32">
        <v>92376</v>
      </c>
      <c r="G4" s="32">
        <v>56875</v>
      </c>
      <c r="H4" s="15">
        <f>(E4-$D$32)/$D$31</f>
        <v>10.239144886995474</v>
      </c>
      <c r="I4" s="15">
        <f>(F4-$E$32)/$E$31</f>
        <v>4.831868016081188</v>
      </c>
      <c r="J4" s="14">
        <f>(G4-$F$32)/$F$31</f>
        <v>3.1495766342928508</v>
      </c>
      <c r="K4" s="14">
        <f>H4*C4/1000</f>
        <v>0.23550033240089591</v>
      </c>
      <c r="L4" s="14">
        <f>I4*C4/1000</f>
        <v>0.11113296436986732</v>
      </c>
      <c r="M4" s="14">
        <f>J4*C4/1000</f>
        <v>7.2440262588735566E-2</v>
      </c>
      <c r="N4" s="14">
        <f>SUM(K4:M4)</f>
        <v>0.41907355935949875</v>
      </c>
      <c r="O4" s="11">
        <f>K4*100/I33</f>
        <v>109.20934743583804</v>
      </c>
      <c r="P4" s="11">
        <f>L4*100/J33</f>
        <v>75.659677678568102</v>
      </c>
      <c r="Q4" s="11">
        <f>M4*100/K33</f>
        <v>103.75412225110158</v>
      </c>
      <c r="R4" s="21">
        <f>AVERAGE(H4:H6)</f>
        <v>9.9990964575498271</v>
      </c>
      <c r="S4" s="21">
        <f>AVERAGE(I4:I6)</f>
        <v>4.7726846113830028</v>
      </c>
      <c r="T4" s="21">
        <f>AVERAGE(J4:J6)</f>
        <v>2.8839078571784391</v>
      </c>
      <c r="U4" s="23">
        <v>0.23524320918646022</v>
      </c>
      <c r="V4" s="23">
        <f>AVERAGE(L4:L6)</f>
        <v>0.10977174606180906</v>
      </c>
      <c r="W4" s="23">
        <f>AVERAGE(M4:M6)</f>
        <v>6.6329880715104095E-2</v>
      </c>
      <c r="X4" s="69">
        <f>AVERAGE(O4:O6)</f>
        <v>106.64902305112768</v>
      </c>
      <c r="Y4" s="70">
        <f>AVERAGE(P4:P6)</f>
        <v>74.732955899644892</v>
      </c>
      <c r="Z4" s="71">
        <f>AVERAGE(Q4:Q6)</f>
        <v>95.002396549650882</v>
      </c>
    </row>
    <row r="5" spans="1:26" x14ac:dyDescent="0.3">
      <c r="A5">
        <v>14</v>
      </c>
      <c r="B5" s="92">
        <v>3</v>
      </c>
      <c r="C5" s="96">
        <v>23</v>
      </c>
      <c r="D5" s="97">
        <v>10.039999999999999</v>
      </c>
      <c r="E5" s="32">
        <v>112915</v>
      </c>
      <c r="F5" s="32">
        <v>81812</v>
      </c>
      <c r="G5" s="32">
        <v>48562</v>
      </c>
      <c r="H5" s="15">
        <f>(E5-$D$32)/$D$31</f>
        <v>9.4367137536341001</v>
      </c>
      <c r="I5" s="15">
        <f>(F5-$E$32)/$E$31</f>
        <v>4.3150202724342064</v>
      </c>
      <c r="J5" s="14">
        <f>(G5-$F$32)/$F$31</f>
        <v>2.7074925859538697</v>
      </c>
      <c r="K5" s="14">
        <f>H5*C5/1000</f>
        <v>0.21704441633358432</v>
      </c>
      <c r="L5" s="14">
        <f>I5*C5/1000</f>
        <v>9.9245466265986751E-2</v>
      </c>
      <c r="M5" s="14">
        <f>J5*C5/1000</f>
        <v>6.2272329476938997E-2</v>
      </c>
      <c r="N5" s="14">
        <f>SUM(K5:M5)</f>
        <v>0.37856221207651009</v>
      </c>
      <c r="O5" s="11">
        <f>K5*100/I33</f>
        <v>100.65072448404288</v>
      </c>
      <c r="P5" s="11">
        <f>L5*100/J33</f>
        <v>67.566630939071089</v>
      </c>
      <c r="Q5" s="11">
        <f>M5*100/K33</f>
        <v>89.190881624660065</v>
      </c>
      <c r="R5" s="22">
        <f t="shared" ref="R5:W5" si="0">_xlfn.STDEV.P(H4:H6)</f>
        <v>0.39908100207060626</v>
      </c>
      <c r="S5" s="22">
        <f t="shared" si="0"/>
        <v>0.35201627684826697</v>
      </c>
      <c r="T5" s="22">
        <f t="shared" si="0"/>
        <v>0.19119661378481001</v>
      </c>
      <c r="U5" s="24">
        <f>_xlfn.STDEV.P(K4:K6)</f>
        <v>9.1788630476239402E-3</v>
      </c>
      <c r="V5" s="24">
        <f t="shared" si="0"/>
        <v>8.0963743675101386E-3</v>
      </c>
      <c r="W5" s="24">
        <f t="shared" si="0"/>
        <v>4.3975221170506314E-3</v>
      </c>
      <c r="X5" s="72">
        <f>_xlfn.STDEV.P(O4:O6)</f>
        <v>4.2565444957738192</v>
      </c>
      <c r="Y5" s="73">
        <f>_xlfn.STDEV.P(P4:P6)</f>
        <v>5.5120375712476761</v>
      </c>
      <c r="Z5" s="74">
        <f>_xlfn.STDEV.P(Q4:Q6)</f>
        <v>6.2984455195133791</v>
      </c>
    </row>
    <row r="6" spans="1:26" x14ac:dyDescent="0.3">
      <c r="A6">
        <v>15</v>
      </c>
      <c r="B6" s="92">
        <v>3</v>
      </c>
      <c r="C6" s="96">
        <v>23</v>
      </c>
      <c r="D6" s="97">
        <v>10</v>
      </c>
      <c r="E6" s="32">
        <v>123656</v>
      </c>
      <c r="F6" s="32">
        <v>99311</v>
      </c>
      <c r="G6" s="32">
        <v>50201</v>
      </c>
      <c r="H6" s="15">
        <f>(E6-$D$32)/$D$31</f>
        <v>10.321430732019905</v>
      </c>
      <c r="I6" s="15">
        <f>(F6-$E$32)/$E$31</f>
        <v>5.1711655456336132</v>
      </c>
      <c r="J6" s="14">
        <f>(G6-$F$32)/$F$31</f>
        <v>2.7946543512885973</v>
      </c>
      <c r="K6" s="14">
        <f>H6*C6/1000</f>
        <v>0.23739290683645783</v>
      </c>
      <c r="L6" s="14">
        <f>I6*C6/1000</f>
        <v>0.1189368075495731</v>
      </c>
      <c r="M6" s="14">
        <f>J6*C6/1000</f>
        <v>6.4277050079637729E-2</v>
      </c>
      <c r="N6" s="14">
        <f>SUM(K6:M6)</f>
        <v>0.42060676446566869</v>
      </c>
      <c r="O6" s="11">
        <f>K6*100/I33</f>
        <v>110.08699723350212</v>
      </c>
      <c r="P6" s="11">
        <f>L6*100/J33</f>
        <v>80.972559081295486</v>
      </c>
      <c r="Q6" s="11">
        <f>M6*100/K33</f>
        <v>92.062185773191004</v>
      </c>
      <c r="R6" s="21"/>
      <c r="S6" s="21"/>
      <c r="T6" s="21"/>
      <c r="X6" s="75"/>
      <c r="Y6" s="33"/>
      <c r="Z6" s="16"/>
    </row>
    <row r="7" spans="1:26" x14ac:dyDescent="0.3">
      <c r="A7">
        <v>35</v>
      </c>
      <c r="B7" s="92">
        <v>0</v>
      </c>
      <c r="C7" s="96">
        <v>23</v>
      </c>
      <c r="D7" s="97">
        <v>10.02</v>
      </c>
      <c r="E7" s="32">
        <v>0</v>
      </c>
      <c r="F7" s="32">
        <v>0</v>
      </c>
      <c r="G7" s="32">
        <v>0</v>
      </c>
      <c r="O7" s="6"/>
      <c r="P7" s="6"/>
      <c r="Q7" s="6"/>
      <c r="X7" s="75"/>
      <c r="Y7" s="33"/>
      <c r="Z7" s="16"/>
    </row>
    <row r="8" spans="1:26" x14ac:dyDescent="0.3">
      <c r="A8">
        <v>28</v>
      </c>
      <c r="B8" s="92">
        <v>5</v>
      </c>
      <c r="C8" s="96">
        <v>25</v>
      </c>
      <c r="D8" s="97">
        <v>9.98</v>
      </c>
      <c r="E8" s="32">
        <v>118727</v>
      </c>
      <c r="F8" s="32">
        <v>96311</v>
      </c>
      <c r="G8" s="32">
        <v>48413</v>
      </c>
      <c r="H8" s="15">
        <f t="shared" ref="H8:H18" si="1">(E8-$D$32)/$D$31</f>
        <v>9.9154378089714328</v>
      </c>
      <c r="I8" s="15">
        <f t="shared" ref="I8:I19" si="2">(F8-$E$32)/$E$31</f>
        <v>5.0243893973052396</v>
      </c>
      <c r="J8" s="14">
        <f>(G8-$F$32)/$F$31</f>
        <v>2.6995687891052578</v>
      </c>
      <c r="K8" s="14">
        <f t="shared" ref="K8:K15" si="3">H8*C8/1000</f>
        <v>0.24788594522428581</v>
      </c>
      <c r="L8" s="14">
        <f t="shared" ref="L8:L18" si="4">I8*C8/1000</f>
        <v>0.12560973493263097</v>
      </c>
      <c r="M8" s="14">
        <f>J8*C8/1000</f>
        <v>6.7489219727631444E-2</v>
      </c>
      <c r="N8" s="14">
        <f>SUM(K8:M8)</f>
        <v>0.44098489988454825</v>
      </c>
      <c r="O8" s="6">
        <f>K8*100/I34</f>
        <v>107.26165792244628</v>
      </c>
      <c r="P8" s="6">
        <f>L8*100/J34</f>
        <v>81.841339923536353</v>
      </c>
      <c r="Q8" s="6">
        <f>M8*100/K34</f>
        <v>93.073553860663424</v>
      </c>
      <c r="R8" s="21">
        <f t="shared" ref="R8:W8" si="5">AVERAGE(H8:H10)</f>
        <v>10.774455904827086</v>
      </c>
      <c r="S8" s="21">
        <f t="shared" si="5"/>
        <v>5.0085375732857749</v>
      </c>
      <c r="T8" s="21">
        <f t="shared" si="5"/>
        <v>2.7257332726590628</v>
      </c>
      <c r="U8" s="23">
        <f t="shared" si="5"/>
        <v>0.26936139762067718</v>
      </c>
      <c r="V8" s="23">
        <f t="shared" si="5"/>
        <v>0.12521343933214438</v>
      </c>
      <c r="W8" s="23">
        <f t="shared" si="5"/>
        <v>6.8143331816476568E-2</v>
      </c>
      <c r="X8" s="69">
        <f>AVERAGE(O8:O10)</f>
        <v>116.55420827897142</v>
      </c>
      <c r="Y8" s="70">
        <f>AVERAGE(P8:P10)</f>
        <v>81.583132524507747</v>
      </c>
      <c r="Z8" s="71">
        <f>AVERAGE(Q8:Q10)</f>
        <v>93.975631807004106</v>
      </c>
    </row>
    <row r="9" spans="1:26" x14ac:dyDescent="0.3">
      <c r="A9">
        <v>29</v>
      </c>
      <c r="B9" s="92">
        <v>5</v>
      </c>
      <c r="C9" s="96">
        <v>25</v>
      </c>
      <c r="D9" s="97">
        <v>9.98</v>
      </c>
      <c r="E9" s="32">
        <v>144672</v>
      </c>
      <c r="F9" s="32">
        <v>111499</v>
      </c>
      <c r="G9" s="32">
        <v>59714</v>
      </c>
      <c r="H9" s="15">
        <f t="shared" si="1"/>
        <v>12.05248110142276</v>
      </c>
      <c r="I9" s="15">
        <f t="shared" si="2"/>
        <v>5.7674681109090216</v>
      </c>
      <c r="J9" s="14">
        <f>(G10-$F$32)/$F$31</f>
        <v>2.7388155144359652</v>
      </c>
      <c r="K9" s="14">
        <f t="shared" si="3"/>
        <v>0.30131202753556902</v>
      </c>
      <c r="L9" s="14">
        <f t="shared" si="4"/>
        <v>0.14418670277272555</v>
      </c>
      <c r="M9" s="14">
        <f>J9*C9/1000</f>
        <v>6.8470387860899123E-2</v>
      </c>
      <c r="N9" s="14">
        <f>SUM(K9:M9)</f>
        <v>0.51396911816919366</v>
      </c>
      <c r="O9" s="6">
        <f>K9*100/I34</f>
        <v>130.37942750726211</v>
      </c>
      <c r="P9" s="6">
        <f>L9*100/J34</f>
        <v>93.945210221210417</v>
      </c>
      <c r="Q9" s="6">
        <f>M9*100/K34</f>
        <v>94.426670780174462</v>
      </c>
      <c r="R9" s="22">
        <f t="shared" ref="R9:W9" si="6">_xlfn.STDEV.P(H8:H10)</f>
        <v>0.92138074696103855</v>
      </c>
      <c r="S9" s="22">
        <f t="shared" si="6"/>
        <v>0.62623599097425398</v>
      </c>
      <c r="T9" s="22">
        <f t="shared" si="6"/>
        <v>1.8501083747139362E-2</v>
      </c>
      <c r="U9" s="24">
        <f t="shared" si="6"/>
        <v>2.3034518674025967E-2</v>
      </c>
      <c r="V9" s="24">
        <f t="shared" si="6"/>
        <v>1.5655899774356163E-2</v>
      </c>
      <c r="W9" s="24">
        <f t="shared" si="6"/>
        <v>4.6252709367848138E-4</v>
      </c>
      <c r="X9" s="72">
        <f>_xlfn.STDEV.P(O8:O10)</f>
        <v>9.9671671993588848</v>
      </c>
      <c r="Y9" s="73">
        <f>_xlfn.STDEV.P(P8:P10)</f>
        <v>10.200641024591983</v>
      </c>
      <c r="Z9" s="74">
        <f>_xlfn.STDEV.P(Q8:Q10)</f>
        <v>0.63786543301633791</v>
      </c>
    </row>
    <row r="10" spans="1:26" x14ac:dyDescent="0.3">
      <c r="A10" s="98">
        <v>30</v>
      </c>
      <c r="B10" s="96">
        <v>5</v>
      </c>
      <c r="C10" s="96">
        <v>25</v>
      </c>
      <c r="D10" s="99">
        <v>10.050000000000001</v>
      </c>
      <c r="E10" s="100">
        <v>124069</v>
      </c>
      <c r="F10" s="100">
        <v>80151</v>
      </c>
      <c r="G10" s="100">
        <v>49151</v>
      </c>
      <c r="H10" s="15">
        <f t="shared" si="1"/>
        <v>10.355448804087063</v>
      </c>
      <c r="I10" s="15">
        <f t="shared" si="2"/>
        <v>4.2337552116430635</v>
      </c>
      <c r="J10" s="14">
        <f>(G10-$F$32)/$F$31</f>
        <v>2.7388155144359652</v>
      </c>
      <c r="K10" s="14">
        <f t="shared" si="3"/>
        <v>0.2588862201021766</v>
      </c>
      <c r="L10" s="14">
        <f t="shared" si="4"/>
        <v>0.10584388029107658</v>
      </c>
      <c r="M10" s="14">
        <f>J10*C10/1000</f>
        <v>6.8470387860899123E-2</v>
      </c>
      <c r="N10" s="14">
        <f>SUM(K10:M10)</f>
        <v>0.43320048825415225</v>
      </c>
      <c r="O10" s="6">
        <f>K10*100/I34</f>
        <v>112.02153940720584</v>
      </c>
      <c r="P10" s="6">
        <f>L10*100/J34</f>
        <v>68.962847428776499</v>
      </c>
      <c r="Q10" s="6">
        <f>M10*100/K34</f>
        <v>94.426670780174462</v>
      </c>
      <c r="R10" s="21"/>
      <c r="S10" s="21"/>
      <c r="T10" s="21"/>
      <c r="X10" s="75"/>
      <c r="Y10" s="33"/>
      <c r="Z10" s="16"/>
    </row>
    <row r="11" spans="1:26" x14ac:dyDescent="0.3">
      <c r="A11">
        <v>40</v>
      </c>
      <c r="B11" s="92">
        <v>0</v>
      </c>
      <c r="C11" s="96">
        <v>25</v>
      </c>
      <c r="D11" s="97">
        <v>10.01</v>
      </c>
      <c r="E11" s="32">
        <v>0</v>
      </c>
      <c r="F11" s="32">
        <v>0</v>
      </c>
      <c r="G11" s="32">
        <v>0</v>
      </c>
      <c r="H11" s="15">
        <f t="shared" si="1"/>
        <v>0.13610695590268362</v>
      </c>
      <c r="I11" s="15">
        <f t="shared" si="2"/>
        <v>0.31233685675388784</v>
      </c>
      <c r="K11" s="14">
        <f t="shared" si="3"/>
        <v>3.4026738975670907E-3</v>
      </c>
      <c r="L11" s="14">
        <f t="shared" si="4"/>
        <v>7.8084214188471959E-3</v>
      </c>
      <c r="O11" s="6"/>
      <c r="P11" s="6"/>
      <c r="Q11" s="6"/>
      <c r="X11" s="75"/>
      <c r="Y11" s="33"/>
      <c r="Z11" s="16"/>
    </row>
    <row r="12" spans="1:26" x14ac:dyDescent="0.3">
      <c r="A12">
        <v>53</v>
      </c>
      <c r="B12" s="92">
        <v>3</v>
      </c>
      <c r="C12" s="96">
        <v>23</v>
      </c>
      <c r="D12" s="97">
        <v>9.99</v>
      </c>
      <c r="E12" s="32">
        <v>66142</v>
      </c>
      <c r="F12" s="32">
        <v>78512</v>
      </c>
      <c r="G12" s="32">
        <v>32257</v>
      </c>
      <c r="H12" s="15">
        <f t="shared" si="1"/>
        <v>5.5841053158685989</v>
      </c>
      <c r="I12" s="15">
        <f t="shared" si="2"/>
        <v>4.153566509272995</v>
      </c>
      <c r="J12" s="14">
        <f t="shared" ref="J12:J19" si="7">(G12-$F$32)/$F$31</f>
        <v>1.8403952193994262</v>
      </c>
      <c r="K12" s="14">
        <f t="shared" si="3"/>
        <v>0.12843442226497778</v>
      </c>
      <c r="L12" s="14">
        <f t="shared" si="4"/>
        <v>9.5532029713278885E-2</v>
      </c>
      <c r="M12" s="14">
        <f t="shared" ref="M12:M19" si="8">J12*C12/1000</f>
        <v>4.2329090046186797E-2</v>
      </c>
      <c r="N12" s="14">
        <f t="shared" ref="N12:N19" si="9">SUM(K12:M12)</f>
        <v>0.26629554202444344</v>
      </c>
      <c r="O12" s="6">
        <f>K12*100/I35</f>
        <v>80.81643680570447</v>
      </c>
      <c r="P12" s="6">
        <f>L12*100/J35</f>
        <v>65.819848776039137</v>
      </c>
      <c r="Q12" s="6">
        <f>M12*100/K35</f>
        <v>71.791656996326068</v>
      </c>
      <c r="R12" s="21">
        <f t="shared" ref="R12:W12" si="10">AVERAGE(H12:H14)</f>
        <v>4.9083290383956815</v>
      </c>
      <c r="S12" s="21">
        <f t="shared" si="10"/>
        <v>4.391180784955707</v>
      </c>
      <c r="T12" s="21">
        <f t="shared" si="10"/>
        <v>1.8135925777101629</v>
      </c>
      <c r="U12" s="23">
        <f t="shared" si="10"/>
        <v>0.11289156788310069</v>
      </c>
      <c r="V12" s="23">
        <f t="shared" si="10"/>
        <v>0.10099715805398128</v>
      </c>
      <c r="W12" s="23">
        <f t="shared" si="10"/>
        <v>4.1712629287333741E-2</v>
      </c>
      <c r="X12" s="69">
        <f>AVERAGE(O12:O14)</f>
        <v>71.036207434316054</v>
      </c>
      <c r="Y12" s="70">
        <f>AVERAGE(P12:P14)</f>
        <v>69.585223823615223</v>
      </c>
      <c r="Z12" s="71">
        <f>AVERAGE(Q12:Q14)</f>
        <v>70.746117408704791</v>
      </c>
    </row>
    <row r="13" spans="1:26" x14ac:dyDescent="0.3">
      <c r="A13">
        <v>54</v>
      </c>
      <c r="B13" s="92">
        <v>3</v>
      </c>
      <c r="C13" s="96">
        <v>23</v>
      </c>
      <c r="D13" s="97">
        <v>10</v>
      </c>
      <c r="E13" s="32">
        <v>63650</v>
      </c>
      <c r="F13" s="32">
        <v>96561</v>
      </c>
      <c r="G13" s="32">
        <v>34721</v>
      </c>
      <c r="H13" s="15">
        <f t="shared" si="1"/>
        <v>5.3788437284803274</v>
      </c>
      <c r="I13" s="15">
        <f t="shared" si="2"/>
        <v>5.0366207429992702</v>
      </c>
      <c r="J13" s="14">
        <f t="shared" si="7"/>
        <v>1.971430356546936</v>
      </c>
      <c r="K13" s="14">
        <f t="shared" si="3"/>
        <v>0.12371340575504754</v>
      </c>
      <c r="L13" s="14">
        <f t="shared" si="4"/>
        <v>0.1158422770889832</v>
      </c>
      <c r="M13" s="14">
        <f t="shared" si="8"/>
        <v>4.5342898200579525E-2</v>
      </c>
      <c r="N13" s="14">
        <f t="shared" si="9"/>
        <v>0.28489858104461024</v>
      </c>
      <c r="O13" s="6">
        <f>K13*100/I35</f>
        <v>77.845771109507353</v>
      </c>
      <c r="P13" s="6">
        <f>L13*100/J35</f>
        <v>79.813243607961027</v>
      </c>
      <c r="Q13" s="6">
        <f>M13*100/K35</f>
        <v>76.903183869141145</v>
      </c>
      <c r="R13" s="22">
        <f t="shared" ref="R13:W13" si="11">_xlfn.STDEV.P(H12:H14)</f>
        <v>0.81487026228814796</v>
      </c>
      <c r="S13" s="22">
        <f t="shared" si="11"/>
        <v>0.46165465831816921</v>
      </c>
      <c r="T13" s="22">
        <f t="shared" si="11"/>
        <v>0.14109480373337735</v>
      </c>
      <c r="U13" s="24">
        <f t="shared" si="11"/>
        <v>1.87420160326273E-2</v>
      </c>
      <c r="V13" s="24">
        <f t="shared" si="11"/>
        <v>1.0618057141317668E-2</v>
      </c>
      <c r="W13" s="24">
        <f t="shared" si="11"/>
        <v>3.2451804858676775E-3</v>
      </c>
      <c r="X13" s="72">
        <f>_xlfn.STDEV.P(O12:O14)</f>
        <v>11.793278839121333</v>
      </c>
      <c r="Y13" s="73">
        <f>_xlfn.STDEV.P(P12:P14)</f>
        <v>7.3156502320156189</v>
      </c>
      <c r="Z13" s="74">
        <f>_xlfn.STDEV.P(Q12:Q14)</f>
        <v>5.5039426568908851</v>
      </c>
    </row>
    <row r="14" spans="1:26" x14ac:dyDescent="0.3">
      <c r="A14">
        <v>54</v>
      </c>
      <c r="B14" s="92">
        <v>3</v>
      </c>
      <c r="C14" s="96">
        <v>23</v>
      </c>
      <c r="D14" s="97">
        <v>10.01</v>
      </c>
      <c r="E14" s="32">
        <v>44021</v>
      </c>
      <c r="F14" s="32">
        <v>75033</v>
      </c>
      <c r="G14" s="32">
        <v>28281</v>
      </c>
      <c r="H14" s="15">
        <f t="shared" si="1"/>
        <v>3.7620380708381189</v>
      </c>
      <c r="I14" s="15">
        <f t="shared" si="2"/>
        <v>3.9833551025948566</v>
      </c>
      <c r="J14" s="14">
        <f t="shared" si="7"/>
        <v>1.6289521571841261</v>
      </c>
      <c r="K14" s="14">
        <f t="shared" si="3"/>
        <v>8.6526875629276731E-2</v>
      </c>
      <c r="L14" s="14">
        <f t="shared" si="4"/>
        <v>9.16171673596817E-2</v>
      </c>
      <c r="M14" s="14">
        <f t="shared" si="8"/>
        <v>3.7465899615234902E-2</v>
      </c>
      <c r="N14" s="14">
        <f t="shared" si="9"/>
        <v>0.21560994260419331</v>
      </c>
      <c r="O14" s="6">
        <f>K14*100/I35</f>
        <v>54.446414387736354</v>
      </c>
      <c r="P14" s="6">
        <f>L14*100/J35</f>
        <v>63.122579086845484</v>
      </c>
      <c r="Q14" s="6">
        <f>M14*100/K35</f>
        <v>63.543511360647202</v>
      </c>
      <c r="R14" s="21"/>
      <c r="S14" s="21"/>
      <c r="T14" s="21"/>
      <c r="X14" s="75"/>
      <c r="Y14" s="33"/>
      <c r="Z14" s="16"/>
    </row>
    <row r="15" spans="1:26" x14ac:dyDescent="0.3">
      <c r="A15">
        <v>75</v>
      </c>
      <c r="B15" s="92">
        <v>0</v>
      </c>
      <c r="C15" s="96">
        <v>23</v>
      </c>
      <c r="D15" s="97">
        <v>10</v>
      </c>
      <c r="E15" s="32">
        <v>0</v>
      </c>
      <c r="F15" s="32">
        <v>0</v>
      </c>
      <c r="G15" s="32">
        <v>0</v>
      </c>
      <c r="H15" s="15">
        <f t="shared" si="1"/>
        <v>0.13610695590268362</v>
      </c>
      <c r="I15" s="15">
        <f t="shared" si="2"/>
        <v>0.31233685675388784</v>
      </c>
      <c r="J15" s="14">
        <f t="shared" si="7"/>
        <v>0.12497297144194809</v>
      </c>
      <c r="K15" s="14">
        <f t="shared" si="3"/>
        <v>3.1304599857617235E-3</v>
      </c>
      <c r="L15" s="14">
        <f t="shared" si="4"/>
        <v>7.1837477053394204E-3</v>
      </c>
      <c r="M15" s="14">
        <f t="shared" si="8"/>
        <v>2.8743783431648059E-3</v>
      </c>
      <c r="N15" s="14">
        <f t="shared" si="9"/>
        <v>1.318858603426595E-2</v>
      </c>
      <c r="O15" s="6"/>
      <c r="P15" s="6"/>
      <c r="Q15" s="6"/>
      <c r="X15" s="75"/>
      <c r="Y15" s="33"/>
      <c r="Z15" s="16"/>
    </row>
    <row r="16" spans="1:26" x14ac:dyDescent="0.3">
      <c r="A16">
        <v>68</v>
      </c>
      <c r="B16" s="92">
        <v>5</v>
      </c>
      <c r="C16" s="96">
        <v>25</v>
      </c>
      <c r="D16" s="97">
        <v>9.99</v>
      </c>
      <c r="E16" s="32">
        <v>50046</v>
      </c>
      <c r="F16" s="32">
        <v>77612</v>
      </c>
      <c r="G16" s="32">
        <v>38672</v>
      </c>
      <c r="H16" s="15">
        <f t="shared" si="1"/>
        <v>4.2583065555950759</v>
      </c>
      <c r="I16" s="15">
        <f t="shared" si="2"/>
        <v>4.1095336647744825</v>
      </c>
      <c r="J16" s="14">
        <f t="shared" si="7"/>
        <v>2.1815439226466973</v>
      </c>
      <c r="K16" s="14">
        <f>H16*C16/1000</f>
        <v>0.1064576638898769</v>
      </c>
      <c r="L16" s="14">
        <f t="shared" si="4"/>
        <v>0.10273834161936206</v>
      </c>
      <c r="M16" s="14">
        <f t="shared" si="8"/>
        <v>5.4538598066167433E-2</v>
      </c>
      <c r="N16" s="14">
        <f t="shared" si="9"/>
        <v>0.2637346035754064</v>
      </c>
      <c r="O16" s="6">
        <f>K16*100/I36</f>
        <v>61.390051793167167</v>
      </c>
      <c r="P16" s="6">
        <f>L16*100/J36</f>
        <v>79.181078849842407</v>
      </c>
      <c r="Q16" s="6">
        <f>M16*100/K36</f>
        <v>95.52612072838852</v>
      </c>
      <c r="R16" s="21">
        <f t="shared" ref="R16:W16" si="12">AVERAGE(H16:H18)</f>
        <v>4.4657646286696853</v>
      </c>
      <c r="S16" s="21">
        <f t="shared" si="12"/>
        <v>3.9280204946750596</v>
      </c>
      <c r="T16" s="21">
        <f t="shared" si="12"/>
        <v>2.0603825099839224</v>
      </c>
      <c r="U16" s="23">
        <f t="shared" si="12"/>
        <v>0.11164411571674214</v>
      </c>
      <c r="V16" s="23">
        <f t="shared" si="12"/>
        <v>9.8200512366876491E-2</v>
      </c>
      <c r="W16" s="23">
        <f t="shared" si="12"/>
        <v>5.1509562749598066E-2</v>
      </c>
      <c r="X16" s="69">
        <f>AVERAGE(O16:O18)</f>
        <v>64.38087964566806</v>
      </c>
      <c r="Y16" s="70">
        <f>AVERAGE(P16:P18)</f>
        <v>75.683745622687567</v>
      </c>
      <c r="Z16" s="71">
        <f>AVERAGE(Q16:Q18)</f>
        <v>90.220667277052826</v>
      </c>
    </row>
    <row r="17" spans="1:26" x14ac:dyDescent="0.3">
      <c r="A17">
        <v>69</v>
      </c>
      <c r="B17" s="92">
        <v>5</v>
      </c>
      <c r="C17" s="96">
        <v>25</v>
      </c>
      <c r="D17" s="97">
        <v>10.02</v>
      </c>
      <c r="E17" s="32">
        <v>47136</v>
      </c>
      <c r="F17" s="32">
        <v>77083</v>
      </c>
      <c r="G17" s="32">
        <v>36443</v>
      </c>
      <c r="H17" s="15">
        <f t="shared" si="1"/>
        <v>4.0186150550734583</v>
      </c>
      <c r="I17" s="15">
        <f t="shared" si="2"/>
        <v>4.0836521372859123</v>
      </c>
      <c r="J17" s="14">
        <f t="shared" si="7"/>
        <v>2.0630060489852524</v>
      </c>
      <c r="K17" s="14">
        <f>H17*C17/1000</f>
        <v>0.10046537637683646</v>
      </c>
      <c r="L17" s="14">
        <f t="shared" si="4"/>
        <v>0.10209130343214781</v>
      </c>
      <c r="M17" s="14">
        <f t="shared" si="8"/>
        <v>5.1575151224631313E-2</v>
      </c>
      <c r="N17" s="14">
        <f t="shared" si="9"/>
        <v>0.25413183103361559</v>
      </c>
      <c r="O17" s="6">
        <f>K17*100/I36</f>
        <v>57.934529406675246</v>
      </c>
      <c r="P17" s="6">
        <f>L17*100/J36</f>
        <v>78.682402494811441</v>
      </c>
      <c r="Q17" s="6">
        <f>M17*100/K36</f>
        <v>90.335547615135866</v>
      </c>
      <c r="R17" s="36">
        <f t="shared" ref="R17:W17" si="13">_xlfn.STDEV.P(H16:H18)</f>
        <v>0.473107727102066</v>
      </c>
      <c r="S17" s="36">
        <f t="shared" si="13"/>
        <v>0.23863142000355633</v>
      </c>
      <c r="T17" s="36">
        <f t="shared" si="13"/>
        <v>0.10001614058709962</v>
      </c>
      <c r="U17" s="37">
        <f t="shared" si="13"/>
        <v>1.1827693177551592E-2</v>
      </c>
      <c r="V17" s="37">
        <f t="shared" si="13"/>
        <v>5.9657855000889055E-3</v>
      </c>
      <c r="W17" s="37">
        <f t="shared" si="13"/>
        <v>2.5004035146774916E-3</v>
      </c>
      <c r="X17" s="64">
        <f>_xlfn.STDEV.P(O16:O18)</f>
        <v>6.820577027828552</v>
      </c>
      <c r="Y17" s="65">
        <f>_xlfn.STDEV.P(P16:P18)</f>
        <v>4.5978679881159588</v>
      </c>
      <c r="Z17" s="66">
        <f>_xlfn.STDEV.P(Q16:Q18)</f>
        <v>4.3795377307459633</v>
      </c>
    </row>
    <row r="18" spans="1:26" x14ac:dyDescent="0.3">
      <c r="A18">
        <v>70</v>
      </c>
      <c r="B18" s="92">
        <v>5</v>
      </c>
      <c r="C18" s="96">
        <v>25</v>
      </c>
      <c r="D18" s="97">
        <v>10</v>
      </c>
      <c r="E18" s="32">
        <v>60512</v>
      </c>
      <c r="F18" s="32">
        <v>67011</v>
      </c>
      <c r="G18" s="32">
        <v>34066</v>
      </c>
      <c r="H18" s="15">
        <f t="shared" si="1"/>
        <v>5.1203722753405216</v>
      </c>
      <c r="I18" s="15">
        <f t="shared" si="2"/>
        <v>3.5908756819647838</v>
      </c>
      <c r="J18" s="14">
        <f t="shared" si="7"/>
        <v>1.9365975583198178</v>
      </c>
      <c r="K18" s="14">
        <f>H18*C18/1000</f>
        <v>0.12800930688351303</v>
      </c>
      <c r="L18" s="14">
        <f t="shared" si="4"/>
        <v>8.9771892049119603E-2</v>
      </c>
      <c r="M18" s="14">
        <f t="shared" si="8"/>
        <v>4.8414938957995445E-2</v>
      </c>
      <c r="N18" s="14">
        <f t="shared" si="9"/>
        <v>0.26619613789062807</v>
      </c>
      <c r="O18" s="6">
        <f>K18*100/I36</f>
        <v>73.818057737161766</v>
      </c>
      <c r="P18" s="6">
        <f>L18*100/J36</f>
        <v>69.187755523408825</v>
      </c>
      <c r="Q18" s="6">
        <f>M18*100/K36</f>
        <v>84.800333487634077</v>
      </c>
    </row>
    <row r="19" spans="1:26" x14ac:dyDescent="0.3">
      <c r="A19">
        <v>80</v>
      </c>
      <c r="B19" s="92">
        <v>0</v>
      </c>
      <c r="C19" s="96">
        <v>25</v>
      </c>
      <c r="D19" s="97">
        <v>10</v>
      </c>
      <c r="E19" s="32">
        <v>0</v>
      </c>
      <c r="F19" s="32">
        <v>0</v>
      </c>
      <c r="G19" s="32">
        <v>0</v>
      </c>
      <c r="H19" s="15">
        <v>0</v>
      </c>
      <c r="I19" s="15">
        <f t="shared" si="2"/>
        <v>0.31233685675388784</v>
      </c>
      <c r="J19" s="14">
        <f t="shared" si="7"/>
        <v>0.12497297144194809</v>
      </c>
      <c r="K19" s="14">
        <f>H19*C19/1000</f>
        <v>0</v>
      </c>
      <c r="L19" s="14">
        <f>I19*C19/1000</f>
        <v>7.8084214188471959E-3</v>
      </c>
      <c r="M19" s="14">
        <f t="shared" si="8"/>
        <v>3.124324286048702E-3</v>
      </c>
      <c r="N19" s="14">
        <f t="shared" si="9"/>
        <v>1.0932745704895898E-2</v>
      </c>
      <c r="O19" s="6"/>
    </row>
    <row r="20" spans="1:26" x14ac:dyDescent="0.3">
      <c r="B20" s="168"/>
      <c r="C20" s="96"/>
      <c r="D20" s="97"/>
      <c r="E20" s="32"/>
      <c r="F20" s="32"/>
      <c r="G20" s="32"/>
      <c r="H20" s="15"/>
      <c r="I20" s="15"/>
      <c r="J20" s="14"/>
      <c r="K20" s="14"/>
      <c r="L20" s="14"/>
      <c r="M20" s="14"/>
      <c r="N20" s="14"/>
      <c r="O20" s="6"/>
    </row>
    <row r="21" spans="1:26" x14ac:dyDescent="0.3">
      <c r="E21" s="32"/>
      <c r="F21" s="32"/>
      <c r="G21" s="32"/>
      <c r="H21" s="15"/>
      <c r="I21" s="15"/>
      <c r="J21" s="14"/>
      <c r="K21" s="14"/>
      <c r="L21" s="253" t="s">
        <v>101</v>
      </c>
      <c r="M21" s="253"/>
      <c r="N21" s="253"/>
      <c r="P21" s="254" t="s">
        <v>105</v>
      </c>
      <c r="Q21" s="254"/>
      <c r="R21" s="254"/>
    </row>
    <row r="22" spans="1:26" x14ac:dyDescent="0.3">
      <c r="H22" s="15"/>
      <c r="L22" t="s">
        <v>17</v>
      </c>
      <c r="M22" s="14" t="s">
        <v>18</v>
      </c>
      <c r="N22" s="14" t="s">
        <v>19</v>
      </c>
      <c r="P22" s="212" t="s">
        <v>17</v>
      </c>
      <c r="Q22" s="212" t="s">
        <v>18</v>
      </c>
      <c r="R22" s="212" t="s">
        <v>19</v>
      </c>
    </row>
    <row r="23" spans="1:26" x14ac:dyDescent="0.3">
      <c r="A23" t="s">
        <v>80</v>
      </c>
      <c r="B23" s="92">
        <v>3</v>
      </c>
      <c r="C23" s="96">
        <v>23</v>
      </c>
      <c r="D23" s="97">
        <v>0</v>
      </c>
      <c r="E23" s="32">
        <v>170733</v>
      </c>
      <c r="F23" s="32">
        <v>166179</v>
      </c>
      <c r="G23" s="32">
        <v>69828</v>
      </c>
      <c r="H23" s="15">
        <f t="shared" ref="H23:H28" si="14">(E23-$D$32)/$D$31</f>
        <v>14.199079106609657</v>
      </c>
      <c r="I23" s="15">
        <f>(F23-$E$32)/$E$31</f>
        <v>8.4427080411075242</v>
      </c>
      <c r="J23" s="15">
        <f>(G23-$F$32)/$F$31</f>
        <v>3.8384151616758442</v>
      </c>
      <c r="K23" s="211">
        <f>H23*C23/1000</f>
        <v>0.32657881945202211</v>
      </c>
      <c r="L23" s="15">
        <f>H23*100/Q35</f>
        <v>100.88186833599674</v>
      </c>
      <c r="M23" s="15">
        <f t="shared" ref="M23:N23" si="15">I23*100/R35</f>
        <v>99.348336682155079</v>
      </c>
      <c r="N23" s="15">
        <f t="shared" si="15"/>
        <v>96.35838105058329</v>
      </c>
      <c r="O23" t="s">
        <v>102</v>
      </c>
      <c r="P23" s="50">
        <f>AVERAGE(L23,L26)</f>
        <v>101.12271621514424</v>
      </c>
      <c r="Q23" s="50">
        <f t="shared" ref="Q23:R23" si="16">AVERAGE(M23,M26)</f>
        <v>99.146789513197461</v>
      </c>
      <c r="R23" s="50">
        <f t="shared" si="16"/>
        <v>95.188243063273319</v>
      </c>
    </row>
    <row r="24" spans="1:26" x14ac:dyDescent="0.3">
      <c r="A24" t="s">
        <v>81</v>
      </c>
      <c r="B24" s="92">
        <v>3</v>
      </c>
      <c r="C24" s="92">
        <v>23</v>
      </c>
      <c r="D24" s="32">
        <v>0</v>
      </c>
      <c r="E24" s="32">
        <v>162017</v>
      </c>
      <c r="F24" s="32">
        <v>157086</v>
      </c>
      <c r="G24" s="32">
        <v>46416</v>
      </c>
      <c r="H24" s="15">
        <f t="shared" si="14"/>
        <v>13.481157760030133</v>
      </c>
      <c r="I24" s="15">
        <f t="shared" ref="I24:I28" si="17">(F24-$E$32)/$E$31</f>
        <v>7.9978295355242208</v>
      </c>
      <c r="J24" s="15">
        <f t="shared" ref="J24:J28" si="18">(G24-$F$32)/$F$31</f>
        <v>2.5933686393960138</v>
      </c>
      <c r="K24" s="211">
        <f t="shared" ref="K24:K28" si="19">H24*C24/1000</f>
        <v>0.31006662848069305</v>
      </c>
      <c r="L24" s="15">
        <f>H24*100/Q35</f>
        <v>95.781168056953774</v>
      </c>
      <c r="M24" s="15">
        <f t="shared" ref="M24:N24" si="20">I24*100/R35</f>
        <v>94.113293691192411</v>
      </c>
      <c r="N24" s="15">
        <f t="shared" si="20"/>
        <v>65.103120176935505</v>
      </c>
      <c r="O24" t="s">
        <v>103</v>
      </c>
      <c r="P24" s="50">
        <f>AVERAGE(L24,L27)</f>
        <v>96.198253542516213</v>
      </c>
      <c r="Q24" s="50">
        <f t="shared" ref="Q24:R24" si="21">AVERAGE(M24,M27)</f>
        <v>94.207354898490678</v>
      </c>
      <c r="R24" s="50">
        <f t="shared" si="21"/>
        <v>68.214186052970433</v>
      </c>
    </row>
    <row r="25" spans="1:26" x14ac:dyDescent="0.3">
      <c r="A25" t="s">
        <v>82</v>
      </c>
      <c r="B25" s="156">
        <v>3</v>
      </c>
      <c r="C25" s="156">
        <v>23</v>
      </c>
      <c r="D25" s="97">
        <v>0</v>
      </c>
      <c r="E25" s="32">
        <v>165357</v>
      </c>
      <c r="F25" s="32">
        <v>162273</v>
      </c>
      <c r="G25" s="32">
        <v>61634</v>
      </c>
      <c r="H25" s="15">
        <f t="shared" si="14"/>
        <v>13.756267592243947</v>
      </c>
      <c r="I25" s="15">
        <f t="shared" si="17"/>
        <v>8.2516054959839806</v>
      </c>
      <c r="J25" s="15">
        <f t="shared" si="18"/>
        <v>3.4026595148468277</v>
      </c>
      <c r="K25" s="211">
        <f t="shared" si="19"/>
        <v>0.31639415462161075</v>
      </c>
      <c r="L25" s="15">
        <f>H25*100/Q35</f>
        <v>97.735773257963828</v>
      </c>
      <c r="M25" s="15">
        <f t="shared" ref="M25:N25" si="22">I25*100/R35</f>
        <v>97.099565328069502</v>
      </c>
      <c r="N25" s="15">
        <f t="shared" si="22"/>
        <v>85.419306746864265</v>
      </c>
      <c r="O25" t="s">
        <v>104</v>
      </c>
      <c r="P25" s="50">
        <f>AVERAGE(L25,L28)</f>
        <v>97.059722503635683</v>
      </c>
      <c r="Q25" s="50">
        <f t="shared" ref="Q25:R25" si="23">AVERAGE(M25,M28)</f>
        <v>95.6918548822361</v>
      </c>
      <c r="R25" s="50">
        <f t="shared" si="23"/>
        <v>84.820379031242467</v>
      </c>
    </row>
    <row r="26" spans="1:26" x14ac:dyDescent="0.3">
      <c r="A26" t="s">
        <v>83</v>
      </c>
      <c r="B26" s="156">
        <v>5</v>
      </c>
      <c r="C26" s="156">
        <v>25</v>
      </c>
      <c r="D26" s="97">
        <v>0</v>
      </c>
      <c r="E26" s="32">
        <v>263934</v>
      </c>
      <c r="F26" s="32">
        <v>257139</v>
      </c>
      <c r="G26" s="32">
        <v>105635</v>
      </c>
      <c r="H26" s="15">
        <f t="shared" si="14"/>
        <v>21.875878948573661</v>
      </c>
      <c r="I26" s="15">
        <f t="shared" si="17"/>
        <v>12.89296085842383</v>
      </c>
      <c r="J26" s="15">
        <f t="shared" si="18"/>
        <v>5.7426258580398404</v>
      </c>
      <c r="K26" s="211">
        <f t="shared" si="19"/>
        <v>0.54689697371434143</v>
      </c>
      <c r="L26" s="15">
        <f>H26*100/Q36</f>
        <v>101.36356409429172</v>
      </c>
      <c r="M26" s="15">
        <f t="shared" ref="M26:N26" si="24">I26*100/R36</f>
        <v>98.945242344239858</v>
      </c>
      <c r="N26" s="15">
        <f t="shared" si="24"/>
        <v>94.018105075963334</v>
      </c>
      <c r="O26" s="6"/>
      <c r="P26" s="15">
        <f>_xlfn.STDEV.P(L23,L26)</f>
        <v>0.24084787914748773</v>
      </c>
      <c r="Q26" s="15">
        <f t="shared" ref="Q26:R26" si="25">_xlfn.STDEV.P(M23,M26)</f>
        <v>0.20154716895761027</v>
      </c>
      <c r="R26" s="15">
        <f t="shared" si="25"/>
        <v>1.1701379873099782</v>
      </c>
    </row>
    <row r="27" spans="1:26" x14ac:dyDescent="0.3">
      <c r="A27" t="s">
        <v>84</v>
      </c>
      <c r="B27" s="156">
        <v>5</v>
      </c>
      <c r="C27" s="156">
        <v>25</v>
      </c>
      <c r="D27" s="97">
        <v>0</v>
      </c>
      <c r="E27" s="32">
        <v>251493</v>
      </c>
      <c r="F27" s="32">
        <v>244771</v>
      </c>
      <c r="G27" s="32">
        <v>79571</v>
      </c>
      <c r="H27" s="15">
        <f t="shared" si="14"/>
        <v>20.85113600768382</v>
      </c>
      <c r="I27" s="15">
        <f t="shared" si="17"/>
        <v>12.287851724248721</v>
      </c>
      <c r="J27" s="15">
        <f t="shared" si="18"/>
        <v>4.3565463878236486</v>
      </c>
      <c r="K27" s="211">
        <f t="shared" si="19"/>
        <v>0.52127840019209559</v>
      </c>
      <c r="L27" s="15">
        <f>H27*100/Q36</f>
        <v>96.615339028078651</v>
      </c>
      <c r="M27" s="15">
        <f t="shared" ref="M27:N27" si="26">I27*100/R36</f>
        <v>94.301416105788931</v>
      </c>
      <c r="N27" s="15">
        <f t="shared" si="26"/>
        <v>71.325251929005375</v>
      </c>
      <c r="O27" s="6"/>
      <c r="P27" s="15">
        <f>_xlfn.STDEV.P(L24,L27)</f>
        <v>0.41708548556243841</v>
      </c>
      <c r="Q27" s="15">
        <f t="shared" ref="Q27:R27" si="27">_xlfn.STDEV.P(M24,M27)</f>
        <v>9.4061207298260285E-2</v>
      </c>
      <c r="R27" s="15">
        <f t="shared" si="27"/>
        <v>3.1110658760349352</v>
      </c>
    </row>
    <row r="28" spans="1:26" x14ac:dyDescent="0.3">
      <c r="A28" t="s">
        <v>85</v>
      </c>
      <c r="B28" s="156">
        <v>5</v>
      </c>
      <c r="C28" s="156">
        <v>25</v>
      </c>
      <c r="D28" s="97">
        <v>0</v>
      </c>
      <c r="E28" s="32">
        <v>250886</v>
      </c>
      <c r="F28" s="32">
        <v>244725</v>
      </c>
      <c r="G28" s="32">
        <v>94383</v>
      </c>
      <c r="H28" s="15">
        <f t="shared" si="14"/>
        <v>20.801138502248556</v>
      </c>
      <c r="I28" s="15">
        <f t="shared" si="17"/>
        <v>12.285601156641018</v>
      </c>
      <c r="J28" s="15">
        <f t="shared" si="18"/>
        <v>5.1442462463581107</v>
      </c>
      <c r="K28" s="211">
        <f t="shared" si="19"/>
        <v>0.52002846255621382</v>
      </c>
      <c r="L28" s="15">
        <f>H28*100/Q36</f>
        <v>96.383671749307538</v>
      </c>
      <c r="M28" s="15">
        <f t="shared" ref="M28:N28" si="28">I28*100/R36</f>
        <v>94.284144436402713</v>
      </c>
      <c r="N28" s="15">
        <f t="shared" si="28"/>
        <v>84.221451315620669</v>
      </c>
      <c r="O28" s="6"/>
      <c r="P28" s="15">
        <f>_xlfn.STDEV.P(L25,L28)</f>
        <v>0.67605075432814488</v>
      </c>
      <c r="Q28" s="15">
        <f t="shared" ref="Q28:R28" si="29">_xlfn.STDEV.P(M25,M28)</f>
        <v>1.4077104458333949</v>
      </c>
      <c r="R28" s="15">
        <f t="shared" si="29"/>
        <v>0.59892771562179803</v>
      </c>
    </row>
    <row r="30" spans="1:26" x14ac:dyDescent="0.3">
      <c r="D30" t="s">
        <v>17</v>
      </c>
      <c r="E30" t="s">
        <v>18</v>
      </c>
      <c r="F30" t="s">
        <v>19</v>
      </c>
    </row>
    <row r="31" spans="1:26" x14ac:dyDescent="0.3">
      <c r="C31" t="s">
        <v>21</v>
      </c>
      <c r="D31" s="6">
        <f>Standards!Q3</f>
        <v>12140.605710537293</v>
      </c>
      <c r="E31" s="6">
        <f>Standards!R3</f>
        <v>20439.288223371714</v>
      </c>
      <c r="F31" s="6">
        <f>Standards!S3</f>
        <v>18804.116618172477</v>
      </c>
      <c r="I31" s="61"/>
      <c r="J31" s="62" t="s">
        <v>49</v>
      </c>
      <c r="K31" s="63"/>
    </row>
    <row r="32" spans="1:26" x14ac:dyDescent="0.3">
      <c r="C32" t="s">
        <v>22</v>
      </c>
      <c r="D32" s="6">
        <f>Standards!Q4</f>
        <v>-1652.4208860759682</v>
      </c>
      <c r="E32" s="6">
        <f>Standards!R4</f>
        <v>-6383.9430379746773</v>
      </c>
      <c r="F32" s="6">
        <f>Standards!S4</f>
        <v>-2350.0063291139304</v>
      </c>
      <c r="H32" s="54"/>
      <c r="I32" s="91" t="s">
        <v>17</v>
      </c>
      <c r="J32" s="91" t="s">
        <v>18</v>
      </c>
      <c r="K32" s="55" t="s">
        <v>19</v>
      </c>
    </row>
    <row r="33" spans="3:20" x14ac:dyDescent="0.3">
      <c r="H33" s="124" t="s">
        <v>64</v>
      </c>
      <c r="I33" s="56">
        <v>0.21564118633641274</v>
      </c>
      <c r="J33" s="56">
        <v>0.14688532621299763</v>
      </c>
      <c r="K33" s="57">
        <v>6.9819165751716872E-2</v>
      </c>
      <c r="M33" t="s">
        <v>29</v>
      </c>
      <c r="Q33">
        <v>0.53</v>
      </c>
      <c r="R33">
        <v>0.32</v>
      </c>
      <c r="S33">
        <v>0.15</v>
      </c>
    </row>
    <row r="34" spans="3:20" x14ac:dyDescent="0.3">
      <c r="C34" t="s">
        <v>24</v>
      </c>
      <c r="H34" s="124" t="s">
        <v>65</v>
      </c>
      <c r="I34" s="56">
        <v>0.23110396578385498</v>
      </c>
      <c r="J34" s="56">
        <v>0.15347956796649107</v>
      </c>
      <c r="K34" s="57">
        <v>7.2511703838736799E-2</v>
      </c>
      <c r="M34" t="s">
        <v>14</v>
      </c>
      <c r="N34" t="s">
        <v>11</v>
      </c>
      <c r="O34" t="s">
        <v>12</v>
      </c>
      <c r="P34" t="s">
        <v>25</v>
      </c>
      <c r="Q34" t="s">
        <v>17</v>
      </c>
      <c r="R34" t="s">
        <v>18</v>
      </c>
      <c r="S34" t="s">
        <v>19</v>
      </c>
      <c r="T34" t="s">
        <v>20</v>
      </c>
    </row>
    <row r="35" spans="3:20" x14ac:dyDescent="0.3">
      <c r="C35" t="s">
        <v>31</v>
      </c>
      <c r="H35" s="124" t="s">
        <v>66</v>
      </c>
      <c r="I35" s="56">
        <v>0.15892116423513511</v>
      </c>
      <c r="J35" s="56">
        <v>0.14514167305114817</v>
      </c>
      <c r="K35" s="57">
        <v>5.8961015551365507E-2</v>
      </c>
      <c r="M35" t="s">
        <v>15</v>
      </c>
      <c r="N35">
        <v>3</v>
      </c>
      <c r="O35">
        <v>23</v>
      </c>
      <c r="P35">
        <v>26.556521739130432</v>
      </c>
      <c r="Q35">
        <v>14.07495652173913</v>
      </c>
      <c r="R35">
        <v>8.4980869565217407</v>
      </c>
      <c r="S35">
        <v>3.9834782608695654</v>
      </c>
      <c r="T35">
        <v>22.41782608695652</v>
      </c>
    </row>
    <row r="36" spans="3:20" x14ac:dyDescent="0.3">
      <c r="C36" t="s">
        <v>32</v>
      </c>
      <c r="H36" s="125" t="s">
        <v>67</v>
      </c>
      <c r="I36" s="59">
        <v>0.17341191411362492</v>
      </c>
      <c r="J36" s="59">
        <v>0.12975112629393851</v>
      </c>
      <c r="K36" s="60">
        <v>5.7092863868342579E-2</v>
      </c>
      <c r="M36" t="s">
        <v>16</v>
      </c>
      <c r="N36">
        <v>5</v>
      </c>
      <c r="O36">
        <v>25</v>
      </c>
      <c r="P36">
        <v>40.72</v>
      </c>
      <c r="Q36">
        <v>21.581599999999998</v>
      </c>
      <c r="R36">
        <v>13.0304</v>
      </c>
      <c r="S36">
        <v>6.1079999999999997</v>
      </c>
      <c r="T36">
        <v>0</v>
      </c>
    </row>
  </sheetData>
  <mergeCells count="8">
    <mergeCell ref="L21:N21"/>
    <mergeCell ref="P21:R21"/>
    <mergeCell ref="X2:Z2"/>
    <mergeCell ref="E2:G2"/>
    <mergeCell ref="H2:J2"/>
    <mergeCell ref="K2:N2"/>
    <mergeCell ref="O2:Q2"/>
    <mergeCell ref="R2:T2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95093-2477-43DB-B015-F03A68CECC13}">
  <dimension ref="A1:AC26"/>
  <sheetViews>
    <sheetView topLeftCell="B1" zoomScale="80" zoomScaleNormal="80" workbookViewId="0">
      <selection activeCell="M34" sqref="M34"/>
    </sheetView>
  </sheetViews>
  <sheetFormatPr defaultRowHeight="14.4" x14ac:dyDescent="0.3"/>
  <cols>
    <col min="1" max="1" width="13.44140625" customWidth="1"/>
    <col min="2" max="2" width="7.44140625" customWidth="1"/>
    <col min="3" max="3" width="8.88671875" customWidth="1"/>
    <col min="4" max="4" width="9.88671875" customWidth="1"/>
    <col min="11" max="11" width="8.88671875" customWidth="1"/>
    <col min="12" max="12" width="10.109375" customWidth="1"/>
    <col min="13" max="14" width="10.44140625" customWidth="1"/>
    <col min="15" max="15" width="7.21875" customWidth="1"/>
    <col min="16" max="16" width="6.6640625" customWidth="1"/>
    <col min="17" max="17" width="6.88671875" customWidth="1"/>
  </cols>
  <sheetData>
    <row r="1" spans="1:29" x14ac:dyDescent="0.3">
      <c r="A1" s="9" t="s">
        <v>99</v>
      </c>
      <c r="B1" s="9"/>
      <c r="C1" s="9"/>
    </row>
    <row r="2" spans="1:29" x14ac:dyDescent="0.3">
      <c r="AA2" t="s">
        <v>100</v>
      </c>
    </row>
    <row r="3" spans="1:29" x14ac:dyDescent="0.3">
      <c r="E3" s="245" t="s">
        <v>10</v>
      </c>
      <c r="F3" s="245"/>
      <c r="G3" s="245"/>
      <c r="H3" s="247" t="s">
        <v>9</v>
      </c>
      <c r="I3" s="247"/>
      <c r="J3" s="247"/>
      <c r="K3" s="248" t="s">
        <v>23</v>
      </c>
      <c r="L3" s="248"/>
      <c r="M3" s="248"/>
      <c r="N3" s="248"/>
      <c r="O3" s="250" t="s">
        <v>48</v>
      </c>
      <c r="P3" s="250"/>
      <c r="Q3" s="250"/>
      <c r="R3" s="249" t="s">
        <v>27</v>
      </c>
      <c r="S3" s="249"/>
      <c r="T3" s="249"/>
      <c r="U3" s="169" t="s">
        <v>28</v>
      </c>
      <c r="V3" s="169"/>
      <c r="W3" s="169"/>
      <c r="X3" s="255" t="s">
        <v>48</v>
      </c>
      <c r="Y3" s="256"/>
      <c r="Z3" s="257"/>
      <c r="AA3" s="259" t="s">
        <v>48</v>
      </c>
      <c r="AB3" s="250"/>
      <c r="AC3" s="250"/>
    </row>
    <row r="4" spans="1:29" x14ac:dyDescent="0.3">
      <c r="A4" s="49" t="s">
        <v>1</v>
      </c>
      <c r="B4" s="8" t="s">
        <v>11</v>
      </c>
      <c r="C4" s="8" t="s">
        <v>30</v>
      </c>
      <c r="D4" s="8" t="s">
        <v>13</v>
      </c>
      <c r="E4" s="168" t="s">
        <v>17</v>
      </c>
      <c r="F4" s="168" t="s">
        <v>18</v>
      </c>
      <c r="G4" s="168" t="s">
        <v>19</v>
      </c>
      <c r="H4" s="168" t="s">
        <v>17</v>
      </c>
      <c r="I4" s="168" t="s">
        <v>18</v>
      </c>
      <c r="J4" s="168" t="s">
        <v>19</v>
      </c>
      <c r="K4" s="168" t="s">
        <v>17</v>
      </c>
      <c r="L4" s="168" t="s">
        <v>18</v>
      </c>
      <c r="M4" s="168" t="s">
        <v>19</v>
      </c>
      <c r="N4" s="168" t="s">
        <v>20</v>
      </c>
      <c r="O4" t="s">
        <v>17</v>
      </c>
      <c r="P4" t="s">
        <v>18</v>
      </c>
      <c r="Q4" t="s">
        <v>19</v>
      </c>
      <c r="R4" s="168" t="s">
        <v>17</v>
      </c>
      <c r="S4" s="168" t="s">
        <v>18</v>
      </c>
      <c r="T4" s="168" t="s">
        <v>19</v>
      </c>
      <c r="U4" s="168" t="s">
        <v>17</v>
      </c>
      <c r="V4" s="168" t="s">
        <v>18</v>
      </c>
      <c r="W4" s="168" t="s">
        <v>19</v>
      </c>
      <c r="X4" s="67" t="s">
        <v>17</v>
      </c>
      <c r="Y4" s="43" t="s">
        <v>18</v>
      </c>
      <c r="Z4" s="68" t="s">
        <v>19</v>
      </c>
      <c r="AA4" s="67" t="s">
        <v>17</v>
      </c>
      <c r="AB4" s="43" t="s">
        <v>18</v>
      </c>
      <c r="AC4" s="68" t="s">
        <v>19</v>
      </c>
    </row>
    <row r="5" spans="1:29" x14ac:dyDescent="0.3">
      <c r="A5" s="185" t="s">
        <v>86</v>
      </c>
      <c r="B5" s="167">
        <v>3</v>
      </c>
      <c r="C5" s="186">
        <v>23</v>
      </c>
      <c r="D5" s="187">
        <v>10</v>
      </c>
      <c r="E5" s="146">
        <v>139620</v>
      </c>
      <c r="F5" s="146">
        <v>115543</v>
      </c>
      <c r="G5" s="146">
        <v>53804</v>
      </c>
      <c r="H5" s="188">
        <f>(E5-$D$22)/$D$21</f>
        <v>11.636356888146056</v>
      </c>
      <c r="I5" s="188">
        <f>(F5-$E$22)/$E$21</f>
        <v>5.9653223588556701</v>
      </c>
      <c r="J5" s="189">
        <f>(G5-$F$22)/$F$21</f>
        <v>2.9862613314600575</v>
      </c>
      <c r="K5" s="189">
        <f>H5*C5/1000</f>
        <v>0.2676362084273593</v>
      </c>
      <c r="L5" s="189">
        <f>I5*C5/1000</f>
        <v>0.1372024142536804</v>
      </c>
      <c r="M5" s="189">
        <f>J5*C5/1000</f>
        <v>6.8684010623581315E-2</v>
      </c>
      <c r="N5" s="189">
        <f>SUM(K5:M5)</f>
        <v>0.47352263330462102</v>
      </c>
      <c r="O5" s="126">
        <f>K5*100/$L$24</f>
        <v>120.77929034929531</v>
      </c>
      <c r="P5" s="177">
        <f>L5*100/$M$24</f>
        <v>93.468608921314683</v>
      </c>
      <c r="Q5" s="178">
        <f>M5*100/$N$24</f>
        <v>99.442171873604252</v>
      </c>
      <c r="R5" s="147">
        <f>AVERAGE(H5:H7)</f>
        <v>11.849168895081114</v>
      </c>
      <c r="S5" s="147">
        <f>AVERAGE(I5:I7)</f>
        <v>6.0318282625093493</v>
      </c>
      <c r="T5" s="147">
        <f>AVERAGE(J5:J7)</f>
        <v>3.0015594000961912</v>
      </c>
      <c r="U5" s="148">
        <v>0.23524320918646022</v>
      </c>
      <c r="V5" s="148">
        <f>AVERAGE(L5:L7)</f>
        <v>0.13873205003771505</v>
      </c>
      <c r="W5" s="148">
        <f>AVERAGE(M5:M7)</f>
        <v>6.9035866202212401E-2</v>
      </c>
      <c r="X5" s="190">
        <f>AVERAGE(O5:O7)</f>
        <v>122.98816752816641</v>
      </c>
      <c r="Y5" s="191">
        <f>AVERAGE(P5:P7)</f>
        <v>94.510667325809166</v>
      </c>
      <c r="Z5" s="192">
        <f>AVERAGE(Q5:Q7)</f>
        <v>99.951595866281011</v>
      </c>
      <c r="AA5" s="6">
        <v>115.48305198192647</v>
      </c>
      <c r="AB5" s="6">
        <v>83.938047646360246</v>
      </c>
      <c r="AC5" s="6">
        <v>110.44833482697732</v>
      </c>
    </row>
    <row r="6" spans="1:29" x14ac:dyDescent="0.3">
      <c r="A6" s="67" t="s">
        <v>87</v>
      </c>
      <c r="B6" s="18">
        <v>3</v>
      </c>
      <c r="C6" s="193">
        <v>23</v>
      </c>
      <c r="D6" s="194">
        <v>10.039999999999999</v>
      </c>
      <c r="E6" s="101">
        <v>145076</v>
      </c>
      <c r="F6" s="101">
        <v>118044</v>
      </c>
      <c r="G6" s="101">
        <v>54679</v>
      </c>
      <c r="H6" s="139">
        <f t="shared" ref="H6:H17" si="0">(E6-$D$22)/$D$21</f>
        <v>12.085757859570778</v>
      </c>
      <c r="I6" s="139">
        <f t="shared" ref="I6:I17" si="1">(F6-$E$22)/$E$21</f>
        <v>6.0876847411787587</v>
      </c>
      <c r="J6" s="140">
        <f t="shared" ref="J6:J17" si="2">(G6-$F$22)/$F$21</f>
        <v>3.0327936955039174</v>
      </c>
      <c r="K6" s="140">
        <f t="shared" ref="K6:K17" si="3">H6*C6/1000</f>
        <v>0.2779724307701279</v>
      </c>
      <c r="L6" s="140">
        <f t="shared" ref="L6:L17" si="4">I6*C6/1000</f>
        <v>0.14001674904711145</v>
      </c>
      <c r="M6" s="140">
        <f t="shared" ref="M6:M17" si="5">J6*C6/1000</f>
        <v>6.9754254996590104E-2</v>
      </c>
      <c r="N6" s="140">
        <f t="shared" ref="N6:N17" si="6">SUM(K6:M6)</f>
        <v>0.48774343481382948</v>
      </c>
      <c r="O6" s="45">
        <f t="shared" ref="O6:O10" si="7">K6*100/$L$24</f>
        <v>125.44383707407437</v>
      </c>
      <c r="P6" s="141">
        <f t="shared" ref="P6:P10" si="8">L6*100/$M$24</f>
        <v>95.385863509083705</v>
      </c>
      <c r="Q6" s="179">
        <f t="shared" ref="Q6:Q10" si="9">M6*100/$N$24</f>
        <v>100.99169444692582</v>
      </c>
      <c r="R6" s="143">
        <f t="shared" ref="R6:W6" si="10">_xlfn.STDEV.P(H5:H7)</f>
        <v>0.18423592856676338</v>
      </c>
      <c r="S6" s="143">
        <f t="shared" si="10"/>
        <v>5.0518615983398442E-2</v>
      </c>
      <c r="T6" s="143">
        <f t="shared" si="10"/>
        <v>2.2087518627259387E-2</v>
      </c>
      <c r="U6" s="144">
        <f>_xlfn.STDEV.P(K5:K7)</f>
        <v>4.2374263570355494E-3</v>
      </c>
      <c r="V6" s="144">
        <f t="shared" si="10"/>
        <v>1.1619281676181667E-3</v>
      </c>
      <c r="W6" s="144">
        <f t="shared" si="10"/>
        <v>5.0801292842697166E-4</v>
      </c>
      <c r="X6" s="72">
        <f>_xlfn.STDEV.P(O5:O7)</f>
        <v>1.9122724511659757</v>
      </c>
      <c r="Y6" s="73">
        <f>_xlfn.STDEV.P(P5:P7)</f>
        <v>0.79155902674539647</v>
      </c>
      <c r="Z6" s="74">
        <f>_xlfn.STDEV.P(Q5:Q7)</f>
        <v>0.73551192605085991</v>
      </c>
      <c r="AA6" s="6">
        <v>3.2020158355130346</v>
      </c>
      <c r="AB6" s="6">
        <v>1.8779146185051783</v>
      </c>
      <c r="AC6" s="6">
        <v>2.8396747749124596</v>
      </c>
    </row>
    <row r="7" spans="1:29" x14ac:dyDescent="0.3">
      <c r="A7" s="195" t="s">
        <v>88</v>
      </c>
      <c r="B7" s="166">
        <v>3</v>
      </c>
      <c r="C7" s="150">
        <v>23</v>
      </c>
      <c r="D7" s="196">
        <v>10</v>
      </c>
      <c r="E7" s="34">
        <v>141915</v>
      </c>
      <c r="F7" s="34">
        <v>117120</v>
      </c>
      <c r="G7" s="34">
        <v>53792</v>
      </c>
      <c r="H7" s="197">
        <f t="shared" si="0"/>
        <v>11.825391937526506</v>
      </c>
      <c r="I7" s="197">
        <f t="shared" si="1"/>
        <v>6.0424776874936192</v>
      </c>
      <c r="J7" s="172">
        <f t="shared" si="2"/>
        <v>2.9856231733245986</v>
      </c>
      <c r="K7" s="172">
        <f t="shared" si="3"/>
        <v>0.27198401456310961</v>
      </c>
      <c r="L7" s="172">
        <f t="shared" si="4"/>
        <v>0.13897698681235324</v>
      </c>
      <c r="M7" s="172">
        <f t="shared" si="5"/>
        <v>6.8669332986465756E-2</v>
      </c>
      <c r="N7" s="172">
        <f t="shared" si="6"/>
        <v>0.47963033436192865</v>
      </c>
      <c r="O7" s="64">
        <f t="shared" si="7"/>
        <v>122.74137516112958</v>
      </c>
      <c r="P7" s="65">
        <f t="shared" si="8"/>
        <v>94.677529547029096</v>
      </c>
      <c r="Q7" s="66">
        <f t="shared" si="9"/>
        <v>99.42092127831296</v>
      </c>
      <c r="R7" s="142"/>
      <c r="S7" s="142"/>
      <c r="T7" s="142"/>
      <c r="U7" s="33"/>
      <c r="V7" s="33"/>
      <c r="W7" s="33"/>
      <c r="X7" s="75"/>
      <c r="Y7" s="33"/>
      <c r="Z7" s="16"/>
    </row>
    <row r="8" spans="1:29" x14ac:dyDescent="0.3">
      <c r="A8" s="185" t="s">
        <v>89</v>
      </c>
      <c r="B8" s="167">
        <v>3</v>
      </c>
      <c r="C8" s="186">
        <v>23</v>
      </c>
      <c r="D8" s="187">
        <v>10.02</v>
      </c>
      <c r="E8" s="146">
        <v>161623</v>
      </c>
      <c r="F8" s="146">
        <v>106645</v>
      </c>
      <c r="G8" s="146">
        <v>56489</v>
      </c>
      <c r="H8" s="188">
        <f t="shared" si="0"/>
        <v>13.448704684014491</v>
      </c>
      <c r="I8" s="188">
        <f t="shared" si="1"/>
        <v>5.5299843029137126</v>
      </c>
      <c r="J8" s="189">
        <f t="shared" si="2"/>
        <v>3.1290492142689308</v>
      </c>
      <c r="K8" s="189">
        <f t="shared" si="3"/>
        <v>0.30932020773233332</v>
      </c>
      <c r="L8" s="189">
        <f t="shared" si="4"/>
        <v>0.12718963896701538</v>
      </c>
      <c r="M8" s="189">
        <f t="shared" si="5"/>
        <v>7.1968131928185408E-2</v>
      </c>
      <c r="N8" s="189">
        <f t="shared" si="6"/>
        <v>0.50847797862753408</v>
      </c>
      <c r="O8" s="126">
        <f t="shared" si="7"/>
        <v>139.59051131434549</v>
      </c>
      <c r="P8" s="177">
        <f t="shared" si="8"/>
        <v>86.647444858152483</v>
      </c>
      <c r="Q8" s="177">
        <f t="shared" si="9"/>
        <v>104.19699257002526</v>
      </c>
      <c r="R8" s="208">
        <f>AVERAGE(H8:H10)</f>
        <v>13.525142385899047</v>
      </c>
      <c r="S8" s="147">
        <f>AVERAGE(I8:I10)</f>
        <v>5.2877058074063426</v>
      </c>
      <c r="T8" s="147">
        <f>AVERAGE(J8:J10)</f>
        <v>3.3009441987006682</v>
      </c>
      <c r="U8" s="147">
        <f t="shared" ref="U8:V8" si="11">AVERAGE(K8:K10)</f>
        <v>0.31107827487567813</v>
      </c>
      <c r="V8" s="147">
        <f t="shared" si="11"/>
        <v>0.12161723357034589</v>
      </c>
      <c r="W8" s="147">
        <f>AVERAGE(M8:M10)</f>
        <v>7.5921716570115372E-2</v>
      </c>
      <c r="X8" s="190">
        <f>AVERAGE(O8:O10)</f>
        <v>140.38389462823753</v>
      </c>
      <c r="Y8" s="191">
        <f t="shared" ref="Y8:Z8" si="12">AVERAGE(P8:P10)</f>
        <v>82.851265442465888</v>
      </c>
      <c r="Z8" s="192">
        <f t="shared" si="12"/>
        <v>109.92107652945352</v>
      </c>
      <c r="AA8" s="6">
        <v>155.074441060249</v>
      </c>
      <c r="AB8" s="6">
        <v>117.93056503846888</v>
      </c>
      <c r="AC8" s="6">
        <v>100.06523436232777</v>
      </c>
    </row>
    <row r="9" spans="1:29" x14ac:dyDescent="0.3">
      <c r="A9" s="67" t="s">
        <v>91</v>
      </c>
      <c r="B9" s="18">
        <v>3</v>
      </c>
      <c r="C9" s="193">
        <v>23</v>
      </c>
      <c r="D9" s="194">
        <v>9.98</v>
      </c>
      <c r="E9" s="101">
        <v>164832</v>
      </c>
      <c r="F9" s="101">
        <v>85953</v>
      </c>
      <c r="G9" s="101">
        <v>63926</v>
      </c>
      <c r="H9" s="139">
        <f t="shared" si="0"/>
        <v>13.713024280294171</v>
      </c>
      <c r="I9" s="139">
        <f t="shared" si="1"/>
        <v>4.5176202825101388</v>
      </c>
      <c r="J9" s="140">
        <f t="shared" si="2"/>
        <v>3.5245477187194307</v>
      </c>
      <c r="K9" s="140">
        <f t="shared" si="3"/>
        <v>0.31539955844676593</v>
      </c>
      <c r="L9" s="140">
        <f t="shared" si="4"/>
        <v>0.1039052664977332</v>
      </c>
      <c r="M9" s="140">
        <f t="shared" si="5"/>
        <v>8.10645975305469E-2</v>
      </c>
      <c r="N9" s="140">
        <f t="shared" si="6"/>
        <v>0.50036942247504601</v>
      </c>
      <c r="O9" s="45">
        <f t="shared" si="7"/>
        <v>142.33401029525015</v>
      </c>
      <c r="P9" s="141">
        <f t="shared" si="8"/>
        <v>70.785057041232676</v>
      </c>
      <c r="Q9" s="141">
        <f t="shared" si="9"/>
        <v>117.36704900178805</v>
      </c>
      <c r="R9" s="210">
        <f>_xlfn.STDEV.P(H8:H10)</f>
        <v>0.1336190312732741</v>
      </c>
      <c r="S9" s="143">
        <f t="shared" ref="S9:T9" si="13">_xlfn.STDEV.P(I8:I10)</f>
        <v>0.55686947761937877</v>
      </c>
      <c r="T9" s="143">
        <f t="shared" si="13"/>
        <v>0.16554978353969838</v>
      </c>
      <c r="U9" s="143">
        <f>_xlfn.STDEV.P(K8:K10)</f>
        <v>3.0732377192852979E-3</v>
      </c>
      <c r="V9" s="143">
        <f t="shared" ref="V9" si="14">_xlfn.STDEV.P(L8:L10)</f>
        <v>1.2807997985245725E-2</v>
      </c>
      <c r="W9" s="143">
        <f t="shared" ref="W9" si="15">_xlfn.STDEV.P(M8:M10)</f>
        <v>3.8076450214130594E-3</v>
      </c>
      <c r="X9" s="72">
        <f>_xlfn.STDEV.P(O8:O10)</f>
        <v>1.3868955661532179</v>
      </c>
      <c r="Y9" s="73">
        <f t="shared" ref="Y9:Z9" si="16">_xlfn.STDEV.P(P8:P10)</f>
        <v>8.7253986109491173</v>
      </c>
      <c r="Z9" s="74">
        <f t="shared" si="16"/>
        <v>5.512789471892491</v>
      </c>
      <c r="AA9" s="6">
        <v>11.1467504074171</v>
      </c>
      <c r="AB9" s="6">
        <v>9.8974023968280846</v>
      </c>
      <c r="AC9" s="6">
        <v>45.836673728770329</v>
      </c>
    </row>
    <row r="10" spans="1:29" x14ac:dyDescent="0.3">
      <c r="A10" s="195" t="s">
        <v>90</v>
      </c>
      <c r="B10" s="166">
        <v>3</v>
      </c>
      <c r="C10" s="150">
        <v>23</v>
      </c>
      <c r="D10" s="196">
        <v>9.98</v>
      </c>
      <c r="E10" s="34">
        <v>161198</v>
      </c>
      <c r="F10" s="34">
        <v>112481</v>
      </c>
      <c r="G10" s="34">
        <v>58749</v>
      </c>
      <c r="H10" s="197">
        <f t="shared" si="0"/>
        <v>13.413698193388482</v>
      </c>
      <c r="I10" s="197">
        <f t="shared" si="1"/>
        <v>5.8155128367951763</v>
      </c>
      <c r="J10" s="172">
        <f t="shared" si="2"/>
        <v>3.2492356631136436</v>
      </c>
      <c r="K10" s="172">
        <f t="shared" si="3"/>
        <v>0.30851505844793509</v>
      </c>
      <c r="L10" s="172">
        <f t="shared" si="4"/>
        <v>0.13375679524628906</v>
      </c>
      <c r="M10" s="172">
        <f t="shared" si="5"/>
        <v>7.4732420251613807E-2</v>
      </c>
      <c r="N10" s="172">
        <f t="shared" si="6"/>
        <v>0.51700427394583803</v>
      </c>
      <c r="O10" s="64">
        <f t="shared" si="7"/>
        <v>139.22716227511691</v>
      </c>
      <c r="P10" s="65">
        <f t="shared" si="8"/>
        <v>91.121294428012519</v>
      </c>
      <c r="Q10" s="65">
        <f t="shared" si="9"/>
        <v>108.19918801654724</v>
      </c>
      <c r="R10" s="75"/>
      <c r="S10" s="143"/>
      <c r="T10" s="143"/>
      <c r="U10" s="144"/>
      <c r="V10" s="144"/>
      <c r="W10" s="144"/>
      <c r="X10" s="198"/>
      <c r="Y10" s="199"/>
      <c r="Z10" s="200"/>
    </row>
    <row r="11" spans="1:29" x14ac:dyDescent="0.3">
      <c r="A11" s="201" t="s">
        <v>92</v>
      </c>
      <c r="B11" s="186">
        <v>5</v>
      </c>
      <c r="C11" s="186">
        <v>25</v>
      </c>
      <c r="D11" s="202">
        <v>10.050000000000001</v>
      </c>
      <c r="E11" s="203">
        <v>83775</v>
      </c>
      <c r="F11" s="203">
        <v>109804</v>
      </c>
      <c r="G11" s="203">
        <v>53500</v>
      </c>
      <c r="H11" s="188">
        <f t="shared" si="0"/>
        <v>7.0365040198884197</v>
      </c>
      <c r="I11" s="188">
        <f t="shared" si="1"/>
        <v>5.6845395871034903</v>
      </c>
      <c r="J11" s="189">
        <f t="shared" si="2"/>
        <v>2.9700946586951047</v>
      </c>
      <c r="K11" s="189">
        <f t="shared" si="3"/>
        <v>0.1759126004972105</v>
      </c>
      <c r="L11" s="189">
        <f t="shared" si="4"/>
        <v>0.14211348967758727</v>
      </c>
      <c r="M11" s="189">
        <f t="shared" si="5"/>
        <v>7.4252366467377609E-2</v>
      </c>
      <c r="N11" s="189">
        <f t="shared" si="6"/>
        <v>0.39227845664217537</v>
      </c>
      <c r="O11" s="180">
        <f>K11*100/$L$26</f>
        <v>92.658066403288885</v>
      </c>
      <c r="P11" s="26">
        <f>L11*100/M26</f>
        <v>96.671074810321073</v>
      </c>
      <c r="Q11" s="181">
        <f>M11*100/N26</f>
        <v>137.65989898317045</v>
      </c>
      <c r="R11" s="208">
        <f>AVERAGE(H11:H13)</f>
        <v>8.487584832496438</v>
      </c>
      <c r="S11" s="147">
        <f t="shared" ref="S11:W11" si="17">AVERAGE(I11:I13)</f>
        <v>5.5645419316145821</v>
      </c>
      <c r="T11" s="147">
        <f t="shared" si="17"/>
        <v>2.7010046449100398</v>
      </c>
      <c r="U11" s="147">
        <f t="shared" si="17"/>
        <v>0.21218962081241091</v>
      </c>
      <c r="V11" s="147">
        <f t="shared" si="17"/>
        <v>0.13911354829036457</v>
      </c>
      <c r="W11" s="147">
        <f t="shared" si="17"/>
        <v>6.7525116122751E-2</v>
      </c>
      <c r="X11" s="69">
        <f>AVERAGE(O11:O13)</f>
        <v>111.76618343287373</v>
      </c>
      <c r="Y11" s="70">
        <f t="shared" ref="Y11:Z11" si="18">AVERAGE(P11:P13)</f>
        <v>94.630399017131239</v>
      </c>
      <c r="Z11" s="71">
        <f t="shared" si="18"/>
        <v>125.18793819680734</v>
      </c>
      <c r="AA11" s="6">
        <v>139.45357504457107</v>
      </c>
      <c r="AB11" s="6">
        <v>143.7943870575433</v>
      </c>
      <c r="AC11" s="6">
        <v>131.53294551102624</v>
      </c>
    </row>
    <row r="12" spans="1:29" x14ac:dyDescent="0.3">
      <c r="A12" s="67" t="s">
        <v>93</v>
      </c>
      <c r="B12" s="18">
        <v>5</v>
      </c>
      <c r="C12" s="193">
        <v>25</v>
      </c>
      <c r="D12" s="194">
        <v>10.01</v>
      </c>
      <c r="E12" s="101">
        <v>115393</v>
      </c>
      <c r="F12" s="101">
        <v>103899</v>
      </c>
      <c r="G12" s="101">
        <v>48182</v>
      </c>
      <c r="H12" s="139">
        <f t="shared" si="0"/>
        <v>9.6408221860370436</v>
      </c>
      <c r="I12" s="139">
        <f t="shared" si="1"/>
        <v>5.3956352018104736</v>
      </c>
      <c r="J12" s="140">
        <f t="shared" si="2"/>
        <v>2.687284244997679</v>
      </c>
      <c r="K12" s="140">
        <f t="shared" si="3"/>
        <v>0.24102055465092609</v>
      </c>
      <c r="L12" s="140">
        <f t="shared" si="4"/>
        <v>0.13489088004526184</v>
      </c>
      <c r="M12" s="140">
        <f t="shared" si="5"/>
        <v>6.7182106124941979E-2</v>
      </c>
      <c r="N12" s="140">
        <f t="shared" si="6"/>
        <v>0.44309354082112989</v>
      </c>
      <c r="O12" s="19">
        <f t="shared" ref="O12:O13" si="19">K12*100/$L$26</f>
        <v>126.95223931816732</v>
      </c>
      <c r="P12" s="149">
        <f>L12*100/M26</f>
        <v>91.757977273441767</v>
      </c>
      <c r="Q12" s="182">
        <f>M12*100/N26</f>
        <v>124.55201608556588</v>
      </c>
      <c r="R12" s="19">
        <f>_xlfn.STDEV.P(H11:H13)</f>
        <v>1.0838669420843237</v>
      </c>
      <c r="S12" s="149">
        <f t="shared" ref="S12:W12" si="20">_xlfn.STDEV.P(I11:I13)</f>
        <v>0.12291056131231157</v>
      </c>
      <c r="T12" s="149">
        <f t="shared" si="20"/>
        <v>0.21432943846805499</v>
      </c>
      <c r="U12" s="149">
        <f t="shared" si="20"/>
        <v>2.7096673552108399E-2</v>
      </c>
      <c r="V12" s="149">
        <f t="shared" si="20"/>
        <v>3.0727640328077946E-3</v>
      </c>
      <c r="W12" s="149">
        <f t="shared" si="20"/>
        <v>5.3582359617013698E-3</v>
      </c>
      <c r="X12" s="19">
        <f>_xlfn.STDEV.P(O11:O13)</f>
        <v>14.272572687817719</v>
      </c>
      <c r="Y12" s="149">
        <f t="shared" ref="Y12:Z12" si="21">_xlfn.STDEV.P(P11:P13)</f>
        <v>2.0902125643662472</v>
      </c>
      <c r="Z12" s="182">
        <f t="shared" si="21"/>
        <v>9.9338816566859016</v>
      </c>
      <c r="AA12" s="6">
        <v>17.629576826325472</v>
      </c>
      <c r="AB12" s="6">
        <v>2.7437557209926138</v>
      </c>
      <c r="AC12" s="6">
        <v>4.8108288565709962</v>
      </c>
    </row>
    <row r="13" spans="1:29" x14ac:dyDescent="0.3">
      <c r="A13" s="195" t="s">
        <v>94</v>
      </c>
      <c r="B13" s="166">
        <v>5</v>
      </c>
      <c r="C13" s="150">
        <v>25</v>
      </c>
      <c r="D13" s="196">
        <v>9.99</v>
      </c>
      <c r="E13" s="34">
        <v>105008</v>
      </c>
      <c r="F13" s="34">
        <v>108351</v>
      </c>
      <c r="G13" s="34">
        <v>43638</v>
      </c>
      <c r="H13" s="197">
        <f t="shared" si="0"/>
        <v>8.78542829156385</v>
      </c>
      <c r="I13" s="197">
        <f t="shared" si="1"/>
        <v>5.6134510059297815</v>
      </c>
      <c r="J13" s="172">
        <f t="shared" si="2"/>
        <v>2.445635031037336</v>
      </c>
      <c r="K13" s="172">
        <f t="shared" si="3"/>
        <v>0.21963570728909623</v>
      </c>
      <c r="L13" s="172">
        <f t="shared" si="4"/>
        <v>0.14033627514824454</v>
      </c>
      <c r="M13" s="172">
        <f t="shared" si="5"/>
        <v>6.1140875775933405E-2</v>
      </c>
      <c r="N13" s="172">
        <f t="shared" si="6"/>
        <v>0.42111285821327415</v>
      </c>
      <c r="O13" s="183">
        <f t="shared" si="19"/>
        <v>115.68824457716497</v>
      </c>
      <c r="P13" s="25">
        <f>L13*100/M26</f>
        <v>95.462144967630877</v>
      </c>
      <c r="Q13" s="184">
        <f>M13*100/N26</f>
        <v>113.35189952168562</v>
      </c>
      <c r="R13" s="209"/>
      <c r="S13" s="145"/>
      <c r="T13" s="145"/>
      <c r="U13" s="59"/>
      <c r="V13" s="59"/>
      <c r="W13" s="59"/>
      <c r="X13" s="198"/>
      <c r="Y13" s="204"/>
      <c r="Z13" s="205"/>
    </row>
    <row r="14" spans="1:29" x14ac:dyDescent="0.3">
      <c r="A14" s="185" t="s">
        <v>95</v>
      </c>
      <c r="B14" s="167">
        <v>3</v>
      </c>
      <c r="C14" s="186">
        <v>23</v>
      </c>
      <c r="D14" s="187">
        <v>10</v>
      </c>
      <c r="E14" s="146">
        <v>112443</v>
      </c>
      <c r="F14" s="146">
        <v>120234</v>
      </c>
      <c r="G14" s="146">
        <v>44275</v>
      </c>
      <c r="H14" s="188">
        <f>(E14-$D$22)/$D$21</f>
        <v>9.3978359569859204</v>
      </c>
      <c r="I14" s="188">
        <f t="shared" si="1"/>
        <v>6.1948313294584718</v>
      </c>
      <c r="J14" s="189">
        <f t="shared" si="2"/>
        <v>2.4795105920612661</v>
      </c>
      <c r="K14" s="189">
        <f t="shared" si="3"/>
        <v>0.21615022701067615</v>
      </c>
      <c r="L14" s="189">
        <f t="shared" si="4"/>
        <v>0.14248112057754486</v>
      </c>
      <c r="M14" s="189">
        <f t="shared" si="5"/>
        <v>5.7028743617409117E-2</v>
      </c>
      <c r="N14" s="189">
        <f t="shared" si="6"/>
        <v>0.41566009120563013</v>
      </c>
      <c r="O14" s="180">
        <f>K14*100/L23</f>
        <v>100</v>
      </c>
      <c r="P14" s="26">
        <f t="shared" ref="P14:Q17" si="22">L14*100/M23</f>
        <v>100</v>
      </c>
      <c r="Q14" s="181">
        <f t="shared" si="22"/>
        <v>100</v>
      </c>
      <c r="R14" s="143"/>
      <c r="S14" s="143"/>
      <c r="T14" s="143"/>
      <c r="U14" s="144"/>
      <c r="V14" s="144"/>
      <c r="W14" s="144"/>
      <c r="X14" s="73"/>
      <c r="Y14" s="73"/>
      <c r="Z14" s="73"/>
    </row>
    <row r="15" spans="1:29" x14ac:dyDescent="0.3">
      <c r="A15" s="67" t="s">
        <v>96</v>
      </c>
      <c r="B15" s="18">
        <v>3</v>
      </c>
      <c r="C15" s="193">
        <v>23</v>
      </c>
      <c r="D15" s="194">
        <v>10.01</v>
      </c>
      <c r="E15" s="101">
        <v>115315</v>
      </c>
      <c r="F15" s="101">
        <v>124063</v>
      </c>
      <c r="G15" s="101">
        <v>54119</v>
      </c>
      <c r="H15" s="139">
        <f t="shared" si="0"/>
        <v>9.6343974654045059</v>
      </c>
      <c r="I15" s="139">
        <f t="shared" si="1"/>
        <v>6.3821666201082534</v>
      </c>
      <c r="J15" s="140">
        <f t="shared" si="2"/>
        <v>3.0030129825158469</v>
      </c>
      <c r="K15" s="140">
        <f t="shared" si="3"/>
        <v>0.22159114170430363</v>
      </c>
      <c r="L15" s="140">
        <f t="shared" si="4"/>
        <v>0.14678983226248982</v>
      </c>
      <c r="M15" s="140">
        <f t="shared" si="5"/>
        <v>6.9069298597864467E-2</v>
      </c>
      <c r="N15" s="140">
        <f t="shared" si="6"/>
        <v>0.43745027256465796</v>
      </c>
      <c r="O15" s="19">
        <f t="shared" ref="O15:O17" si="23">K15*100/L24</f>
        <v>100</v>
      </c>
      <c r="P15" s="149">
        <f t="shared" si="22"/>
        <v>100</v>
      </c>
      <c r="Q15" s="182">
        <f t="shared" si="22"/>
        <v>100</v>
      </c>
      <c r="R15" s="142"/>
      <c r="S15" s="142"/>
      <c r="T15" s="142"/>
      <c r="U15" s="33"/>
      <c r="V15" s="33"/>
      <c r="W15" s="33"/>
      <c r="X15" s="33"/>
      <c r="Y15" s="33"/>
      <c r="Z15" s="33"/>
    </row>
    <row r="16" spans="1:29" x14ac:dyDescent="0.3">
      <c r="A16" s="67" t="s">
        <v>97</v>
      </c>
      <c r="B16" s="18">
        <v>5</v>
      </c>
      <c r="C16" s="193">
        <v>25</v>
      </c>
      <c r="D16" s="194">
        <v>10</v>
      </c>
      <c r="E16" s="101">
        <v>77435</v>
      </c>
      <c r="F16" s="101">
        <v>131165</v>
      </c>
      <c r="G16" s="101">
        <v>45211</v>
      </c>
      <c r="H16" s="139">
        <f t="shared" si="0"/>
        <v>6.5142895479615976</v>
      </c>
      <c r="I16" s="139">
        <f t="shared" si="1"/>
        <v>6.7296346885842917</v>
      </c>
      <c r="J16" s="140">
        <f t="shared" si="2"/>
        <v>2.5292869266270408</v>
      </c>
      <c r="K16" s="140">
        <f t="shared" si="3"/>
        <v>0.16285723869903995</v>
      </c>
      <c r="L16" s="140">
        <f t="shared" si="4"/>
        <v>0.16824086721460729</v>
      </c>
      <c r="M16" s="140">
        <f t="shared" si="5"/>
        <v>6.3232173165676017E-2</v>
      </c>
      <c r="N16" s="140">
        <f t="shared" si="6"/>
        <v>0.39433027907932328</v>
      </c>
      <c r="O16" s="19">
        <f t="shared" si="23"/>
        <v>100.00000000000001</v>
      </c>
      <c r="P16" s="149">
        <f t="shared" si="22"/>
        <v>100.00000000000001</v>
      </c>
      <c r="Q16" s="182">
        <f t="shared" si="22"/>
        <v>100</v>
      </c>
      <c r="R16" s="33"/>
      <c r="S16" s="33"/>
      <c r="T16" s="33"/>
      <c r="U16" s="33"/>
      <c r="V16" s="33"/>
      <c r="W16" s="33"/>
      <c r="X16" s="33"/>
      <c r="Y16" s="33"/>
      <c r="Z16" s="33"/>
    </row>
    <row r="17" spans="1:26" x14ac:dyDescent="0.3">
      <c r="A17" s="195" t="s">
        <v>98</v>
      </c>
      <c r="B17" s="166">
        <v>5</v>
      </c>
      <c r="C17" s="150">
        <v>25</v>
      </c>
      <c r="D17" s="196">
        <v>9.99</v>
      </c>
      <c r="E17" s="34">
        <v>90544</v>
      </c>
      <c r="F17" s="34">
        <v>113805</v>
      </c>
      <c r="G17" s="34">
        <v>38221</v>
      </c>
      <c r="H17" s="197">
        <f t="shared" si="0"/>
        <v>7.5940544552942031</v>
      </c>
      <c r="I17" s="197">
        <f t="shared" si="1"/>
        <v>5.8802900435907652</v>
      </c>
      <c r="J17" s="172">
        <f t="shared" si="2"/>
        <v>2.1575598127223761</v>
      </c>
      <c r="K17" s="172">
        <f t="shared" si="3"/>
        <v>0.18985136138235506</v>
      </c>
      <c r="L17" s="172">
        <f t="shared" si="4"/>
        <v>0.14700725108976914</v>
      </c>
      <c r="M17" s="172">
        <f t="shared" si="5"/>
        <v>5.3938995318059402E-2</v>
      </c>
      <c r="N17" s="172">
        <f t="shared" si="6"/>
        <v>0.39079760779018363</v>
      </c>
      <c r="O17" s="183">
        <f t="shared" si="23"/>
        <v>100</v>
      </c>
      <c r="P17" s="25">
        <f t="shared" si="22"/>
        <v>100</v>
      </c>
      <c r="Q17" s="184">
        <f t="shared" si="22"/>
        <v>100</v>
      </c>
      <c r="R17" s="142"/>
      <c r="S17" s="142"/>
      <c r="T17" s="142"/>
      <c r="U17" s="56"/>
      <c r="V17" s="56"/>
      <c r="W17" s="56"/>
      <c r="X17" s="70"/>
      <c r="Y17" s="70"/>
      <c r="Z17" s="70"/>
    </row>
    <row r="18" spans="1:26" x14ac:dyDescent="0.3">
      <c r="B18" s="168"/>
      <c r="C18" s="96"/>
      <c r="D18" s="97"/>
      <c r="E18" s="32"/>
      <c r="F18" s="32"/>
      <c r="G18" s="32"/>
      <c r="H18" s="15"/>
      <c r="I18" s="15"/>
      <c r="J18" s="14"/>
      <c r="K18" s="14"/>
      <c r="L18" s="14"/>
      <c r="M18" s="14"/>
      <c r="N18" s="14"/>
      <c r="O18" s="6"/>
      <c r="P18" s="6"/>
      <c r="Q18" s="6"/>
      <c r="R18" s="206"/>
      <c r="S18" s="206"/>
      <c r="T18" s="206"/>
      <c r="U18" s="207"/>
      <c r="V18" s="207"/>
      <c r="W18" s="207"/>
      <c r="X18" s="141"/>
      <c r="Y18" s="141"/>
      <c r="Z18" s="141"/>
    </row>
    <row r="20" spans="1:26" x14ac:dyDescent="0.3">
      <c r="D20" t="s">
        <v>17</v>
      </c>
      <c r="E20" t="s">
        <v>18</v>
      </c>
      <c r="F20" t="s">
        <v>19</v>
      </c>
      <c r="I20" s="250" t="s">
        <v>23</v>
      </c>
      <c r="J20" s="250"/>
      <c r="K20" s="250"/>
      <c r="L20" s="250"/>
      <c r="M20" s="250"/>
      <c r="N20" s="250"/>
    </row>
    <row r="21" spans="1:26" x14ac:dyDescent="0.3">
      <c r="C21" t="s">
        <v>21</v>
      </c>
      <c r="D21" s="6">
        <f>Standards!Q3</f>
        <v>12140.605710537293</v>
      </c>
      <c r="E21" s="6">
        <f>Standards!R3</f>
        <v>20439.288223371714</v>
      </c>
      <c r="F21" s="6">
        <f>Standards!S3</f>
        <v>18804.116618172477</v>
      </c>
      <c r="I21" s="61"/>
      <c r="J21" s="170">
        <v>44562</v>
      </c>
      <c r="K21" s="63"/>
      <c r="L21" s="258">
        <v>44621</v>
      </c>
      <c r="M21" s="220"/>
      <c r="N21" s="221"/>
    </row>
    <row r="22" spans="1:26" x14ac:dyDescent="0.3">
      <c r="C22" t="s">
        <v>22</v>
      </c>
      <c r="D22" s="6">
        <f>Standards!Q4</f>
        <v>-1652.4208860759682</v>
      </c>
      <c r="E22" s="6">
        <f>Standards!R4</f>
        <v>-6383.9430379746773</v>
      </c>
      <c r="F22" s="6">
        <f>Standards!S4</f>
        <v>-2350.0063291139304</v>
      </c>
      <c r="H22" s="176"/>
      <c r="I22" s="174" t="s">
        <v>17</v>
      </c>
      <c r="J22" s="174" t="s">
        <v>18</v>
      </c>
      <c r="K22" s="175" t="s">
        <v>19</v>
      </c>
      <c r="L22" s="174" t="s">
        <v>17</v>
      </c>
      <c r="M22" s="174" t="s">
        <v>18</v>
      </c>
      <c r="N22" s="175" t="s">
        <v>19</v>
      </c>
    </row>
    <row r="23" spans="1:26" x14ac:dyDescent="0.3">
      <c r="H23" s="124" t="s">
        <v>64</v>
      </c>
      <c r="I23" s="56">
        <v>0.21564118633641274</v>
      </c>
      <c r="J23" s="56">
        <v>0.14688532621299763</v>
      </c>
      <c r="K23" s="57">
        <v>6.9819165751716872E-2</v>
      </c>
      <c r="L23" s="140">
        <v>0.21615022701067615</v>
      </c>
      <c r="M23" s="140">
        <v>0.14248112057754486</v>
      </c>
      <c r="N23" s="171">
        <v>5.7028743617409117E-2</v>
      </c>
      <c r="O23" s="14"/>
    </row>
    <row r="24" spans="1:26" x14ac:dyDescent="0.3">
      <c r="C24" t="s">
        <v>24</v>
      </c>
      <c r="H24" s="124" t="s">
        <v>65</v>
      </c>
      <c r="I24" s="56">
        <v>0.23110396578385498</v>
      </c>
      <c r="J24" s="56">
        <v>0.15347956796649107</v>
      </c>
      <c r="K24" s="57">
        <v>7.2511703838736799E-2</v>
      </c>
      <c r="L24" s="140">
        <v>0.22159114170430363</v>
      </c>
      <c r="M24" s="140">
        <v>0.14678983226248982</v>
      </c>
      <c r="N24" s="171">
        <v>6.9069298597864467E-2</v>
      </c>
      <c r="O24" s="14"/>
    </row>
    <row r="25" spans="1:26" x14ac:dyDescent="0.3">
      <c r="C25" t="s">
        <v>31</v>
      </c>
      <c r="H25" s="124" t="s">
        <v>66</v>
      </c>
      <c r="I25" s="56">
        <v>0.15892116423513511</v>
      </c>
      <c r="J25" s="56">
        <v>0.14514167305114817</v>
      </c>
      <c r="K25" s="57">
        <v>5.8961015551365507E-2</v>
      </c>
      <c r="L25" s="140">
        <v>0.16285723869903995</v>
      </c>
      <c r="M25" s="140">
        <v>0.16824086721460729</v>
      </c>
      <c r="N25" s="171">
        <v>6.3232173165676017E-2</v>
      </c>
      <c r="O25" s="14"/>
    </row>
    <row r="26" spans="1:26" x14ac:dyDescent="0.3">
      <c r="C26" t="s">
        <v>32</v>
      </c>
      <c r="H26" s="125" t="s">
        <v>67</v>
      </c>
      <c r="I26" s="59">
        <v>0.17341191411362492</v>
      </c>
      <c r="J26" s="59">
        <v>0.12975112629393851</v>
      </c>
      <c r="K26" s="60">
        <v>5.7092863868342579E-2</v>
      </c>
      <c r="L26" s="172">
        <v>0.18985136138235506</v>
      </c>
      <c r="M26" s="172">
        <v>0.14700725108976914</v>
      </c>
      <c r="N26" s="173">
        <v>5.3938995318059402E-2</v>
      </c>
      <c r="O26" s="14"/>
    </row>
  </sheetData>
  <mergeCells count="9">
    <mergeCell ref="I20:N20"/>
    <mergeCell ref="L21:N21"/>
    <mergeCell ref="AA3:AC3"/>
    <mergeCell ref="E3:G3"/>
    <mergeCell ref="H3:J3"/>
    <mergeCell ref="K3:N3"/>
    <mergeCell ref="O3:Q3"/>
    <mergeCell ref="R3:T3"/>
    <mergeCell ref="X3:Z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Soils</vt:lpstr>
      <vt:lpstr>Standards</vt:lpstr>
      <vt:lpstr>0 days</vt:lpstr>
      <vt:lpstr>7 days</vt:lpstr>
      <vt:lpstr>15 days</vt:lpstr>
      <vt:lpstr>28 days</vt:lpstr>
      <vt:lpstr>56 days</vt:lpstr>
      <vt:lpstr>Rep samples1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2022-08-14T10:33:40Z</dcterms:modified>
</cp:coreProperties>
</file>