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3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7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8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9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0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31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2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4.xml" ContentType="application/vnd.openxmlformats-officedocument.drawing+xml"/>
  <Override PartName="/xl/charts/chart33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4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5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6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7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5.xml" ContentType="application/vnd.openxmlformats-officedocument.drawing+xml"/>
  <Override PartName="/xl/charts/chart38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9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40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6.xml" ContentType="application/vnd.openxmlformats-officedocument.drawing+xml"/>
  <Override PartName="/xl/charts/chart41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2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3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4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5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6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7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8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9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50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51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2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7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r_j_daniels_cranfield_ac_uk/Documents/Desktop/CORD data forms/Federica Persico/"/>
    </mc:Choice>
  </mc:AlternateContent>
  <xr:revisionPtr revIDLastSave="0" documentId="8_{C8165BE8-8F77-43FB-878D-D6176841DF80}" xr6:coauthVersionLast="47" xr6:coauthVersionMax="47" xr10:uidLastSave="{00000000-0000-0000-0000-000000000000}"/>
  <bookViews>
    <workbookView xWindow="-110" yWindow="-110" windowWidth="19420" windowHeight="11620" firstSheet="9" activeTab="9" xr2:uid="{00000000-000D-0000-FFFF-FFFF00000000}"/>
  </bookViews>
  <sheets>
    <sheet name="Total Values (Molar Ratio) (2)" sheetId="11" r:id="rId1"/>
    <sheet name="Legend" sheetId="2" r:id="rId2"/>
    <sheet name="Calibration lines " sheetId="4" r:id="rId3"/>
    <sheet name="Sand Columns" sheetId="1" r:id="rId4"/>
    <sheet name="Water leachate" sheetId="3" r:id="rId5"/>
    <sheet name="Total Values " sheetId="5" r:id="rId6"/>
    <sheet name="Total Values  Normalised" sheetId="7" r:id="rId7"/>
    <sheet name="Total Values (Molar Ratio)" sheetId="9" r:id="rId8"/>
    <sheet name="Error Values" sheetId="10" r:id="rId9"/>
    <sheet name="Solubility tests" sheetId="12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2" l="1"/>
  <c r="D21" i="12" s="1"/>
  <c r="F4" i="12"/>
  <c r="F9" i="12"/>
  <c r="G31" i="12" s="1"/>
  <c r="H31" i="12" s="1"/>
  <c r="F10" i="12"/>
  <c r="B16" i="12"/>
  <c r="B17" i="12"/>
  <c r="B18" i="12"/>
  <c r="B19" i="12"/>
  <c r="B20" i="12"/>
  <c r="B21" i="12"/>
  <c r="J21" i="12"/>
  <c r="B22" i="12"/>
  <c r="J22" i="12"/>
  <c r="B23" i="12"/>
  <c r="J23" i="12"/>
  <c r="B24" i="12"/>
  <c r="J24" i="12"/>
  <c r="B25" i="12"/>
  <c r="J25" i="12"/>
  <c r="B26" i="12"/>
  <c r="J26" i="12"/>
  <c r="B27" i="12"/>
  <c r="J27" i="12"/>
  <c r="B28" i="12"/>
  <c r="J28" i="12"/>
  <c r="B29" i="12"/>
  <c r="J29" i="12"/>
  <c r="B30" i="12"/>
  <c r="J30" i="12"/>
  <c r="B31" i="12"/>
  <c r="B32" i="12"/>
  <c r="B33" i="12"/>
  <c r="B34" i="12"/>
  <c r="B35" i="12"/>
  <c r="B36" i="12"/>
  <c r="B37" i="12"/>
  <c r="J37" i="12"/>
  <c r="B38" i="12"/>
  <c r="J38" i="12"/>
  <c r="B39" i="12"/>
  <c r="J39" i="12"/>
  <c r="B40" i="12"/>
  <c r="J40" i="12"/>
  <c r="B41" i="12"/>
  <c r="J41" i="12"/>
  <c r="B42" i="12"/>
  <c r="J42" i="12"/>
  <c r="B43" i="12"/>
  <c r="J43" i="12"/>
  <c r="B44" i="12"/>
  <c r="J44" i="12"/>
  <c r="B45" i="12"/>
  <c r="J45" i="12"/>
  <c r="B46" i="12"/>
  <c r="J46" i="12"/>
  <c r="K27" i="11"/>
  <c r="M27" i="11"/>
  <c r="C47" i="11"/>
  <c r="B48" i="11"/>
  <c r="BM25" i="11" s="1"/>
  <c r="C48" i="11"/>
  <c r="B26" i="11" s="1"/>
  <c r="E48" i="11"/>
  <c r="E26" i="11" s="1"/>
  <c r="F48" i="11"/>
  <c r="E49" i="11"/>
  <c r="B35" i="11"/>
  <c r="L36" i="11" s="1"/>
  <c r="BO11" i="11" s="1"/>
  <c r="C35" i="11"/>
  <c r="E36" i="11"/>
  <c r="F36" i="11" s="1"/>
  <c r="BO7" i="11" s="1"/>
  <c r="G36" i="11"/>
  <c r="K36" i="11"/>
  <c r="M36" i="11"/>
  <c r="E37" i="11"/>
  <c r="G37" i="11"/>
  <c r="E38" i="11"/>
  <c r="F38" i="11"/>
  <c r="BO9" i="11" s="1"/>
  <c r="G38" i="11"/>
  <c r="E39" i="11"/>
  <c r="F39" i="11" s="1"/>
  <c r="BO10" i="11" s="1"/>
  <c r="G39" i="11"/>
  <c r="B17" i="11"/>
  <c r="C19" i="11" s="1"/>
  <c r="BI8" i="11" s="1"/>
  <c r="C17" i="11"/>
  <c r="B18" i="11"/>
  <c r="C18" i="11"/>
  <c r="D18" i="11"/>
  <c r="H18" i="11"/>
  <c r="I18" i="11"/>
  <c r="BI11" i="11" s="1"/>
  <c r="J18" i="11"/>
  <c r="BK18" i="11"/>
  <c r="BM18" i="11"/>
  <c r="D19" i="11"/>
  <c r="BI19" i="11"/>
  <c r="BK19" i="11"/>
  <c r="BM19" i="11"/>
  <c r="BO19" i="11"/>
  <c r="C20" i="11"/>
  <c r="BI9" i="11" s="1"/>
  <c r="D20" i="11"/>
  <c r="BO20" i="11"/>
  <c r="D21" i="11"/>
  <c r="BK21" i="11"/>
  <c r="BM21" i="11"/>
  <c r="BO21" i="11"/>
  <c r="B22" i="11"/>
  <c r="B23" i="11" s="1"/>
  <c r="B24" i="11" s="1"/>
  <c r="BI25" i="11"/>
  <c r="BK25" i="11"/>
  <c r="BK23" i="11" s="1"/>
  <c r="BO25" i="11"/>
  <c r="B27" i="11"/>
  <c r="D27" i="11"/>
  <c r="E27" i="11"/>
  <c r="G27" i="11"/>
  <c r="H27" i="11"/>
  <c r="J27" i="11"/>
  <c r="B28" i="11"/>
  <c r="D28" i="11"/>
  <c r="E28" i="11"/>
  <c r="G28" i="11"/>
  <c r="D29" i="11"/>
  <c r="E29" i="11"/>
  <c r="F29" i="11" s="1"/>
  <c r="BM9" i="11" s="1"/>
  <c r="G29" i="11"/>
  <c r="B30" i="11"/>
  <c r="D30" i="11"/>
  <c r="E30" i="11"/>
  <c r="G30" i="11"/>
  <c r="B2" i="11"/>
  <c r="BI18" i="11" s="1"/>
  <c r="E2" i="11"/>
  <c r="N2" i="11"/>
  <c r="BI22" i="11" s="1"/>
  <c r="B3" i="11"/>
  <c r="E3" i="11"/>
  <c r="B4" i="11"/>
  <c r="BI20" i="11" s="1"/>
  <c r="E4" i="11"/>
  <c r="B5" i="11"/>
  <c r="BI21" i="11" s="1"/>
  <c r="E5" i="11"/>
  <c r="BJ10" i="11" s="1"/>
  <c r="B6" i="11"/>
  <c r="E6" i="11"/>
  <c r="H6" i="11"/>
  <c r="K6" i="11"/>
  <c r="N6" i="11"/>
  <c r="BK22" i="11" s="1"/>
  <c r="O6" i="11"/>
  <c r="BM22" i="11" s="1"/>
  <c r="B7" i="11"/>
  <c r="E7" i="11"/>
  <c r="BL8" i="11" s="1"/>
  <c r="H7" i="11"/>
  <c r="K7" i="11"/>
  <c r="BN8" i="11" s="1"/>
  <c r="BI7" i="11"/>
  <c r="BJ7" i="11"/>
  <c r="B8" i="11"/>
  <c r="BK20" i="11" s="1"/>
  <c r="E8" i="11"/>
  <c r="BL9" i="11" s="1"/>
  <c r="H8" i="11"/>
  <c r="BM20" i="11" s="1"/>
  <c r="K8" i="11"/>
  <c r="BN9" i="11" s="1"/>
  <c r="BJ8" i="11"/>
  <c r="B9" i="11"/>
  <c r="E9" i="11"/>
  <c r="BL10" i="11" s="1"/>
  <c r="H9" i="11"/>
  <c r="K9" i="11"/>
  <c r="BN10" i="11" s="1"/>
  <c r="BJ9" i="11"/>
  <c r="BP9" i="11"/>
  <c r="H10" i="11"/>
  <c r="BO18" i="11" s="1"/>
  <c r="K10" i="11"/>
  <c r="BP7" i="11" s="1"/>
  <c r="O10" i="11"/>
  <c r="BO22" i="11" s="1"/>
  <c r="H11" i="11"/>
  <c r="K11" i="11"/>
  <c r="BP8" i="11" s="1"/>
  <c r="BJ11" i="11"/>
  <c r="BL11" i="11"/>
  <c r="BP11" i="11"/>
  <c r="H12" i="11"/>
  <c r="K12" i="11"/>
  <c r="H13" i="11"/>
  <c r="K13" i="11"/>
  <c r="BP10" i="11" s="1"/>
  <c r="E21" i="12" l="1"/>
  <c r="K21" i="12"/>
  <c r="G45" i="12"/>
  <c r="H45" i="12" s="1"/>
  <c r="D43" i="12"/>
  <c r="G34" i="12"/>
  <c r="H34" i="12" s="1"/>
  <c r="G37" i="12"/>
  <c r="H37" i="12" s="1"/>
  <c r="D31" i="12"/>
  <c r="E31" i="12" s="1"/>
  <c r="D22" i="12"/>
  <c r="G38" i="12"/>
  <c r="H38" i="12" s="1"/>
  <c r="G32" i="12"/>
  <c r="H32" i="12" s="1"/>
  <c r="D25" i="12"/>
  <c r="D20" i="12"/>
  <c r="E20" i="12" s="1"/>
  <c r="G39" i="12"/>
  <c r="H39" i="12" s="1"/>
  <c r="D37" i="12"/>
  <c r="G35" i="12"/>
  <c r="H35" i="12" s="1"/>
  <c r="D42" i="12"/>
  <c r="D36" i="12"/>
  <c r="E36" i="12" s="1"/>
  <c r="D18" i="12"/>
  <c r="E18" i="12" s="1"/>
  <c r="D44" i="12"/>
  <c r="G27" i="12"/>
  <c r="H27" i="12" s="1"/>
  <c r="G46" i="12"/>
  <c r="H46" i="12" s="1"/>
  <c r="D45" i="12"/>
  <c r="E45" i="12" s="1"/>
  <c r="D34" i="12"/>
  <c r="E34" i="12" s="1"/>
  <c r="D19" i="12"/>
  <c r="E19" i="12" s="1"/>
  <c r="D16" i="12"/>
  <c r="E16" i="12" s="1"/>
  <c r="G29" i="12"/>
  <c r="H29" i="12" s="1"/>
  <c r="D17" i="12"/>
  <c r="E17" i="12" s="1"/>
  <c r="D46" i="12"/>
  <c r="G40" i="12"/>
  <c r="H40" i="12" s="1"/>
  <c r="D38" i="12"/>
  <c r="D32" i="12"/>
  <c r="E32" i="12" s="1"/>
  <c r="D23" i="12"/>
  <c r="G41" i="12"/>
  <c r="H41" i="12" s="1"/>
  <c r="D39" i="12"/>
  <c r="D35" i="12"/>
  <c r="E35" i="12" s="1"/>
  <c r="G33" i="12"/>
  <c r="H33" i="12" s="1"/>
  <c r="G30" i="12"/>
  <c r="H30" i="12" s="1"/>
  <c r="G28" i="12"/>
  <c r="H28" i="12" s="1"/>
  <c r="G26" i="12"/>
  <c r="H26" i="12" s="1"/>
  <c r="G43" i="12"/>
  <c r="H43" i="12" s="1"/>
  <c r="G42" i="12"/>
  <c r="H42" i="12" s="1"/>
  <c r="D40" i="12"/>
  <c r="G36" i="12"/>
  <c r="H36" i="12" s="1"/>
  <c r="G44" i="12"/>
  <c r="H44" i="12" s="1"/>
  <c r="D41" i="12"/>
  <c r="D33" i="12"/>
  <c r="E33" i="12" s="1"/>
  <c r="D24" i="12"/>
  <c r="BI23" i="11"/>
  <c r="BM23" i="11"/>
  <c r="F27" i="11"/>
  <c r="BM7" i="11" s="1"/>
  <c r="F28" i="11"/>
  <c r="BM8" i="11" s="1"/>
  <c r="F30" i="11"/>
  <c r="BM10" i="11" s="1"/>
  <c r="C26" i="11"/>
  <c r="C28" i="11"/>
  <c r="C30" i="11"/>
  <c r="C27" i="11"/>
  <c r="C29" i="11"/>
  <c r="I27" i="11"/>
  <c r="BK11" i="11" s="1"/>
  <c r="BO23" i="11"/>
  <c r="L27" i="11"/>
  <c r="BM11" i="11" s="1"/>
  <c r="F37" i="11"/>
  <c r="BO8" i="11" s="1"/>
  <c r="BO12" i="11" s="1"/>
  <c r="C21" i="11"/>
  <c r="BI10" i="11" s="1"/>
  <c r="BI12" i="11" s="1"/>
  <c r="BN7" i="11"/>
  <c r="BL7" i="11"/>
  <c r="B40" i="11"/>
  <c r="B41" i="11" s="1"/>
  <c r="B42" i="11" s="1"/>
  <c r="BN11" i="11"/>
  <c r="AC20" i="3"/>
  <c r="AA39" i="3"/>
  <c r="K23" i="12" l="1"/>
  <c r="E23" i="12"/>
  <c r="E42" i="12"/>
  <c r="K42" i="12"/>
  <c r="E24" i="12"/>
  <c r="K24" i="12"/>
  <c r="K38" i="12"/>
  <c r="E38" i="12"/>
  <c r="K46" i="12"/>
  <c r="E46" i="12"/>
  <c r="E43" i="12"/>
  <c r="K43" i="12"/>
  <c r="K22" i="12"/>
  <c r="L21" i="12" s="1"/>
  <c r="E22" i="12"/>
  <c r="K37" i="12"/>
  <c r="E37" i="12"/>
  <c r="E41" i="12"/>
  <c r="K41" i="12"/>
  <c r="K44" i="12"/>
  <c r="E44" i="12"/>
  <c r="K25" i="12"/>
  <c r="E25" i="12"/>
  <c r="E40" i="12"/>
  <c r="K40" i="12"/>
  <c r="E39" i="12"/>
  <c r="K39" i="12"/>
  <c r="N30" i="11"/>
  <c r="BK10" i="11"/>
  <c r="BK8" i="11"/>
  <c r="N28" i="11"/>
  <c r="BM12" i="11"/>
  <c r="BK9" i="11"/>
  <c r="N29" i="11"/>
  <c r="N31" i="11"/>
  <c r="BK7" i="11"/>
  <c r="B31" i="11"/>
  <c r="B32" i="11" s="1"/>
  <c r="B33" i="11" s="1"/>
  <c r="N27" i="11"/>
  <c r="DF4" i="3"/>
  <c r="DF5" i="3"/>
  <c r="DE5" i="3"/>
  <c r="DE4" i="3"/>
  <c r="DD4" i="3"/>
  <c r="DC4" i="3"/>
  <c r="DB5" i="3"/>
  <c r="DB4" i="3"/>
  <c r="DH5" i="3"/>
  <c r="DG5" i="3"/>
  <c r="DD5" i="3"/>
  <c r="DH4" i="3"/>
  <c r="DG4" i="3"/>
  <c r="CY5" i="3"/>
  <c r="CX5" i="3"/>
  <c r="CW5" i="3"/>
  <c r="CV5" i="3"/>
  <c r="CU5" i="3"/>
  <c r="CT5" i="3"/>
  <c r="CY4" i="3"/>
  <c r="CX4" i="3"/>
  <c r="CW4" i="3"/>
  <c r="CV4" i="3"/>
  <c r="CU4" i="3"/>
  <c r="CT4" i="3"/>
  <c r="CS5" i="3"/>
  <c r="CS4" i="3"/>
  <c r="AT42" i="3"/>
  <c r="AT41" i="3"/>
  <c r="AT40" i="3"/>
  <c r="AT37" i="3"/>
  <c r="AT36" i="3"/>
  <c r="AQ36" i="3"/>
  <c r="AN36" i="3"/>
  <c r="AT35" i="3"/>
  <c r="AQ35" i="3"/>
  <c r="AN35" i="3"/>
  <c r="AO33" i="3" s="1"/>
  <c r="AT34" i="3"/>
  <c r="AQ34" i="3"/>
  <c r="AN34" i="3"/>
  <c r="AT33" i="3"/>
  <c r="AU33" i="3" s="1"/>
  <c r="AQ33" i="3"/>
  <c r="AR33" i="3" s="1"/>
  <c r="AP33" i="3"/>
  <c r="AN33" i="3"/>
  <c r="AT31" i="3"/>
  <c r="AT30" i="3"/>
  <c r="AQ30" i="3"/>
  <c r="AN30" i="3"/>
  <c r="AT29" i="3"/>
  <c r="AQ29" i="3"/>
  <c r="AN29" i="3"/>
  <c r="AT28" i="3"/>
  <c r="AQ28" i="3"/>
  <c r="AN28" i="3"/>
  <c r="AT27" i="3"/>
  <c r="AU27" i="3" s="1"/>
  <c r="AS27" i="3"/>
  <c r="AR27" i="3"/>
  <c r="AQ27" i="3"/>
  <c r="AN27" i="3"/>
  <c r="AP27" i="3" s="1"/>
  <c r="AM33" i="3"/>
  <c r="AL33" i="3"/>
  <c r="AM27" i="3"/>
  <c r="AL27" i="3"/>
  <c r="AL5" i="3"/>
  <c r="AH42" i="3"/>
  <c r="AH41" i="3"/>
  <c r="AH40" i="3"/>
  <c r="AH39" i="3"/>
  <c r="AI39" i="3" s="1"/>
  <c r="AQ39" i="3" s="1"/>
  <c r="AH36" i="3"/>
  <c r="AH35" i="3"/>
  <c r="AH34" i="3"/>
  <c r="AH33" i="3"/>
  <c r="AI33" i="3" s="1"/>
  <c r="AK27" i="3"/>
  <c r="AH30" i="3"/>
  <c r="AH29" i="3"/>
  <c r="AH28" i="3"/>
  <c r="AH27" i="3"/>
  <c r="AI27" i="3" s="1"/>
  <c r="AJ5" i="3"/>
  <c r="AI6" i="3"/>
  <c r="AI5" i="3"/>
  <c r="AH6" i="3"/>
  <c r="AH5" i="3"/>
  <c r="AA43" i="3"/>
  <c r="AA40" i="3"/>
  <c r="AA41" i="3"/>
  <c r="AA42" i="3"/>
  <c r="AB42" i="3" s="1"/>
  <c r="AB41" i="3"/>
  <c r="AA37" i="3"/>
  <c r="AA36" i="3"/>
  <c r="AA35" i="3"/>
  <c r="AA34" i="3"/>
  <c r="AB35" i="3"/>
  <c r="AA33" i="3"/>
  <c r="Z26" i="3"/>
  <c r="Z32" i="3"/>
  <c r="Z38" i="3"/>
  <c r="Z10" i="3"/>
  <c r="AG10" i="3"/>
  <c r="AB43" i="3"/>
  <c r="AB40" i="3"/>
  <c r="AB39" i="3"/>
  <c r="AC39" i="3" s="1"/>
  <c r="AC40" i="3" s="1"/>
  <c r="AB31" i="3"/>
  <c r="AB30" i="3"/>
  <c r="AB29" i="3"/>
  <c r="AB28" i="3"/>
  <c r="AB27" i="3"/>
  <c r="AC27" i="3" s="1"/>
  <c r="AA5" i="3"/>
  <c r="J20" i="3"/>
  <c r="AG32" i="3"/>
  <c r="E39" i="9"/>
  <c r="E38" i="9"/>
  <c r="E37" i="9"/>
  <c r="E36" i="9"/>
  <c r="E30" i="9"/>
  <c r="E29" i="9"/>
  <c r="E28" i="9"/>
  <c r="E27" i="9"/>
  <c r="F27" i="9"/>
  <c r="G27" i="9"/>
  <c r="B30" i="9"/>
  <c r="B28" i="9"/>
  <c r="B27" i="9"/>
  <c r="B18" i="9"/>
  <c r="U20" i="10"/>
  <c r="U23" i="10"/>
  <c r="U22" i="10"/>
  <c r="U21" i="10"/>
  <c r="S20" i="10"/>
  <c r="S23" i="10"/>
  <c r="S22" i="10"/>
  <c r="S21" i="10"/>
  <c r="M23" i="10"/>
  <c r="M22" i="10"/>
  <c r="M21" i="10"/>
  <c r="M20" i="10"/>
  <c r="K23" i="10"/>
  <c r="K22" i="10"/>
  <c r="K21" i="10"/>
  <c r="K20" i="10"/>
  <c r="Q23" i="10"/>
  <c r="Q22" i="10"/>
  <c r="Q21" i="10"/>
  <c r="Q20" i="10"/>
  <c r="O20" i="10"/>
  <c r="O23" i="10"/>
  <c r="O22" i="10"/>
  <c r="O21" i="10"/>
  <c r="I20" i="10"/>
  <c r="I23" i="10"/>
  <c r="I22" i="10"/>
  <c r="I21" i="10"/>
  <c r="G23" i="10"/>
  <c r="G21" i="10"/>
  <c r="G22" i="10"/>
  <c r="G20" i="10"/>
  <c r="G5" i="10"/>
  <c r="F5" i="10"/>
  <c r="F20" i="10" s="1"/>
  <c r="J5" i="10"/>
  <c r="H20" i="10"/>
  <c r="J20" i="10"/>
  <c r="L20" i="10"/>
  <c r="N20" i="10"/>
  <c r="P20" i="10"/>
  <c r="R20" i="10"/>
  <c r="T20" i="10"/>
  <c r="F21" i="10"/>
  <c r="H21" i="10"/>
  <c r="J21" i="10"/>
  <c r="L21" i="10"/>
  <c r="N21" i="10"/>
  <c r="P21" i="10"/>
  <c r="R21" i="10"/>
  <c r="T21" i="10"/>
  <c r="F22" i="10"/>
  <c r="H22" i="10"/>
  <c r="J22" i="10"/>
  <c r="L22" i="10"/>
  <c r="N22" i="10"/>
  <c r="P22" i="10"/>
  <c r="R22" i="10"/>
  <c r="T22" i="10"/>
  <c r="F23" i="10"/>
  <c r="H23" i="10"/>
  <c r="J23" i="10"/>
  <c r="L23" i="10"/>
  <c r="N23" i="10"/>
  <c r="P23" i="10"/>
  <c r="R23" i="10"/>
  <c r="T23" i="10"/>
  <c r="G37" i="9"/>
  <c r="G38" i="9"/>
  <c r="G39" i="9"/>
  <c r="G36" i="9"/>
  <c r="G28" i="9"/>
  <c r="G29" i="9"/>
  <c r="G30" i="9"/>
  <c r="D28" i="9"/>
  <c r="D29" i="9"/>
  <c r="D30" i="9"/>
  <c r="D27" i="9"/>
  <c r="C18" i="9"/>
  <c r="D21" i="9"/>
  <c r="D20" i="9"/>
  <c r="D19" i="9"/>
  <c r="D18" i="9"/>
  <c r="S8" i="10"/>
  <c r="R8" i="10"/>
  <c r="S7" i="10"/>
  <c r="R7" i="10"/>
  <c r="S6" i="10"/>
  <c r="R6" i="10"/>
  <c r="S5" i="10"/>
  <c r="R5" i="10"/>
  <c r="O8" i="10"/>
  <c r="N8" i="10"/>
  <c r="O7" i="10"/>
  <c r="N7" i="10"/>
  <c r="O6" i="10"/>
  <c r="N6" i="10"/>
  <c r="O5" i="10"/>
  <c r="N5" i="10"/>
  <c r="K8" i="10"/>
  <c r="J8" i="10"/>
  <c r="K7" i="10"/>
  <c r="J7" i="10"/>
  <c r="K5" i="10"/>
  <c r="K6" i="10"/>
  <c r="J6" i="10"/>
  <c r="G8" i="10"/>
  <c r="F8" i="10"/>
  <c r="G7" i="10"/>
  <c r="F7" i="10"/>
  <c r="G6" i="10"/>
  <c r="F6" i="10"/>
  <c r="L42" i="12" l="1"/>
  <c r="BK12" i="11"/>
  <c r="AS39" i="3"/>
  <c r="AR39" i="3"/>
  <c r="AN39" i="3"/>
  <c r="AT39" i="3"/>
  <c r="AU39" i="3" s="1"/>
  <c r="BC39" i="3" s="1"/>
  <c r="AU40" i="3"/>
  <c r="AW39" i="3"/>
  <c r="AU28" i="3"/>
  <c r="AW27" i="3"/>
  <c r="AV27" i="3"/>
  <c r="BC27" i="3"/>
  <c r="AZ27" i="3"/>
  <c r="AZ33" i="3"/>
  <c r="AU34" i="3"/>
  <c r="AW33" i="3"/>
  <c r="AV33" i="3"/>
  <c r="BC33" i="3"/>
  <c r="AO27" i="3"/>
  <c r="AS33" i="3"/>
  <c r="AK39" i="3"/>
  <c r="AJ39" i="3"/>
  <c r="AI40" i="3"/>
  <c r="AI41" i="3" s="1"/>
  <c r="AK33" i="3"/>
  <c r="AJ33" i="3"/>
  <c r="AI34" i="3"/>
  <c r="AI35" i="3" s="1"/>
  <c r="AJ27" i="3"/>
  <c r="AI28" i="3"/>
  <c r="AI29" i="3" s="1"/>
  <c r="AC41" i="3"/>
  <c r="AC42" i="3" s="1"/>
  <c r="AC43" i="3" s="1"/>
  <c r="AB33" i="3"/>
  <c r="AC33" i="3" s="1"/>
  <c r="AB36" i="3"/>
  <c r="AB37" i="3"/>
  <c r="AB34" i="3"/>
  <c r="AC28" i="3"/>
  <c r="AC29" i="3" s="1"/>
  <c r="AC30" i="3" s="1"/>
  <c r="AC31" i="3" s="1"/>
  <c r="AC2" i="1"/>
  <c r="F48" i="9"/>
  <c r="Q9" i="3"/>
  <c r="B48" i="9"/>
  <c r="C48" i="9" s="1"/>
  <c r="B35" i="9"/>
  <c r="E49" i="9"/>
  <c r="C47" i="9"/>
  <c r="AF91" i="1" s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C39" i="1"/>
  <c r="AC38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4" i="1"/>
  <c r="AC3" i="1"/>
  <c r="U2" i="1"/>
  <c r="X2" i="1"/>
  <c r="Z2" i="1"/>
  <c r="B18" i="5"/>
  <c r="R2" i="1"/>
  <c r="R11" i="1"/>
  <c r="AI42" i="3" l="1"/>
  <c r="AQ41" i="3"/>
  <c r="AN41" i="3"/>
  <c r="AM39" i="3"/>
  <c r="AL39" i="3"/>
  <c r="DC5" i="3" s="1"/>
  <c r="AV39" i="3"/>
  <c r="AZ39" i="3"/>
  <c r="AN40" i="3"/>
  <c r="AQ40" i="3"/>
  <c r="AP39" i="3"/>
  <c r="AO39" i="3"/>
  <c r="BE27" i="3"/>
  <c r="BD27" i="3"/>
  <c r="BC34" i="3"/>
  <c r="AZ34" i="3"/>
  <c r="AW34" i="3"/>
  <c r="AV34" i="3"/>
  <c r="AU35" i="3"/>
  <c r="BB27" i="3"/>
  <c r="BA27" i="3"/>
  <c r="AY27" i="3"/>
  <c r="AX27" i="3"/>
  <c r="AZ28" i="3"/>
  <c r="AW28" i="3"/>
  <c r="AU29" i="3"/>
  <c r="AV28" i="3"/>
  <c r="BC28" i="3"/>
  <c r="AY39" i="3"/>
  <c r="AX39" i="3"/>
  <c r="AU41" i="3"/>
  <c r="BC40" i="3"/>
  <c r="AZ40" i="3"/>
  <c r="AW40" i="3"/>
  <c r="AV40" i="3"/>
  <c r="BB39" i="3"/>
  <c r="BA39" i="3"/>
  <c r="BE39" i="3"/>
  <c r="BD39" i="3"/>
  <c r="AK42" i="3"/>
  <c r="AJ42" i="3"/>
  <c r="AK40" i="3"/>
  <c r="AJ40" i="3"/>
  <c r="AK41" i="3"/>
  <c r="AJ41" i="3"/>
  <c r="AK35" i="3"/>
  <c r="AJ35" i="3"/>
  <c r="AI36" i="3"/>
  <c r="AJ34" i="3"/>
  <c r="AK34" i="3"/>
  <c r="AK29" i="3"/>
  <c r="AJ29" i="3"/>
  <c r="AI30" i="3"/>
  <c r="AK28" i="3"/>
  <c r="AJ28" i="3"/>
  <c r="AC34" i="3"/>
  <c r="AC35" i="3" s="1"/>
  <c r="AC36" i="3" s="1"/>
  <c r="AC37" i="3" s="1"/>
  <c r="AF47" i="1"/>
  <c r="AF32" i="1"/>
  <c r="AF74" i="1"/>
  <c r="AF36" i="1"/>
  <c r="AF35" i="1"/>
  <c r="AF73" i="1"/>
  <c r="AF72" i="1"/>
  <c r="AF65" i="1"/>
  <c r="AF50" i="1"/>
  <c r="AF31" i="1"/>
  <c r="AF23" i="1"/>
  <c r="AF48" i="1"/>
  <c r="AF22" i="1"/>
  <c r="AF103" i="1"/>
  <c r="AF85" i="1"/>
  <c r="AF100" i="1"/>
  <c r="AG4" i="3"/>
  <c r="AF78" i="1"/>
  <c r="AF99" i="1"/>
  <c r="AF49" i="1"/>
  <c r="AF104" i="1"/>
  <c r="AF21" i="1"/>
  <c r="AF77" i="1"/>
  <c r="AF20" i="1"/>
  <c r="AF64" i="1"/>
  <c r="AF90" i="1"/>
  <c r="AF46" i="1"/>
  <c r="AF19" i="1"/>
  <c r="AF63" i="1"/>
  <c r="AF89" i="1"/>
  <c r="AF44" i="1"/>
  <c r="AF11" i="1"/>
  <c r="AF62" i="1"/>
  <c r="AF88" i="1"/>
  <c r="AF43" i="1"/>
  <c r="AF10" i="1"/>
  <c r="AF53" i="1"/>
  <c r="AF87" i="1"/>
  <c r="AF42" i="1"/>
  <c r="AF86" i="1"/>
  <c r="AF52" i="1"/>
  <c r="AG82" i="1"/>
  <c r="AG14" i="1"/>
  <c r="AG89" i="1"/>
  <c r="AG16" i="1"/>
  <c r="AG109" i="1"/>
  <c r="AG34" i="1"/>
  <c r="AG63" i="1"/>
  <c r="AG83" i="1"/>
  <c r="AG88" i="1"/>
  <c r="AG15" i="1"/>
  <c r="AG90" i="1"/>
  <c r="AG81" i="1"/>
  <c r="AG46" i="1"/>
  <c r="AG35" i="1"/>
  <c r="AG47" i="1"/>
  <c r="AG36" i="1"/>
  <c r="AG61" i="1"/>
  <c r="AG62" i="1"/>
  <c r="AF37" i="1"/>
  <c r="AF12" i="1"/>
  <c r="AF66" i="1"/>
  <c r="AF105" i="1"/>
  <c r="E48" i="9"/>
  <c r="E26" i="9" s="1"/>
  <c r="BM7" i="9" s="1"/>
  <c r="AF30" i="1"/>
  <c r="AF84" i="1"/>
  <c r="AF61" i="1"/>
  <c r="AF92" i="1"/>
  <c r="AF3" i="1"/>
  <c r="AF24" i="1"/>
  <c r="AF79" i="1"/>
  <c r="AF54" i="1"/>
  <c r="AG13" i="1"/>
  <c r="AG60" i="1"/>
  <c r="AG104" i="1"/>
  <c r="AG28" i="1"/>
  <c r="AG12" i="1"/>
  <c r="AG75" i="1"/>
  <c r="AG59" i="1"/>
  <c r="AG103" i="1"/>
  <c r="AG86" i="1"/>
  <c r="AG27" i="1"/>
  <c r="AG11" i="1"/>
  <c r="AG74" i="1"/>
  <c r="AG58" i="1"/>
  <c r="AG102" i="1"/>
  <c r="AF94" i="1"/>
  <c r="AF106" i="1"/>
  <c r="AF56" i="1"/>
  <c r="AF68" i="1"/>
  <c r="AF80" i="1"/>
  <c r="AF14" i="1"/>
  <c r="AF26" i="1"/>
  <c r="AF38" i="1"/>
  <c r="AF5" i="1"/>
  <c r="AF95" i="1"/>
  <c r="AF107" i="1"/>
  <c r="AF57" i="1"/>
  <c r="AF69" i="1"/>
  <c r="AF81" i="1"/>
  <c r="AF15" i="1"/>
  <c r="AF27" i="1"/>
  <c r="AF39" i="1"/>
  <c r="AF6" i="1"/>
  <c r="AF96" i="1"/>
  <c r="AF108" i="1"/>
  <c r="AF58" i="1"/>
  <c r="AF70" i="1"/>
  <c r="AF82" i="1"/>
  <c r="AF16" i="1"/>
  <c r="AF28" i="1"/>
  <c r="AF40" i="1"/>
  <c r="AF7" i="1"/>
  <c r="AF97" i="1"/>
  <c r="AF109" i="1"/>
  <c r="AF59" i="1"/>
  <c r="AF71" i="1"/>
  <c r="AF83" i="1"/>
  <c r="AF17" i="1"/>
  <c r="AF29" i="1"/>
  <c r="AF41" i="1"/>
  <c r="AF8" i="1"/>
  <c r="AF2" i="1"/>
  <c r="AF34" i="1"/>
  <c r="AF18" i="1"/>
  <c r="AF76" i="1"/>
  <c r="AF60" i="1"/>
  <c r="AF102" i="1"/>
  <c r="AG2" i="1"/>
  <c r="AG26" i="1"/>
  <c r="AG10" i="1"/>
  <c r="AG73" i="1"/>
  <c r="AG57" i="1"/>
  <c r="AG101" i="1"/>
  <c r="AF4" i="1"/>
  <c r="AF33" i="1"/>
  <c r="AF13" i="1"/>
  <c r="AF75" i="1"/>
  <c r="AF55" i="1"/>
  <c r="AF101" i="1"/>
  <c r="AG41" i="1"/>
  <c r="AG25" i="1"/>
  <c r="AG5" i="1"/>
  <c r="AG72" i="1"/>
  <c r="AG52" i="1"/>
  <c r="AG100" i="1"/>
  <c r="AG93" i="1"/>
  <c r="AG105" i="1"/>
  <c r="AG53" i="1"/>
  <c r="AG65" i="1"/>
  <c r="AG77" i="1"/>
  <c r="AG6" i="1"/>
  <c r="AG18" i="1"/>
  <c r="AG30" i="1"/>
  <c r="AG42" i="1"/>
  <c r="B26" i="9"/>
  <c r="AG94" i="1"/>
  <c r="AG106" i="1"/>
  <c r="AG54" i="1"/>
  <c r="AG66" i="1"/>
  <c r="AG78" i="1"/>
  <c r="AG7" i="1"/>
  <c r="AG19" i="1"/>
  <c r="AG31" i="1"/>
  <c r="AG43" i="1"/>
  <c r="AG95" i="1"/>
  <c r="AG107" i="1"/>
  <c r="AG55" i="1"/>
  <c r="AG67" i="1"/>
  <c r="AG79" i="1"/>
  <c r="AG8" i="1"/>
  <c r="AG20" i="1"/>
  <c r="AG32" i="1"/>
  <c r="AG44" i="1"/>
  <c r="AG96" i="1"/>
  <c r="AG108" i="1"/>
  <c r="AG56" i="1"/>
  <c r="AG68" i="1"/>
  <c r="AG80" i="1"/>
  <c r="AG9" i="1"/>
  <c r="AG21" i="1"/>
  <c r="AG33" i="1"/>
  <c r="AG45" i="1"/>
  <c r="AG97" i="1"/>
  <c r="AG29" i="1"/>
  <c r="AG76" i="1"/>
  <c r="AG87" i="1"/>
  <c r="AG40" i="1"/>
  <c r="AG24" i="1"/>
  <c r="AG4" i="1"/>
  <c r="AG71" i="1"/>
  <c r="AG51" i="1"/>
  <c r="AG99" i="1"/>
  <c r="AG39" i="1"/>
  <c r="AG23" i="1"/>
  <c r="AG3" i="1"/>
  <c r="AG70" i="1"/>
  <c r="AG50" i="1"/>
  <c r="AG98" i="1"/>
  <c r="AF98" i="1"/>
  <c r="AG38" i="1"/>
  <c r="AG22" i="1"/>
  <c r="AG85" i="1"/>
  <c r="AG69" i="1"/>
  <c r="AG49" i="1"/>
  <c r="AG92" i="1"/>
  <c r="AF45" i="1"/>
  <c r="AF25" i="1"/>
  <c r="AF9" i="1"/>
  <c r="AF67" i="1"/>
  <c r="AF51" i="1"/>
  <c r="AF93" i="1"/>
  <c r="AG37" i="1"/>
  <c r="AG17" i="1"/>
  <c r="AG84" i="1"/>
  <c r="AG64" i="1"/>
  <c r="AG48" i="1"/>
  <c r="AG91" i="1"/>
  <c r="BO25" i="9"/>
  <c r="BM25" i="9"/>
  <c r="BK25" i="9"/>
  <c r="BI25" i="9"/>
  <c r="E2" i="9"/>
  <c r="AQ42" i="3" l="1"/>
  <c r="AN42" i="3"/>
  <c r="AW41" i="3"/>
  <c r="AV41" i="3"/>
  <c r="AU42" i="3"/>
  <c r="BC41" i="3"/>
  <c r="AZ41" i="3"/>
  <c r="AU36" i="3"/>
  <c r="BC35" i="3"/>
  <c r="AZ35" i="3"/>
  <c r="AW35" i="3"/>
  <c r="AV35" i="3"/>
  <c r="BC29" i="3"/>
  <c r="AZ29" i="3"/>
  <c r="AW29" i="3"/>
  <c r="AV29" i="3"/>
  <c r="AU30" i="3"/>
  <c r="AK36" i="3"/>
  <c r="AJ36" i="3"/>
  <c r="AK30" i="3"/>
  <c r="AJ30" i="3"/>
  <c r="L8" i="10"/>
  <c r="M8" i="10"/>
  <c r="Q8" i="10"/>
  <c r="H8" i="10"/>
  <c r="I8" i="10"/>
  <c r="M7" i="10"/>
  <c r="U7" i="10"/>
  <c r="T7" i="10"/>
  <c r="U8" i="10"/>
  <c r="T8" i="10"/>
  <c r="I5" i="10"/>
  <c r="H5" i="10"/>
  <c r="I7" i="10"/>
  <c r="H7" i="10"/>
  <c r="U6" i="10"/>
  <c r="T6" i="10"/>
  <c r="Q6" i="10"/>
  <c r="P6" i="10"/>
  <c r="M6" i="10"/>
  <c r="L6" i="10"/>
  <c r="Q7" i="10"/>
  <c r="P7" i="10"/>
  <c r="Q5" i="10"/>
  <c r="P5" i="10"/>
  <c r="I6" i="10"/>
  <c r="H6" i="10"/>
  <c r="U5" i="10"/>
  <c r="T5" i="10"/>
  <c r="M5" i="10"/>
  <c r="L5" i="10"/>
  <c r="L7" i="10"/>
  <c r="P8" i="10"/>
  <c r="F38" i="9"/>
  <c r="BO9" i="9" s="1"/>
  <c r="F29" i="9"/>
  <c r="F28" i="9"/>
  <c r="B22" i="9"/>
  <c r="B17" i="9"/>
  <c r="C17" i="9" s="1"/>
  <c r="K13" i="9"/>
  <c r="BP10" i="9" s="1"/>
  <c r="H13" i="9"/>
  <c r="BO21" i="9" s="1"/>
  <c r="K12" i="9"/>
  <c r="BP9" i="9" s="1"/>
  <c r="H12" i="9"/>
  <c r="BO20" i="9" s="1"/>
  <c r="K11" i="9"/>
  <c r="BP8" i="9" s="1"/>
  <c r="H11" i="9"/>
  <c r="BO19" i="9" s="1"/>
  <c r="K10" i="9"/>
  <c r="BP7" i="9" s="1"/>
  <c r="H10" i="9"/>
  <c r="BO18" i="9" s="1"/>
  <c r="K9" i="9"/>
  <c r="BN10" i="9" s="1"/>
  <c r="H9" i="9"/>
  <c r="BM21" i="9" s="1"/>
  <c r="E9" i="9"/>
  <c r="BL10" i="9" s="1"/>
  <c r="B9" i="9"/>
  <c r="BK21" i="9" s="1"/>
  <c r="K8" i="9"/>
  <c r="BN9" i="9" s="1"/>
  <c r="H8" i="9"/>
  <c r="BM20" i="9" s="1"/>
  <c r="E8" i="9"/>
  <c r="BL9" i="9" s="1"/>
  <c r="B8" i="9"/>
  <c r="BK20" i="9" s="1"/>
  <c r="K7" i="9"/>
  <c r="BN8" i="9" s="1"/>
  <c r="H7" i="9"/>
  <c r="BM19" i="9" s="1"/>
  <c r="E7" i="9"/>
  <c r="BL8" i="9" s="1"/>
  <c r="B7" i="9"/>
  <c r="BK19" i="9" s="1"/>
  <c r="K6" i="9"/>
  <c r="BN7" i="9" s="1"/>
  <c r="H6" i="9"/>
  <c r="BM18" i="9" s="1"/>
  <c r="E6" i="9"/>
  <c r="BL7" i="9" s="1"/>
  <c r="B6" i="9"/>
  <c r="BK18" i="9" s="1"/>
  <c r="E5" i="9"/>
  <c r="B5" i="9"/>
  <c r="BI21" i="9" s="1"/>
  <c r="E4" i="9"/>
  <c r="B4" i="9"/>
  <c r="BI20" i="9" s="1"/>
  <c r="E3" i="9"/>
  <c r="B3" i="9"/>
  <c r="BI19" i="9" s="1"/>
  <c r="B2" i="9"/>
  <c r="BI18" i="9" s="1"/>
  <c r="B22" i="5"/>
  <c r="B22" i="7" s="1"/>
  <c r="AG38" i="3"/>
  <c r="Z16" i="3"/>
  <c r="Z4" i="3"/>
  <c r="B40" i="5"/>
  <c r="B31" i="5"/>
  <c r="B40" i="7"/>
  <c r="B35" i="7"/>
  <c r="B26" i="7"/>
  <c r="B17" i="7"/>
  <c r="E13" i="7"/>
  <c r="D13" i="7"/>
  <c r="E12" i="7"/>
  <c r="D12" i="7"/>
  <c r="E11" i="7"/>
  <c r="D11" i="7"/>
  <c r="E10" i="7"/>
  <c r="D10" i="7"/>
  <c r="E9" i="7"/>
  <c r="D9" i="7"/>
  <c r="C9" i="7"/>
  <c r="B9" i="7"/>
  <c r="E8" i="7"/>
  <c r="D8" i="7"/>
  <c r="C8" i="7"/>
  <c r="B8" i="7"/>
  <c r="E7" i="7"/>
  <c r="D7" i="7"/>
  <c r="C7" i="7"/>
  <c r="B7" i="7"/>
  <c r="E6" i="7"/>
  <c r="D6" i="7"/>
  <c r="C6" i="7"/>
  <c r="B6" i="7"/>
  <c r="C5" i="7"/>
  <c r="B5" i="7"/>
  <c r="C4" i="7"/>
  <c r="B4" i="7"/>
  <c r="C3" i="7"/>
  <c r="B3" i="7"/>
  <c r="C2" i="7"/>
  <c r="B2" i="7"/>
  <c r="AW36" i="3" l="1"/>
  <c r="AZ36" i="3"/>
  <c r="BA33" i="3" s="1"/>
  <c r="AU37" i="3"/>
  <c r="AV36" i="3"/>
  <c r="BC36" i="3"/>
  <c r="BD33" i="3" s="1"/>
  <c r="AX33" i="3"/>
  <c r="AY33" i="3"/>
  <c r="BB33" i="3"/>
  <c r="AU31" i="3"/>
  <c r="BC30" i="3"/>
  <c r="AZ30" i="3"/>
  <c r="AW30" i="3"/>
  <c r="AV30" i="3"/>
  <c r="BC42" i="3"/>
  <c r="AZ42" i="3"/>
  <c r="AW42" i="3"/>
  <c r="AV42" i="3"/>
  <c r="BJ10" i="9"/>
  <c r="BJ7" i="9"/>
  <c r="BJ8" i="9"/>
  <c r="F30" i="9"/>
  <c r="BM10" i="9" s="1"/>
  <c r="BJ9" i="9"/>
  <c r="C28" i="9"/>
  <c r="BK8" i="9" s="1"/>
  <c r="BM8" i="9"/>
  <c r="F39" i="9"/>
  <c r="BO10" i="9" s="1"/>
  <c r="F37" i="9"/>
  <c r="BO8" i="9" s="1"/>
  <c r="F36" i="9"/>
  <c r="BO7" i="9" s="1"/>
  <c r="C21" i="9"/>
  <c r="BI10" i="9" s="1"/>
  <c r="C19" i="9"/>
  <c r="BI8" i="9" s="1"/>
  <c r="BI7" i="9"/>
  <c r="C35" i="9"/>
  <c r="C27" i="9"/>
  <c r="C26" i="9"/>
  <c r="C29" i="9"/>
  <c r="C30" i="9"/>
  <c r="C20" i="9"/>
  <c r="BI9" i="9" s="1"/>
  <c r="BM9" i="9"/>
  <c r="B31" i="7"/>
  <c r="G4" i="3"/>
  <c r="F28" i="5"/>
  <c r="F29" i="5"/>
  <c r="F30" i="5"/>
  <c r="F27" i="5"/>
  <c r="B35" i="5"/>
  <c r="B26" i="5"/>
  <c r="B17" i="5"/>
  <c r="C39" i="5"/>
  <c r="C38" i="5"/>
  <c r="C37" i="5"/>
  <c r="C36" i="5"/>
  <c r="C30" i="5"/>
  <c r="C29" i="5"/>
  <c r="C28" i="5"/>
  <c r="C27" i="5"/>
  <c r="B30" i="5"/>
  <c r="B28" i="5"/>
  <c r="B27" i="5"/>
  <c r="AA41" i="1"/>
  <c r="AA44" i="1"/>
  <c r="AA47" i="1"/>
  <c r="AA50" i="1"/>
  <c r="AA53" i="1"/>
  <c r="AA56" i="1"/>
  <c r="AA59" i="1"/>
  <c r="AA62" i="1"/>
  <c r="AA65" i="1"/>
  <c r="AA68" i="1"/>
  <c r="AA71" i="1"/>
  <c r="AA74" i="1"/>
  <c r="AA77" i="1"/>
  <c r="AA80" i="1"/>
  <c r="AA83" i="1"/>
  <c r="AA86" i="1"/>
  <c r="AA89" i="1"/>
  <c r="AA92" i="1"/>
  <c r="AA95" i="1"/>
  <c r="AA98" i="1"/>
  <c r="AA101" i="1"/>
  <c r="AA104" i="1"/>
  <c r="AA107" i="1"/>
  <c r="AA38" i="1"/>
  <c r="Z5" i="1"/>
  <c r="Z8" i="1"/>
  <c r="Z11" i="1"/>
  <c r="Z14" i="1"/>
  <c r="Z17" i="1"/>
  <c r="Z20" i="1"/>
  <c r="Z23" i="1"/>
  <c r="Z26" i="1"/>
  <c r="Z29" i="1"/>
  <c r="Z32" i="1"/>
  <c r="Z35" i="1"/>
  <c r="Z38" i="1"/>
  <c r="Z41" i="1"/>
  <c r="Z44" i="1"/>
  <c r="Z47" i="1"/>
  <c r="Z50" i="1"/>
  <c r="Z53" i="1"/>
  <c r="Z56" i="1"/>
  <c r="Z59" i="1"/>
  <c r="Z62" i="1"/>
  <c r="Z65" i="1"/>
  <c r="Z68" i="1"/>
  <c r="Z71" i="1"/>
  <c r="Y41" i="1"/>
  <c r="Y44" i="1"/>
  <c r="Y47" i="1"/>
  <c r="Y50" i="1"/>
  <c r="Y53" i="1"/>
  <c r="Y56" i="1"/>
  <c r="Y59" i="1"/>
  <c r="Y62" i="1"/>
  <c r="Y65" i="1"/>
  <c r="Y68" i="1"/>
  <c r="Y71" i="1"/>
  <c r="Y74" i="1"/>
  <c r="Y77" i="1"/>
  <c r="Y80" i="1"/>
  <c r="Y83" i="1"/>
  <c r="Y86" i="1"/>
  <c r="Y89" i="1"/>
  <c r="Y92" i="1"/>
  <c r="Y95" i="1"/>
  <c r="Y98" i="1"/>
  <c r="Y101" i="1"/>
  <c r="Y104" i="1"/>
  <c r="Y107" i="1"/>
  <c r="Y38" i="1"/>
  <c r="X14" i="1"/>
  <c r="X8" i="1"/>
  <c r="X11" i="1"/>
  <c r="X17" i="1"/>
  <c r="X20" i="1"/>
  <c r="X23" i="1"/>
  <c r="X26" i="1"/>
  <c r="X29" i="1"/>
  <c r="X32" i="1"/>
  <c r="X35" i="1"/>
  <c r="X38" i="1"/>
  <c r="X41" i="1"/>
  <c r="X44" i="1"/>
  <c r="X47" i="1"/>
  <c r="X50" i="1"/>
  <c r="X53" i="1"/>
  <c r="X56" i="1"/>
  <c r="X59" i="1"/>
  <c r="X62" i="1"/>
  <c r="X65" i="1"/>
  <c r="X68" i="1"/>
  <c r="X71" i="1"/>
  <c r="X5" i="1"/>
  <c r="I5" i="1"/>
  <c r="I8" i="1"/>
  <c r="I11" i="1"/>
  <c r="I14" i="1"/>
  <c r="I17" i="1"/>
  <c r="I20" i="1"/>
  <c r="I23" i="1"/>
  <c r="I26" i="1"/>
  <c r="I29" i="1"/>
  <c r="I32" i="1"/>
  <c r="I35" i="1"/>
  <c r="I38" i="1"/>
  <c r="I41" i="1"/>
  <c r="I44" i="1"/>
  <c r="I47" i="1"/>
  <c r="I50" i="1"/>
  <c r="I53" i="1"/>
  <c r="I56" i="1"/>
  <c r="I59" i="1"/>
  <c r="I62" i="1"/>
  <c r="I65" i="1"/>
  <c r="I68" i="1"/>
  <c r="I71" i="1"/>
  <c r="I74" i="1"/>
  <c r="I77" i="1"/>
  <c r="I80" i="1"/>
  <c r="I86" i="1"/>
  <c r="I89" i="1"/>
  <c r="I92" i="1"/>
  <c r="I95" i="1"/>
  <c r="I98" i="1"/>
  <c r="I101" i="1"/>
  <c r="I104" i="1"/>
  <c r="I107" i="1"/>
  <c r="I110" i="1"/>
  <c r="I113" i="1"/>
  <c r="I116" i="1"/>
  <c r="I119" i="1"/>
  <c r="I2" i="1"/>
  <c r="H23" i="3"/>
  <c r="Q8" i="3"/>
  <c r="Q7" i="3"/>
  <c r="Q5" i="3"/>
  <c r="S5" i="3" s="1"/>
  <c r="Q6" i="3"/>
  <c r="H19" i="3"/>
  <c r="H20" i="3"/>
  <c r="H21" i="3"/>
  <c r="H22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J53" i="3" s="1"/>
  <c r="D4" i="3"/>
  <c r="S43" i="1"/>
  <c r="S79" i="1"/>
  <c r="S90" i="1"/>
  <c r="S98" i="1"/>
  <c r="S106" i="1"/>
  <c r="R8" i="1"/>
  <c r="R16" i="1"/>
  <c r="R24" i="1"/>
  <c r="R32" i="1"/>
  <c r="T32" i="1" s="1"/>
  <c r="R40" i="1"/>
  <c r="Q38" i="1"/>
  <c r="S38" i="1" s="1"/>
  <c r="Q39" i="1"/>
  <c r="S39" i="1" s="1"/>
  <c r="Q40" i="1"/>
  <c r="S40" i="1" s="1"/>
  <c r="Q41" i="1"/>
  <c r="S41" i="1" s="1"/>
  <c r="Q42" i="1"/>
  <c r="S42" i="1" s="1"/>
  <c r="Q43" i="1"/>
  <c r="Q44" i="1"/>
  <c r="S44" i="1" s="1"/>
  <c r="Q45" i="1"/>
  <c r="S45" i="1" s="1"/>
  <c r="Q46" i="1"/>
  <c r="S46" i="1" s="1"/>
  <c r="Q47" i="1"/>
  <c r="S47" i="1" s="1"/>
  <c r="Q48" i="1"/>
  <c r="S48" i="1" s="1"/>
  <c r="Q49" i="1"/>
  <c r="S49" i="1" s="1"/>
  <c r="Q50" i="1"/>
  <c r="S50" i="1" s="1"/>
  <c r="Q51" i="1"/>
  <c r="S51" i="1" s="1"/>
  <c r="Q52" i="1"/>
  <c r="S52" i="1" s="1"/>
  <c r="Q53" i="1"/>
  <c r="S53" i="1" s="1"/>
  <c r="Q54" i="1"/>
  <c r="S54" i="1" s="1"/>
  <c r="Q55" i="1"/>
  <c r="S55" i="1" s="1"/>
  <c r="Q56" i="1"/>
  <c r="S56" i="1" s="1"/>
  <c r="Q57" i="1"/>
  <c r="S57" i="1" s="1"/>
  <c r="Q58" i="1"/>
  <c r="S58" i="1" s="1"/>
  <c r="Q59" i="1"/>
  <c r="S59" i="1" s="1"/>
  <c r="Q60" i="1"/>
  <c r="S60" i="1" s="1"/>
  <c r="Q61" i="1"/>
  <c r="S61" i="1" s="1"/>
  <c r="Q62" i="1"/>
  <c r="S62" i="1" s="1"/>
  <c r="Q63" i="1"/>
  <c r="S63" i="1" s="1"/>
  <c r="Q64" i="1"/>
  <c r="S64" i="1" s="1"/>
  <c r="Q65" i="1"/>
  <c r="S65" i="1" s="1"/>
  <c r="Q66" i="1"/>
  <c r="S66" i="1" s="1"/>
  <c r="Q67" i="1"/>
  <c r="S67" i="1" s="1"/>
  <c r="Q68" i="1"/>
  <c r="S68" i="1" s="1"/>
  <c r="Q69" i="1"/>
  <c r="S69" i="1" s="1"/>
  <c r="Q70" i="1"/>
  <c r="S70" i="1" s="1"/>
  <c r="Q71" i="1"/>
  <c r="S71" i="1" s="1"/>
  <c r="Q72" i="1"/>
  <c r="S72" i="1" s="1"/>
  <c r="Q73" i="1"/>
  <c r="S73" i="1" s="1"/>
  <c r="Q74" i="1"/>
  <c r="S74" i="1" s="1"/>
  <c r="Q75" i="1"/>
  <c r="S75" i="1" s="1"/>
  <c r="Q76" i="1"/>
  <c r="S76" i="1" s="1"/>
  <c r="Q77" i="1"/>
  <c r="S77" i="1" s="1"/>
  <c r="Q78" i="1"/>
  <c r="S78" i="1" s="1"/>
  <c r="Q79" i="1"/>
  <c r="Q80" i="1"/>
  <c r="S80" i="1" s="1"/>
  <c r="Q81" i="1"/>
  <c r="S81" i="1" s="1"/>
  <c r="Q82" i="1"/>
  <c r="S82" i="1" s="1"/>
  <c r="Q86" i="1"/>
  <c r="S86" i="1" s="1"/>
  <c r="Q87" i="1"/>
  <c r="S87" i="1" s="1"/>
  <c r="Q88" i="1"/>
  <c r="S88" i="1" s="1"/>
  <c r="Q89" i="1"/>
  <c r="S89" i="1" s="1"/>
  <c r="Q90" i="1"/>
  <c r="Q91" i="1"/>
  <c r="S91" i="1" s="1"/>
  <c r="Q92" i="1"/>
  <c r="S92" i="1" s="1"/>
  <c r="Q93" i="1"/>
  <c r="S93" i="1" s="1"/>
  <c r="Q94" i="1"/>
  <c r="S94" i="1" s="1"/>
  <c r="Q95" i="1"/>
  <c r="S95" i="1" s="1"/>
  <c r="Q96" i="1"/>
  <c r="S96" i="1" s="1"/>
  <c r="Q97" i="1"/>
  <c r="S97" i="1" s="1"/>
  <c r="Q98" i="1"/>
  <c r="Q99" i="1"/>
  <c r="S99" i="1" s="1"/>
  <c r="Q100" i="1"/>
  <c r="S100" i="1" s="1"/>
  <c r="Q101" i="1"/>
  <c r="S101" i="1" s="1"/>
  <c r="Q102" i="1"/>
  <c r="S102" i="1" s="1"/>
  <c r="Q103" i="1"/>
  <c r="S103" i="1" s="1"/>
  <c r="Q104" i="1"/>
  <c r="S104" i="1" s="1"/>
  <c r="Q105" i="1"/>
  <c r="S105" i="1" s="1"/>
  <c r="Q106" i="1"/>
  <c r="Q107" i="1"/>
  <c r="S107" i="1" s="1"/>
  <c r="Q108" i="1"/>
  <c r="S108" i="1" s="1"/>
  <c r="Q109" i="1"/>
  <c r="S109" i="1" s="1"/>
  <c r="P3" i="1"/>
  <c r="R3" i="1" s="1"/>
  <c r="P4" i="1"/>
  <c r="R4" i="1" s="1"/>
  <c r="P5" i="1"/>
  <c r="R5" i="1" s="1"/>
  <c r="P6" i="1"/>
  <c r="R6" i="1" s="1"/>
  <c r="P7" i="1"/>
  <c r="R7" i="1" s="1"/>
  <c r="P8" i="1"/>
  <c r="P9" i="1"/>
  <c r="R9" i="1" s="1"/>
  <c r="P10" i="1"/>
  <c r="R10" i="1" s="1"/>
  <c r="P11" i="1"/>
  <c r="P12" i="1"/>
  <c r="R12" i="1" s="1"/>
  <c r="P13" i="1"/>
  <c r="R13" i="1" s="1"/>
  <c r="P14" i="1"/>
  <c r="R14" i="1" s="1"/>
  <c r="P15" i="1"/>
  <c r="R15" i="1" s="1"/>
  <c r="P16" i="1"/>
  <c r="P17" i="1"/>
  <c r="R17" i="1" s="1"/>
  <c r="P18" i="1"/>
  <c r="R18" i="1" s="1"/>
  <c r="P19" i="1"/>
  <c r="R19" i="1" s="1"/>
  <c r="P20" i="1"/>
  <c r="R20" i="1" s="1"/>
  <c r="P21" i="1"/>
  <c r="R21" i="1" s="1"/>
  <c r="P22" i="1"/>
  <c r="R22" i="1" s="1"/>
  <c r="P23" i="1"/>
  <c r="R23" i="1" s="1"/>
  <c r="P24" i="1"/>
  <c r="P25" i="1"/>
  <c r="R25" i="1" s="1"/>
  <c r="P26" i="1"/>
  <c r="R26" i="1" s="1"/>
  <c r="P27" i="1"/>
  <c r="R27" i="1" s="1"/>
  <c r="P28" i="1"/>
  <c r="R28" i="1" s="1"/>
  <c r="P29" i="1"/>
  <c r="R29" i="1" s="1"/>
  <c r="P30" i="1"/>
  <c r="R30" i="1" s="1"/>
  <c r="P31" i="1"/>
  <c r="R31" i="1" s="1"/>
  <c r="P32" i="1"/>
  <c r="P33" i="1"/>
  <c r="R33" i="1" s="1"/>
  <c r="P34" i="1"/>
  <c r="R34" i="1" s="1"/>
  <c r="P35" i="1"/>
  <c r="R35" i="1" s="1"/>
  <c r="P36" i="1"/>
  <c r="R36" i="1" s="1"/>
  <c r="P37" i="1"/>
  <c r="R37" i="1" s="1"/>
  <c r="P38" i="1"/>
  <c r="R38" i="1" s="1"/>
  <c r="P39" i="1"/>
  <c r="R39" i="1" s="1"/>
  <c r="P40" i="1"/>
  <c r="P41" i="1"/>
  <c r="R41" i="1" s="1"/>
  <c r="P42" i="1"/>
  <c r="R42" i="1" s="1"/>
  <c r="P43" i="1"/>
  <c r="R43" i="1" s="1"/>
  <c r="P44" i="1"/>
  <c r="R44" i="1" s="1"/>
  <c r="P45" i="1"/>
  <c r="R45" i="1" s="1"/>
  <c r="P46" i="1"/>
  <c r="R46" i="1" s="1"/>
  <c r="P47" i="1"/>
  <c r="R47" i="1" s="1"/>
  <c r="P48" i="1"/>
  <c r="R48" i="1" s="1"/>
  <c r="P49" i="1"/>
  <c r="R49" i="1" s="1"/>
  <c r="P50" i="1"/>
  <c r="R50" i="1" s="1"/>
  <c r="P51" i="1"/>
  <c r="R51" i="1" s="1"/>
  <c r="P52" i="1"/>
  <c r="R52" i="1" s="1"/>
  <c r="P53" i="1"/>
  <c r="R53" i="1" s="1"/>
  <c r="P54" i="1"/>
  <c r="R54" i="1" s="1"/>
  <c r="P55" i="1"/>
  <c r="R55" i="1" s="1"/>
  <c r="P56" i="1"/>
  <c r="R56" i="1" s="1"/>
  <c r="P57" i="1"/>
  <c r="R57" i="1" s="1"/>
  <c r="P58" i="1"/>
  <c r="R58" i="1" s="1"/>
  <c r="P59" i="1"/>
  <c r="R59" i="1" s="1"/>
  <c r="P60" i="1"/>
  <c r="R60" i="1" s="1"/>
  <c r="P61" i="1"/>
  <c r="R61" i="1" s="1"/>
  <c r="P62" i="1"/>
  <c r="R62" i="1" s="1"/>
  <c r="P63" i="1"/>
  <c r="R63" i="1" s="1"/>
  <c r="P64" i="1"/>
  <c r="R64" i="1" s="1"/>
  <c r="P65" i="1"/>
  <c r="R65" i="1" s="1"/>
  <c r="P66" i="1"/>
  <c r="R66" i="1" s="1"/>
  <c r="P67" i="1"/>
  <c r="R67" i="1" s="1"/>
  <c r="P68" i="1"/>
  <c r="R68" i="1" s="1"/>
  <c r="P69" i="1"/>
  <c r="R69" i="1" s="1"/>
  <c r="P70" i="1"/>
  <c r="R70" i="1" s="1"/>
  <c r="P71" i="1"/>
  <c r="R71" i="1" s="1"/>
  <c r="P72" i="1"/>
  <c r="R72" i="1" s="1"/>
  <c r="P73" i="1"/>
  <c r="R73" i="1" s="1"/>
  <c r="P2" i="1"/>
  <c r="B17" i="4"/>
  <c r="B16" i="4"/>
  <c r="B11" i="4"/>
  <c r="B10" i="4"/>
  <c r="B15" i="4"/>
  <c r="B9" i="4"/>
  <c r="E3" i="4"/>
  <c r="E4" i="4"/>
  <c r="E5" i="4"/>
  <c r="E2" i="4"/>
  <c r="B14" i="4" s="1"/>
  <c r="C3" i="4"/>
  <c r="C4" i="4"/>
  <c r="C5" i="4"/>
  <c r="C2" i="4"/>
  <c r="B8" i="4" s="1"/>
  <c r="BE33" i="3" l="1"/>
  <c r="I27" i="3"/>
  <c r="N28" i="9"/>
  <c r="P9" i="3"/>
  <c r="I4" i="3"/>
  <c r="J21" i="3"/>
  <c r="P5" i="3"/>
  <c r="N27" i="9"/>
  <c r="BK7" i="9"/>
  <c r="N29" i="9"/>
  <c r="BK9" i="9"/>
  <c r="N30" i="9"/>
  <c r="BK10" i="9"/>
  <c r="B31" i="9"/>
  <c r="B40" i="9"/>
  <c r="I35" i="3"/>
  <c r="I11" i="3"/>
  <c r="I30" i="3"/>
  <c r="P7" i="3"/>
  <c r="P17" i="3"/>
  <c r="I38" i="3"/>
  <c r="J50" i="3"/>
  <c r="I46" i="3"/>
  <c r="I22" i="3"/>
  <c r="I14" i="3"/>
  <c r="I43" i="3"/>
  <c r="I19" i="3"/>
  <c r="I13" i="3"/>
  <c r="I8" i="3"/>
  <c r="P11" i="3"/>
  <c r="J51" i="3"/>
  <c r="Q14" i="3"/>
  <c r="J49" i="3"/>
  <c r="J33" i="3"/>
  <c r="I31" i="3"/>
  <c r="I23" i="3"/>
  <c r="I15" i="3"/>
  <c r="I7" i="3"/>
  <c r="I53" i="3"/>
  <c r="I45" i="3"/>
  <c r="I37" i="3"/>
  <c r="I29" i="3"/>
  <c r="I21" i="3"/>
  <c r="P6" i="3"/>
  <c r="I28" i="3"/>
  <c r="I20" i="3"/>
  <c r="I12" i="3"/>
  <c r="I51" i="3"/>
  <c r="P21" i="3"/>
  <c r="P14" i="3"/>
  <c r="J48" i="3"/>
  <c r="J40" i="3"/>
  <c r="J32" i="3"/>
  <c r="J24" i="3"/>
  <c r="P13" i="3"/>
  <c r="I18" i="3"/>
  <c r="I10" i="3"/>
  <c r="J47" i="3"/>
  <c r="J39" i="3"/>
  <c r="J31" i="3"/>
  <c r="J22" i="3"/>
  <c r="I49" i="3"/>
  <c r="I41" i="3"/>
  <c r="I33" i="3"/>
  <c r="I25" i="3"/>
  <c r="I17" i="3"/>
  <c r="I9" i="3"/>
  <c r="J46" i="3"/>
  <c r="J38" i="3"/>
  <c r="Q12" i="3"/>
  <c r="I32" i="3"/>
  <c r="I24" i="3"/>
  <c r="I16" i="3"/>
  <c r="P15" i="3"/>
  <c r="P8" i="3"/>
  <c r="J52" i="3"/>
  <c r="J28" i="3"/>
  <c r="J19" i="3"/>
  <c r="U26" i="1"/>
  <c r="T26" i="1"/>
  <c r="T41" i="1"/>
  <c r="U41" i="1"/>
  <c r="W92" i="1"/>
  <c r="V92" i="1"/>
  <c r="V41" i="1"/>
  <c r="D7" i="5" s="1"/>
  <c r="W41" i="1"/>
  <c r="E7" i="5" s="1"/>
  <c r="V101" i="1"/>
  <c r="W101" i="1"/>
  <c r="V74" i="1"/>
  <c r="W74" i="1"/>
  <c r="T17" i="1"/>
  <c r="U17" i="1"/>
  <c r="W107" i="1"/>
  <c r="E13" i="5" s="1"/>
  <c r="V107" i="1"/>
  <c r="D13" i="5" s="1"/>
  <c r="W80" i="1"/>
  <c r="V80" i="1"/>
  <c r="T8" i="1"/>
  <c r="B4" i="5" s="1"/>
  <c r="T11" i="1"/>
  <c r="B5" i="5" s="1"/>
  <c r="U11" i="1"/>
  <c r="U23" i="1"/>
  <c r="T23" i="1"/>
  <c r="V89" i="1"/>
  <c r="D11" i="5" s="1"/>
  <c r="W89" i="1"/>
  <c r="V38" i="1"/>
  <c r="W38" i="1"/>
  <c r="V98" i="1"/>
  <c r="W86" i="1"/>
  <c r="V86" i="1"/>
  <c r="W104" i="1"/>
  <c r="V104" i="1"/>
  <c r="W77" i="1"/>
  <c r="V77" i="1"/>
  <c r="T2" i="1"/>
  <c r="T35" i="1"/>
  <c r="U35" i="1"/>
  <c r="T38" i="1"/>
  <c r="U38" i="1"/>
  <c r="C6" i="5" s="1"/>
  <c r="T14" i="1"/>
  <c r="U14" i="1"/>
  <c r="T29" i="1"/>
  <c r="U29" i="1"/>
  <c r="T5" i="1"/>
  <c r="B3" i="5" s="1"/>
  <c r="U5" i="1"/>
  <c r="T20" i="1"/>
  <c r="U20" i="1"/>
  <c r="V95" i="1"/>
  <c r="W95" i="1"/>
  <c r="U8" i="1"/>
  <c r="C2" i="5"/>
  <c r="W98" i="1"/>
  <c r="U32" i="1"/>
  <c r="I6" i="3"/>
  <c r="P12" i="3"/>
  <c r="I50" i="3"/>
  <c r="I42" i="3"/>
  <c r="I34" i="3"/>
  <c r="J44" i="3"/>
  <c r="J36" i="3"/>
  <c r="P20" i="3"/>
  <c r="I26" i="3"/>
  <c r="J43" i="3"/>
  <c r="J35" i="3"/>
  <c r="J27" i="3"/>
  <c r="J30" i="3"/>
  <c r="P19" i="3"/>
  <c r="I48" i="3"/>
  <c r="I40" i="3"/>
  <c r="J42" i="3"/>
  <c r="J34" i="3"/>
  <c r="J26" i="3"/>
  <c r="P18" i="3"/>
  <c r="Q15" i="3"/>
  <c r="I47" i="3"/>
  <c r="I39" i="3"/>
  <c r="J41" i="3"/>
  <c r="J25" i="3"/>
  <c r="Q17" i="3"/>
  <c r="Q18" i="3"/>
  <c r="Q19" i="3"/>
  <c r="I52" i="3"/>
  <c r="I44" i="3"/>
  <c r="I36" i="3"/>
  <c r="I5" i="3"/>
  <c r="Q20" i="3"/>
  <c r="J45" i="3"/>
  <c r="J37" i="3"/>
  <c r="J29" i="3"/>
  <c r="Q21" i="3"/>
  <c r="Q13" i="3"/>
  <c r="Q11" i="3"/>
  <c r="J23" i="3"/>
  <c r="U71" i="1"/>
  <c r="T71" i="1"/>
  <c r="U68" i="1"/>
  <c r="T68" i="1"/>
  <c r="T65" i="1"/>
  <c r="U65" i="1"/>
  <c r="W71" i="1"/>
  <c r="V71" i="1"/>
  <c r="W68" i="1"/>
  <c r="V68" i="1"/>
  <c r="V65" i="1"/>
  <c r="W65" i="1"/>
  <c r="V62" i="1"/>
  <c r="W62" i="1"/>
  <c r="T62" i="1"/>
  <c r="U62" i="1"/>
  <c r="T59" i="1"/>
  <c r="U59" i="1"/>
  <c r="T56" i="1"/>
  <c r="U56" i="1"/>
  <c r="T53" i="1"/>
  <c r="U53" i="1"/>
  <c r="T50" i="1"/>
  <c r="U50" i="1"/>
  <c r="V59" i="1"/>
  <c r="W59" i="1"/>
  <c r="V56" i="1"/>
  <c r="W56" i="1"/>
  <c r="V53" i="1"/>
  <c r="W53" i="1"/>
  <c r="V50" i="1"/>
  <c r="W50" i="1"/>
  <c r="W47" i="1"/>
  <c r="V47" i="1"/>
  <c r="D9" i="5" s="1"/>
  <c r="W44" i="1"/>
  <c r="V44" i="1"/>
  <c r="T47" i="1"/>
  <c r="U47" i="1"/>
  <c r="T44" i="1"/>
  <c r="B8" i="5" s="1"/>
  <c r="U44" i="1"/>
  <c r="C8" i="5" s="1"/>
  <c r="B7" i="4"/>
  <c r="B13" i="4"/>
  <c r="L24" i="3" l="1"/>
  <c r="M19" i="3"/>
  <c r="N19" i="3"/>
  <c r="N34" i="3"/>
  <c r="N44" i="3"/>
  <c r="L4" i="3"/>
  <c r="K4" i="3"/>
  <c r="N39" i="3"/>
  <c r="L19" i="3"/>
  <c r="N29" i="3"/>
  <c r="L29" i="3"/>
  <c r="L9" i="3"/>
  <c r="N24" i="3"/>
  <c r="L14" i="3"/>
  <c r="K19" i="3"/>
  <c r="M29" i="3"/>
  <c r="M24" i="3"/>
  <c r="M39" i="3"/>
  <c r="M44" i="3"/>
  <c r="M34" i="3"/>
  <c r="S11" i="3"/>
  <c r="O6" i="9" s="1"/>
  <c r="BM22" i="9" s="1"/>
  <c r="BM23" i="9" s="1"/>
  <c r="K24" i="3"/>
  <c r="K9" i="3"/>
  <c r="AA12" i="3"/>
  <c r="AH12" i="3" s="1"/>
  <c r="AA18" i="3"/>
  <c r="AB18" i="3" s="1"/>
  <c r="S17" i="3"/>
  <c r="O10" i="9" s="1"/>
  <c r="BO22" i="9" s="1"/>
  <c r="BO23" i="9" s="1"/>
  <c r="K14" i="3"/>
  <c r="AA15" i="3"/>
  <c r="AB15" i="3" s="1"/>
  <c r="R17" i="3"/>
  <c r="K29" i="3"/>
  <c r="R11" i="3"/>
  <c r="N6" i="9" s="1"/>
  <c r="BK22" i="9" s="1"/>
  <c r="BK23" i="9" s="1"/>
  <c r="R5" i="3"/>
  <c r="AA7" i="3"/>
  <c r="AB7" i="3" s="1"/>
  <c r="AA11" i="3"/>
  <c r="AB11" i="3" s="1"/>
  <c r="AC11" i="3" s="1"/>
  <c r="AA9" i="3"/>
  <c r="AB9" i="3" s="1"/>
  <c r="AA8" i="3"/>
  <c r="AH8" i="3" s="1"/>
  <c r="AA14" i="3"/>
  <c r="AA13" i="3"/>
  <c r="AA6" i="3"/>
  <c r="AA17" i="3"/>
  <c r="AA20" i="3"/>
  <c r="AA19" i="3"/>
  <c r="AA21" i="3"/>
  <c r="G6" i="7"/>
  <c r="B6" i="5"/>
  <c r="E9" i="5"/>
  <c r="C3" i="5"/>
  <c r="C5" i="5"/>
  <c r="E10" i="5"/>
  <c r="B2" i="5"/>
  <c r="D10" i="5"/>
  <c r="B7" i="5"/>
  <c r="B9" i="5"/>
  <c r="D8" i="5"/>
  <c r="C4" i="5"/>
  <c r="D6" i="5"/>
  <c r="D12" i="5"/>
  <c r="C9" i="5"/>
  <c r="C7" i="5"/>
  <c r="E6" i="5"/>
  <c r="E8" i="5"/>
  <c r="E11" i="5"/>
  <c r="E12" i="5"/>
  <c r="H92" i="1"/>
  <c r="J92" i="1" s="1"/>
  <c r="H95" i="1"/>
  <c r="J95" i="1" s="1"/>
  <c r="H89" i="1"/>
  <c r="J89" i="1" s="1"/>
  <c r="H86" i="1"/>
  <c r="J86" i="1" s="1"/>
  <c r="H98" i="1"/>
  <c r="J98" i="1" s="1"/>
  <c r="H101" i="1"/>
  <c r="J101" i="1" s="1"/>
  <c r="H104" i="1"/>
  <c r="J104" i="1" s="1"/>
  <c r="H107" i="1"/>
  <c r="J107" i="1" s="1"/>
  <c r="H80" i="1"/>
  <c r="J80" i="1" s="1"/>
  <c r="H77" i="1"/>
  <c r="J77" i="1" s="1"/>
  <c r="H74" i="1"/>
  <c r="J74" i="1" s="1"/>
  <c r="H11" i="1"/>
  <c r="J11" i="1" s="1"/>
  <c r="H8" i="1"/>
  <c r="J8" i="1" s="1"/>
  <c r="H5" i="1"/>
  <c r="J5" i="1" s="1"/>
  <c r="H2" i="1"/>
  <c r="J2" i="1" s="1"/>
  <c r="H35" i="1"/>
  <c r="J35" i="1" s="1"/>
  <c r="H32" i="1"/>
  <c r="J32" i="1" s="1"/>
  <c r="H29" i="1"/>
  <c r="J29" i="1" s="1"/>
  <c r="H26" i="1"/>
  <c r="J26" i="1" s="1"/>
  <c r="H23" i="1"/>
  <c r="J23" i="1" s="1"/>
  <c r="H20" i="1"/>
  <c r="J20" i="1" s="1"/>
  <c r="H17" i="1"/>
  <c r="J17" i="1" s="1"/>
  <c r="H14" i="1"/>
  <c r="J14" i="1" s="1"/>
  <c r="H71" i="1"/>
  <c r="J71" i="1" s="1"/>
  <c r="H68" i="1"/>
  <c r="J68" i="1" s="1"/>
  <c r="H65" i="1"/>
  <c r="J65" i="1" s="1"/>
  <c r="H62" i="1"/>
  <c r="J62" i="1" s="1"/>
  <c r="H59" i="1"/>
  <c r="J59" i="1" s="1"/>
  <c r="H56" i="1"/>
  <c r="J56" i="1" s="1"/>
  <c r="H53" i="1"/>
  <c r="J53" i="1" s="1"/>
  <c r="H50" i="1"/>
  <c r="J50" i="1" s="1"/>
  <c r="H47" i="1"/>
  <c r="J47" i="1" s="1"/>
  <c r="H44" i="1"/>
  <c r="J44" i="1" s="1"/>
  <c r="H41" i="1"/>
  <c r="J41" i="1" s="1"/>
  <c r="H38" i="1"/>
  <c r="J38" i="1" s="1"/>
  <c r="H119" i="1"/>
  <c r="J119" i="1" s="1"/>
  <c r="H116" i="1"/>
  <c r="J116" i="1" s="1"/>
  <c r="H113" i="1"/>
  <c r="J113" i="1" s="1"/>
  <c r="H110" i="1"/>
  <c r="J110" i="1" s="1"/>
  <c r="AQ5" i="3" l="1"/>
  <c r="AN5" i="3"/>
  <c r="AK5" i="3"/>
  <c r="L9" i="10"/>
  <c r="M9" i="10"/>
  <c r="J27" i="9" s="1"/>
  <c r="S9" i="10"/>
  <c r="R9" i="10"/>
  <c r="F9" i="10"/>
  <c r="F10" i="10" s="1"/>
  <c r="F25" i="10" s="1"/>
  <c r="G9" i="10"/>
  <c r="H9" i="10"/>
  <c r="I9" i="10"/>
  <c r="J18" i="9" s="1"/>
  <c r="T9" i="10"/>
  <c r="U9" i="10"/>
  <c r="M36" i="9" s="1"/>
  <c r="K9" i="10"/>
  <c r="J9" i="10"/>
  <c r="J24" i="10" s="1"/>
  <c r="H27" i="9" s="1"/>
  <c r="Q9" i="10"/>
  <c r="M27" i="9" s="1"/>
  <c r="P9" i="10"/>
  <c r="O9" i="10"/>
  <c r="N9" i="10"/>
  <c r="T11" i="3"/>
  <c r="V11" i="3" s="1"/>
  <c r="D27" i="5" s="1"/>
  <c r="AH18" i="3"/>
  <c r="AT18" i="3" s="1"/>
  <c r="F6" i="7"/>
  <c r="T5" i="3"/>
  <c r="V5" i="3" s="1"/>
  <c r="AT12" i="3"/>
  <c r="AT8" i="3"/>
  <c r="AT5" i="3"/>
  <c r="AU5" i="3" s="1"/>
  <c r="BC5" i="3" s="1"/>
  <c r="AB12" i="3"/>
  <c r="AC12" i="3" s="1"/>
  <c r="AH15" i="3"/>
  <c r="AT15" i="3" s="1"/>
  <c r="G10" i="7"/>
  <c r="AH7" i="3"/>
  <c r="AB8" i="3"/>
  <c r="BL11" i="9"/>
  <c r="AH9" i="3"/>
  <c r="AT9" i="3" s="1"/>
  <c r="R10" i="10"/>
  <c r="R25" i="10" s="1"/>
  <c r="BP11" i="9"/>
  <c r="AB5" i="3"/>
  <c r="AC5" i="3" s="1"/>
  <c r="AH11" i="3"/>
  <c r="BJ11" i="9"/>
  <c r="BN11" i="9"/>
  <c r="F2" i="7"/>
  <c r="N2" i="9"/>
  <c r="BI22" i="9" s="1"/>
  <c r="BI23" i="9" s="1"/>
  <c r="U17" i="3"/>
  <c r="W17" i="3" s="1"/>
  <c r="G10" i="5"/>
  <c r="AB20" i="3"/>
  <c r="AH20" i="3"/>
  <c r="AT20" i="3" s="1"/>
  <c r="AB6" i="3"/>
  <c r="AH13" i="3"/>
  <c r="AB13" i="3"/>
  <c r="AB14" i="3"/>
  <c r="AH14" i="3"/>
  <c r="U11" i="3"/>
  <c r="W11" i="3" s="1"/>
  <c r="AB17" i="3"/>
  <c r="AC17" i="3" s="1"/>
  <c r="AC18" i="3" s="1"/>
  <c r="AH17" i="3"/>
  <c r="AH21" i="3"/>
  <c r="AT21" i="3" s="1"/>
  <c r="AB21" i="3"/>
  <c r="AH19" i="3"/>
  <c r="AT19" i="3" s="1"/>
  <c r="AB19" i="3"/>
  <c r="G6" i="5"/>
  <c r="F6" i="5"/>
  <c r="F2" i="5"/>
  <c r="AN6" i="3" l="1"/>
  <c r="AQ6" i="3"/>
  <c r="AJ6" i="3"/>
  <c r="AV5" i="3"/>
  <c r="AW5" i="3"/>
  <c r="AZ5" i="3"/>
  <c r="AI7" i="3"/>
  <c r="AK6" i="3"/>
  <c r="J10" i="10"/>
  <c r="J25" i="10" s="1"/>
  <c r="T24" i="10"/>
  <c r="T10" i="10"/>
  <c r="T25" i="10" s="1"/>
  <c r="H24" i="10"/>
  <c r="H10" i="10"/>
  <c r="H25" i="10" s="1"/>
  <c r="P10" i="10"/>
  <c r="P25" i="10" s="1"/>
  <c r="P24" i="10"/>
  <c r="F24" i="10"/>
  <c r="G24" i="10" s="1"/>
  <c r="K24" i="10" s="1"/>
  <c r="H18" i="9"/>
  <c r="N10" i="10"/>
  <c r="N25" i="10" s="1"/>
  <c r="K27" i="9"/>
  <c r="L27" i="9" s="1"/>
  <c r="N24" i="10"/>
  <c r="K36" i="9"/>
  <c r="R24" i="10"/>
  <c r="L24" i="10"/>
  <c r="L10" i="10"/>
  <c r="L25" i="10" s="1"/>
  <c r="AI11" i="3"/>
  <c r="AQ11" i="3" s="1"/>
  <c r="AI8" i="3"/>
  <c r="AT17" i="3"/>
  <c r="AU17" i="3" s="1"/>
  <c r="AI17" i="3"/>
  <c r="AQ17" i="3" s="1"/>
  <c r="AT13" i="3"/>
  <c r="AT7" i="3"/>
  <c r="AT6" i="3"/>
  <c r="AU6" i="3" s="1"/>
  <c r="BC6" i="3" s="1"/>
  <c r="AT14" i="3"/>
  <c r="AC6" i="3"/>
  <c r="AC7" i="3" s="1"/>
  <c r="AC8" i="3" s="1"/>
  <c r="AC9" i="3" s="1"/>
  <c r="AT11" i="3"/>
  <c r="AU11" i="3" s="1"/>
  <c r="BC11" i="3" s="1"/>
  <c r="AC13" i="3"/>
  <c r="AC14" i="3" s="1"/>
  <c r="AC15" i="3" s="1"/>
  <c r="E36" i="5"/>
  <c r="B41" i="5" s="1"/>
  <c r="B41" i="7" s="1"/>
  <c r="C36" i="7" s="1"/>
  <c r="E27" i="5"/>
  <c r="F31" i="5" s="1"/>
  <c r="I27" i="9"/>
  <c r="BK11" i="9" s="1"/>
  <c r="BK12" i="9" s="1"/>
  <c r="D18" i="5"/>
  <c r="B23" i="5" s="1"/>
  <c r="AC19" i="3"/>
  <c r="AC21" i="3" s="1"/>
  <c r="AS17" i="3" l="1"/>
  <c r="AR17" i="3"/>
  <c r="AN8" i="3"/>
  <c r="AQ8" i="3"/>
  <c r="AK7" i="3"/>
  <c r="AM5" i="3" s="1"/>
  <c r="AQ7" i="3"/>
  <c r="AV17" i="3"/>
  <c r="BC17" i="3"/>
  <c r="AV11" i="3"/>
  <c r="AW11" i="3"/>
  <c r="AV6" i="3"/>
  <c r="AZ6" i="3"/>
  <c r="AW6" i="3"/>
  <c r="AJ7" i="3"/>
  <c r="AN7" i="3"/>
  <c r="AK17" i="3"/>
  <c r="AN17" i="3"/>
  <c r="AU18" i="3"/>
  <c r="AZ17" i="3"/>
  <c r="AW17" i="3"/>
  <c r="Q24" i="10"/>
  <c r="U24" i="10" s="1"/>
  <c r="AJ11" i="3"/>
  <c r="AN11" i="3"/>
  <c r="AU12" i="3"/>
  <c r="AZ11" i="3"/>
  <c r="I24" i="10"/>
  <c r="M24" i="10" s="1"/>
  <c r="O24" i="10"/>
  <c r="S24" i="10" s="1"/>
  <c r="AK8" i="3"/>
  <c r="AJ8" i="3"/>
  <c r="AI18" i="3"/>
  <c r="AQ18" i="3" s="1"/>
  <c r="AJ17" i="3"/>
  <c r="BM11" i="9"/>
  <c r="BM12" i="9" s="1"/>
  <c r="AI12" i="3"/>
  <c r="AQ12" i="3" s="1"/>
  <c r="AK11" i="3"/>
  <c r="B32" i="9"/>
  <c r="B33" i="9" s="1"/>
  <c r="AU7" i="3"/>
  <c r="BC7" i="3" s="1"/>
  <c r="B32" i="5"/>
  <c r="B32" i="7" s="1"/>
  <c r="B37" i="7"/>
  <c r="B42" i="5"/>
  <c r="B42" i="7" s="1"/>
  <c r="D37" i="7"/>
  <c r="E39" i="7"/>
  <c r="E37" i="7"/>
  <c r="L36" i="9"/>
  <c r="B41" i="9"/>
  <c r="B42" i="9" s="1"/>
  <c r="E36" i="7"/>
  <c r="C38" i="7"/>
  <c r="D38" i="7"/>
  <c r="C39" i="7"/>
  <c r="D36" i="7"/>
  <c r="C37" i="7"/>
  <c r="D39" i="7"/>
  <c r="B36" i="7"/>
  <c r="E38" i="7"/>
  <c r="B38" i="7"/>
  <c r="B39" i="7"/>
  <c r="N31" i="9"/>
  <c r="B24" i="5"/>
  <c r="B24" i="7" s="1"/>
  <c r="B23" i="7"/>
  <c r="E18" i="7" s="1"/>
  <c r="B23" i="9"/>
  <c r="B24" i="9" s="1"/>
  <c r="I18" i="9"/>
  <c r="BI11" i="9" s="1"/>
  <c r="BI12" i="9" s="1"/>
  <c r="AP5" i="3" l="1"/>
  <c r="AO5" i="3"/>
  <c r="AR5" i="3"/>
  <c r="AS5" i="3"/>
  <c r="AY17" i="3"/>
  <c r="AX17" i="3"/>
  <c r="AV18" i="3"/>
  <c r="BC18" i="3"/>
  <c r="AV12" i="3"/>
  <c r="BC12" i="3"/>
  <c r="BB17" i="3"/>
  <c r="BA17" i="3"/>
  <c r="AP17" i="3"/>
  <c r="AO17" i="3"/>
  <c r="AZ7" i="3"/>
  <c r="AW7" i="3"/>
  <c r="AU19" i="3"/>
  <c r="AZ18" i="3"/>
  <c r="AW18" i="3"/>
  <c r="AZ12" i="3"/>
  <c r="AW12" i="3"/>
  <c r="AJ12" i="3"/>
  <c r="AN12" i="3"/>
  <c r="AM17" i="3"/>
  <c r="AL17" i="3"/>
  <c r="AU13" i="3"/>
  <c r="AK18" i="3"/>
  <c r="AN18" i="3"/>
  <c r="AU8" i="3"/>
  <c r="BC8" i="3" s="1"/>
  <c r="BE5" i="3" s="1"/>
  <c r="AV7" i="3"/>
  <c r="AI19" i="3"/>
  <c r="AQ19" i="3" s="1"/>
  <c r="AJ18" i="3"/>
  <c r="BO11" i="9"/>
  <c r="BO12" i="9" s="1"/>
  <c r="B33" i="5"/>
  <c r="B33" i="7" s="1"/>
  <c r="AI13" i="3"/>
  <c r="AQ13" i="3" s="1"/>
  <c r="AK12" i="3"/>
  <c r="B20" i="7"/>
  <c r="E19" i="7"/>
  <c r="D18" i="7"/>
  <c r="B19" i="7"/>
  <c r="D19" i="7"/>
  <c r="B18" i="7"/>
  <c r="C20" i="7"/>
  <c r="D21" i="7"/>
  <c r="E20" i="7"/>
  <c r="C19" i="7"/>
  <c r="B21" i="7"/>
  <c r="D20" i="7"/>
  <c r="C21" i="7"/>
  <c r="E21" i="7"/>
  <c r="C18" i="7"/>
  <c r="D29" i="7"/>
  <c r="E29" i="7"/>
  <c r="C30" i="7"/>
  <c r="C27" i="7"/>
  <c r="C28" i="7"/>
  <c r="D28" i="7"/>
  <c r="E28" i="7"/>
  <c r="C29" i="7"/>
  <c r="B30" i="7"/>
  <c r="E30" i="7"/>
  <c r="D30" i="7"/>
  <c r="D27" i="7"/>
  <c r="B28" i="7"/>
  <c r="B27" i="7"/>
  <c r="B29" i="7"/>
  <c r="E27" i="7"/>
  <c r="BD5" i="3" l="1"/>
  <c r="AV19" i="3"/>
  <c r="BC19" i="3"/>
  <c r="BB5" i="3"/>
  <c r="BA5" i="3"/>
  <c r="AV13" i="3"/>
  <c r="BC13" i="3"/>
  <c r="BE17" i="3"/>
  <c r="BD17" i="3"/>
  <c r="AU14" i="3"/>
  <c r="AZ13" i="3"/>
  <c r="AW13" i="3"/>
  <c r="AK19" i="3"/>
  <c r="AN19" i="3"/>
  <c r="AU20" i="3"/>
  <c r="AZ19" i="3"/>
  <c r="AW19" i="3"/>
  <c r="AZ8" i="3"/>
  <c r="AW8" i="3"/>
  <c r="AY5" i="3" s="1"/>
  <c r="AJ13" i="3"/>
  <c r="AN13" i="3"/>
  <c r="AI20" i="3"/>
  <c r="AQ20" i="3" s="1"/>
  <c r="AJ19" i="3"/>
  <c r="AU9" i="3"/>
  <c r="AV8" i="3"/>
  <c r="AI14" i="3"/>
  <c r="AK13" i="3"/>
  <c r="F31" i="7"/>
  <c r="F30" i="7"/>
  <c r="F27" i="7"/>
  <c r="F29" i="7"/>
  <c r="F28" i="7"/>
  <c r="AN14" i="3" l="1"/>
  <c r="AP11" i="3" s="1"/>
  <c r="AQ14" i="3"/>
  <c r="AV14" i="3"/>
  <c r="BC14" i="3"/>
  <c r="AO11" i="3"/>
  <c r="AX11" i="3"/>
  <c r="AV20" i="3"/>
  <c r="BC20" i="3"/>
  <c r="AX5" i="3"/>
  <c r="AJ20" i="3"/>
  <c r="AK20" i="3"/>
  <c r="AN20" i="3"/>
  <c r="AU15" i="3"/>
  <c r="AZ14" i="3"/>
  <c r="BA11" i="3" s="1"/>
  <c r="AW14" i="3"/>
  <c r="AY11" i="3" s="1"/>
  <c r="AU21" i="3"/>
  <c r="AZ20" i="3"/>
  <c r="AW20" i="3"/>
  <c r="AK14" i="3"/>
  <c r="AL11" i="3" s="1"/>
  <c r="AJ14" i="3"/>
  <c r="AR11" i="3" l="1"/>
  <c r="AS11" i="3"/>
  <c r="AM11" i="3"/>
  <c r="BD11" i="3"/>
  <c r="BE11" i="3"/>
  <c r="BB11" i="3"/>
</calcChain>
</file>

<file path=xl/sharedStrings.xml><?xml version="1.0" encoding="utf-8"?>
<sst xmlns="http://schemas.openxmlformats.org/spreadsheetml/2006/main" count="920" uniqueCount="383">
  <si>
    <t xml:space="preserve">Columns </t>
  </si>
  <si>
    <t>Sand NTO (mg/kg)</t>
  </si>
  <si>
    <t>SE</t>
  </si>
  <si>
    <t>Sand ACR  (mg/kg)</t>
  </si>
  <si>
    <t>Water NTO (mg/L)</t>
  </si>
  <si>
    <t>Water ACR (mg/L)</t>
  </si>
  <si>
    <t>NTO 1</t>
  </si>
  <si>
    <t>NTO 2</t>
  </si>
  <si>
    <t>NTO 3</t>
  </si>
  <si>
    <t>NTO 4</t>
  </si>
  <si>
    <t>NTO</t>
  </si>
  <si>
    <t>NTO:ACR</t>
  </si>
  <si>
    <t>ACR</t>
  </si>
  <si>
    <t>NTO:ACR 1</t>
  </si>
  <si>
    <t>NTO wt. %</t>
  </si>
  <si>
    <t>RSE</t>
  </si>
  <si>
    <t>RSD</t>
  </si>
  <si>
    <t>ACR wt. %</t>
  </si>
  <si>
    <t>NTO:ACR 2</t>
  </si>
  <si>
    <t>Soil</t>
  </si>
  <si>
    <t>Section 1</t>
  </si>
  <si>
    <t>NTO:ACR 3</t>
  </si>
  <si>
    <t>Section 2</t>
  </si>
  <si>
    <t>NTO:ACR 4</t>
  </si>
  <si>
    <t>Section 3</t>
  </si>
  <si>
    <t>ACR 1</t>
  </si>
  <si>
    <t>Section 4</t>
  </si>
  <si>
    <t>ACR 2</t>
  </si>
  <si>
    <t>Water</t>
  </si>
  <si>
    <t>Leachate</t>
  </si>
  <si>
    <t>ACR 3</t>
  </si>
  <si>
    <t>Not recovered</t>
  </si>
  <si>
    <t>ACR 4</t>
  </si>
  <si>
    <t>Soil NTO (g)</t>
  </si>
  <si>
    <t>Scaled %</t>
  </si>
  <si>
    <t>SD</t>
  </si>
  <si>
    <t>Soil ACR  (g)</t>
  </si>
  <si>
    <t>Water NTO (g)</t>
  </si>
  <si>
    <t>Water ACR (g)</t>
  </si>
  <si>
    <t>Start explosive</t>
  </si>
  <si>
    <t>NTO g</t>
  </si>
  <si>
    <t>ACR g</t>
  </si>
  <si>
    <t>Expl recovered soil</t>
  </si>
  <si>
    <t>Expl recovered S&amp;W</t>
  </si>
  <si>
    <t>Missing expl</t>
  </si>
  <si>
    <t>Added</t>
  </si>
  <si>
    <t>Sum of NTO ACR</t>
  </si>
  <si>
    <t>Start explosive NTO</t>
  </si>
  <si>
    <t>Start explosive NTO:ACR</t>
  </si>
  <si>
    <t>Start explosive ACR</t>
  </si>
  <si>
    <t>Nomenclature</t>
  </si>
  <si>
    <t>Notes</t>
  </si>
  <si>
    <t>BE</t>
  </si>
  <si>
    <t>Before Experiment</t>
  </si>
  <si>
    <t>All the samples are recorded in gr for solids and mL for liquids (unless specified differently)</t>
  </si>
  <si>
    <t>AE</t>
  </si>
  <si>
    <t>After Experiment</t>
  </si>
  <si>
    <t xml:space="preserve">S18 - ACR - R1 - 3 and 4 were not recovered as column collapsed. Therefore all the sand in the bucket was sampled. </t>
  </si>
  <si>
    <t>SM</t>
  </si>
  <si>
    <t>Soil Moisture</t>
  </si>
  <si>
    <t>C N:A (ppm)</t>
  </si>
  <si>
    <t>C N (ppm)</t>
  </si>
  <si>
    <t>Area NTO</t>
  </si>
  <si>
    <t>C A (ppm)</t>
  </si>
  <si>
    <t>Area ACR</t>
  </si>
  <si>
    <t>NTO intercept</t>
  </si>
  <si>
    <t>NTO slope</t>
  </si>
  <si>
    <t>NTO Steyx</t>
  </si>
  <si>
    <t xml:space="preserve">NTO LOD </t>
  </si>
  <si>
    <t>NTO LOQ</t>
  </si>
  <si>
    <t>ACR intercept</t>
  </si>
  <si>
    <t xml:space="preserve">ACR slope </t>
  </si>
  <si>
    <t>ACR Steyx</t>
  </si>
  <si>
    <t>ACR LOD</t>
  </si>
  <si>
    <t>ACR LOQ</t>
  </si>
  <si>
    <t>Column</t>
  </si>
  <si>
    <t>Sand weight BE</t>
  </si>
  <si>
    <t>NTO/NTO:AC/AC amount (g)</t>
  </si>
  <si>
    <t>Column divisions (g)</t>
  </si>
  <si>
    <t>Tray (g)</t>
  </si>
  <si>
    <t>Tray + Sand WET (g)</t>
  </si>
  <si>
    <t>Tray + Sand DRY (g)</t>
  </si>
  <si>
    <t>Dry Final weight Section (g)</t>
  </si>
  <si>
    <t>Dry Final weight Section (Kg)</t>
  </si>
  <si>
    <t xml:space="preserve">Sample name </t>
  </si>
  <si>
    <t>Sample weight (g)</t>
  </si>
  <si>
    <t>ACN:Water (L)</t>
  </si>
  <si>
    <t>Area HPLC NTO</t>
  </si>
  <si>
    <t>Area HPLC ACR</t>
  </si>
  <si>
    <t>NTO C mg/L</t>
  </si>
  <si>
    <t>ACR C mg/L</t>
  </si>
  <si>
    <t>NTO C mg/Kg</t>
  </si>
  <si>
    <t>ACR C mg/Kg</t>
  </si>
  <si>
    <t>Average NTO C mg/Kg</t>
  </si>
  <si>
    <t xml:space="preserve">NTO SD </t>
  </si>
  <si>
    <t>Average ACR C mg/Kg</t>
  </si>
  <si>
    <t>ACR SD</t>
  </si>
  <si>
    <t>Average NTO C mg per section</t>
  </si>
  <si>
    <t>Average ACR C mg per section</t>
  </si>
  <si>
    <t>Average NTO C g per section</t>
  </si>
  <si>
    <t>Average ACR C g per section</t>
  </si>
  <si>
    <t>NTO in each section</t>
  </si>
  <si>
    <t>Mass Fraction of NTO (wt. %)</t>
  </si>
  <si>
    <t>Mass Fraction of ACR (wt. %)</t>
  </si>
  <si>
    <t>S1 - NTO - R1</t>
  </si>
  <si>
    <t>S1 - NTO - R1 - 1</t>
  </si>
  <si>
    <t>S1 - NTO - R1 - 1.1</t>
  </si>
  <si>
    <t>S1 - NTO - R1 - 1.2</t>
  </si>
  <si>
    <t>S1 - NTO - R1 - 1.3</t>
  </si>
  <si>
    <t>S1 - NTO - R1 - 2</t>
  </si>
  <si>
    <t>S1 - NTO - R1 - 2.1</t>
  </si>
  <si>
    <t>S1 - NTO - R1 - 2.2</t>
  </si>
  <si>
    <t>S1 - NTO - R1 - 2.3</t>
  </si>
  <si>
    <t>S1 - NTO - R1 - 3</t>
  </si>
  <si>
    <t>S1 - NTO - R1 - 3.1</t>
  </si>
  <si>
    <t>S1 - NTO - R1 - 3.2</t>
  </si>
  <si>
    <t>S1 - NTO - R1 - 3.3</t>
  </si>
  <si>
    <t>S1 - NTO - R1 - 4</t>
  </si>
  <si>
    <t>S1 - NTO - R1 - 4.1</t>
  </si>
  <si>
    <t>S1 - NTO - R1 - 4.2</t>
  </si>
  <si>
    <t>S1 - NTO - R1 - 4.3</t>
  </si>
  <si>
    <t>S2 -NTO - R2</t>
  </si>
  <si>
    <t>S2 -NTO - R2 - 1</t>
  </si>
  <si>
    <t>S2 - NTO - R2 - 1.1</t>
  </si>
  <si>
    <t>S2 - NTO - R2 - 1.2</t>
  </si>
  <si>
    <t>S2 - NTO - R2 - 1.3</t>
  </si>
  <si>
    <t>S2 -NTO - R2 - 2</t>
  </si>
  <si>
    <t>S2 - NTO - R2 - 2.1</t>
  </si>
  <si>
    <t>S2 - NTO - R2 - 2.2</t>
  </si>
  <si>
    <t>S2 - NTO - R2 - 2.3</t>
  </si>
  <si>
    <t>S2 -NTO - R2 - 3</t>
  </si>
  <si>
    <t>S2 - NTO - R2 - 3.1</t>
  </si>
  <si>
    <t>S2 - NTO - R2 - 3.2</t>
  </si>
  <si>
    <t>S2 - NTO - R2 - 3.3</t>
  </si>
  <si>
    <t>S2 -NTO - R2 - 4</t>
  </si>
  <si>
    <t>S2 - NTO - R2 - 4.1</t>
  </si>
  <si>
    <t>S2 - NTO - R2 - 4.2</t>
  </si>
  <si>
    <t>S2 - NTO - R2 - 4.3</t>
  </si>
  <si>
    <t>S3 -NTO - R3</t>
  </si>
  <si>
    <t>S3 -NTO - R3 - 1</t>
  </si>
  <si>
    <t>S3 - NTO - R3 - 1.1</t>
  </si>
  <si>
    <t>S3 - NTO - R3 - 1.2</t>
  </si>
  <si>
    <t>S3 - NTO - R3 - 1.3</t>
  </si>
  <si>
    <t>S3 -NTO - R3 - 2</t>
  </si>
  <si>
    <t>S3 - NTO - R3 - 2.1</t>
  </si>
  <si>
    <t>S3 - NTO - R3 - 2.2</t>
  </si>
  <si>
    <t>S3 - NTO - R3 - 2.3</t>
  </si>
  <si>
    <t>S3 -NTO - R3 - 3</t>
  </si>
  <si>
    <t>S3 - NTO - R3 - 3.1</t>
  </si>
  <si>
    <t>S3 - NTO - R3 - 3.2</t>
  </si>
  <si>
    <t>S3 - NTO - R3 - 3.3</t>
  </si>
  <si>
    <t>S3 -NTO - R3 - 4</t>
  </si>
  <si>
    <t>S3 - NTO - R3 - 4.1</t>
  </si>
  <si>
    <t>S3 - NTO - R3 - 4.2</t>
  </si>
  <si>
    <t>S3 - NTO - R3 - 4.3</t>
  </si>
  <si>
    <t>S4 - NTO:ACR - R1</t>
  </si>
  <si>
    <t>S4 - NTO:ACR - R1 - 1</t>
  </si>
  <si>
    <t>S4 - NTO:ACR - R1 - 1.1</t>
  </si>
  <si>
    <t>S4 - NTO:ACR - R1 - 1.2</t>
  </si>
  <si>
    <t>S4 - NTO:ACR - R1 - 1.3</t>
  </si>
  <si>
    <t>S4 - NTO:ACR - R1 - 2</t>
  </si>
  <si>
    <t>S4 - NTO:ACR - R1 - 2.1</t>
  </si>
  <si>
    <t>S4 - NTO:ACR - R1 - 2.2</t>
  </si>
  <si>
    <t>S4 - NTO:ACR - R1 - 2.3</t>
  </si>
  <si>
    <t>S4 - NTO:ACR - R1 - 3</t>
  </si>
  <si>
    <t>S4 - NTO:ACR - R1 - 3.1</t>
  </si>
  <si>
    <t>S4 - NTO:ACR - R1 - 3.2</t>
  </si>
  <si>
    <t>S4 - NTO:ACR - R1 - 3.3</t>
  </si>
  <si>
    <t>S4 - NTO:ACR - R1 - 4</t>
  </si>
  <si>
    <t>S4 - NTO:ACR - R1 - 4.1</t>
  </si>
  <si>
    <t>S4 - NTO:ACR - R1 - 4.2</t>
  </si>
  <si>
    <t>S4 - NTO:ACR - R1 - 4.3</t>
  </si>
  <si>
    <t>S15 - NTO:ACR - R2</t>
  </si>
  <si>
    <t>S15 - NTO:ACR - R2 - 1</t>
  </si>
  <si>
    <t>S15 - NTO:ACR - R2 - 1.1</t>
  </si>
  <si>
    <t>S15 - NTO:ACR - R2 - 1.2</t>
  </si>
  <si>
    <t>S15 - NTO:ACR - R2 - 1.3</t>
  </si>
  <si>
    <t>S15 - NTO:ACR - R2 - 2</t>
  </si>
  <si>
    <t>S15 - NTO:ACR - R2 - 2.1</t>
  </si>
  <si>
    <t>S15 - NTO:ACR - R2 - 2.2</t>
  </si>
  <si>
    <t>S15 - NTO:ACR - R2 - 2.3</t>
  </si>
  <si>
    <t>S15 - NTO:ACR - R2 - 3</t>
  </si>
  <si>
    <t>S15 - NTO:ACR - R2 - 3.1</t>
  </si>
  <si>
    <t>S15 - NTO:ACR - R2 - 3.2</t>
  </si>
  <si>
    <t>S15 - NTO:ACR - R2 - 3.3</t>
  </si>
  <si>
    <t>S15 - NTO:ACR - R2 - 4</t>
  </si>
  <si>
    <t>S15 - NTO:ACR - R2 - 4.1</t>
  </si>
  <si>
    <t>S15 - NTO:ACR - R2 - 4.2</t>
  </si>
  <si>
    <t>S15 - NTO:ACR - R2 - 4.3</t>
  </si>
  <si>
    <t>S5 - NTO:ACR - R3</t>
  </si>
  <si>
    <t>S5 - NTO:ACR - R3 - 1</t>
  </si>
  <si>
    <t>S5 - NTO:ACR - R3 - 1.1</t>
  </si>
  <si>
    <t>S5 - NTO:ACR - R3 - 1.2</t>
  </si>
  <si>
    <t>S5 - NTO:ACR - R3 - 1.3</t>
  </si>
  <si>
    <t>S5 - NTO:ACR - R3 - 2</t>
  </si>
  <si>
    <t>S5 - NTO:ACR - R3 - 2.1</t>
  </si>
  <si>
    <t>S5 - NTO:ACR - R3 - 2.2</t>
  </si>
  <si>
    <t>S5 - NTO:ACR - R3 - 2.3</t>
  </si>
  <si>
    <t>S5 - NTO:ACR - R3 - 3</t>
  </si>
  <si>
    <t>S5 - NTO:ACR - R3 - 3.1</t>
  </si>
  <si>
    <t>S5 - NTO:ACR - R3 - 3.2</t>
  </si>
  <si>
    <t>S5 - NTO:ACR - R3 - 3.3</t>
  </si>
  <si>
    <t>S5 - NTO:ACR - R3 - 4</t>
  </si>
  <si>
    <t>S5 - NTO:ACR - R3 - 4.1</t>
  </si>
  <si>
    <t>S5 - NTO:ACR - R3 - 4.2</t>
  </si>
  <si>
    <t>S5 - NTO:ACR - R3 - 4.3</t>
  </si>
  <si>
    <t>S18 - ACR - R1</t>
  </si>
  <si>
    <t>S18 - ACR - R1 - 1</t>
  </si>
  <si>
    <t>S18 - ACR - R1 - 1.1</t>
  </si>
  <si>
    <t>S18 - ACR - R1 - 1.2</t>
  </si>
  <si>
    <t>S18 - ACR - R1 - 1.3</t>
  </si>
  <si>
    <t>S18 - ACR - R1 - 2</t>
  </si>
  <si>
    <t>S18 - ACR - R1 - 2.1</t>
  </si>
  <si>
    <t>S18 - ACR - R1 - 2.2</t>
  </si>
  <si>
    <t>S18 - ACR - R1 - 2.3</t>
  </si>
  <si>
    <t>S18 - ACR - R1 - 3</t>
  </si>
  <si>
    <t>S18 - ACR - R1 - 3.1</t>
  </si>
  <si>
    <t>S18 - ACR - R1 - 3.2</t>
  </si>
  <si>
    <t>S18 - ACR - R1 - 3.3</t>
  </si>
  <si>
    <t>S18 - ACR - R1 - 4</t>
  </si>
  <si>
    <t xml:space="preserve">Ref to legend </t>
  </si>
  <si>
    <t>NA</t>
  </si>
  <si>
    <t>S18 - ACR - R1 - 4.1</t>
  </si>
  <si>
    <t>S18 - ACR - R1 - 4.2</t>
  </si>
  <si>
    <t>S18 - ACR - R1 - 4.3</t>
  </si>
  <si>
    <t>S17 - ACR - R2</t>
  </si>
  <si>
    <t>S17 - ACR - R2 -1</t>
  </si>
  <si>
    <t>S17 - ACR - R2 -1.1</t>
  </si>
  <si>
    <t>S17 - ACR - R2 -1.2</t>
  </si>
  <si>
    <t>S17 - ACR - R2 -1.3</t>
  </si>
  <si>
    <t>S17 - ACR - R2 -2</t>
  </si>
  <si>
    <t>S17 - ACR - R2 -2.1</t>
  </si>
  <si>
    <t>S17 - ACR - R2 -2.2</t>
  </si>
  <si>
    <t>S17 - ACR - R2 -2.3</t>
  </si>
  <si>
    <t>S17 - ACR - R2 -3</t>
  </si>
  <si>
    <t>S17 - ACR - R2 -3.1</t>
  </si>
  <si>
    <t>S17 - ACR - R2 -3.2</t>
  </si>
  <si>
    <t>S17 - ACR - R2 -3.3</t>
  </si>
  <si>
    <t>S17 - ACR - R2 -4</t>
  </si>
  <si>
    <t>S17 - ACR - R2 -4.1</t>
  </si>
  <si>
    <t>S17 - ACR - R2 -4.2</t>
  </si>
  <si>
    <t>S17 - ACR - R2 -4.3</t>
  </si>
  <si>
    <t>S16 - ACR - R3</t>
  </si>
  <si>
    <t>S16 - ACR - R3 - 1</t>
  </si>
  <si>
    <t>S16 - ACR - R3 - 1.1</t>
  </si>
  <si>
    <t>S16 - ACR - R3 - 1.2</t>
  </si>
  <si>
    <t>S16 - ACR - R3 - 1.3</t>
  </si>
  <si>
    <t>S16 - ACR - R3 - 2</t>
  </si>
  <si>
    <t>S16 - ACR - R3 - 2.1</t>
  </si>
  <si>
    <t>S16 - ACR - R3 - 2.2</t>
  </si>
  <si>
    <t>S16 - ACR - R3 - 2.3</t>
  </si>
  <si>
    <t>S16 - ACR - R3 - 3</t>
  </si>
  <si>
    <t>S16 - ACR - R3 - 3.1</t>
  </si>
  <si>
    <t>S16 - ACR - R3 - 3.2</t>
  </si>
  <si>
    <t>S16 - ACR - R3 - 3.3</t>
  </si>
  <si>
    <t>S16 - ACR - R3 - 4</t>
  </si>
  <si>
    <t>S16 - ACR - R3 - 4.1</t>
  </si>
  <si>
    <t>S16 - ACR - R3 - 4.2</t>
  </si>
  <si>
    <t>S16 - ACR - R3 - 4.3</t>
  </si>
  <si>
    <t xml:space="preserve">C1 </t>
  </si>
  <si>
    <t>C1 - 1</t>
  </si>
  <si>
    <t>C - 1.1</t>
  </si>
  <si>
    <t>C - 1.2</t>
  </si>
  <si>
    <t>C - 1.3</t>
  </si>
  <si>
    <t>C1 - 2</t>
  </si>
  <si>
    <t>C - 2.1</t>
  </si>
  <si>
    <t>C - 2.2</t>
  </si>
  <si>
    <t>C - 2.3</t>
  </si>
  <si>
    <t>C1 - 3</t>
  </si>
  <si>
    <t>C - 3.1</t>
  </si>
  <si>
    <t>C - 3.2</t>
  </si>
  <si>
    <t>C - 3.3</t>
  </si>
  <si>
    <t>C1 - 4</t>
  </si>
  <si>
    <t>C - 4.1</t>
  </si>
  <si>
    <t>C - 4.2</t>
  </si>
  <si>
    <t>C - 4.3</t>
  </si>
  <si>
    <t>Concentration mg/L</t>
  </si>
  <si>
    <t>Mass fraction</t>
  </si>
  <si>
    <t>1st Order</t>
  </si>
  <si>
    <t>2nd Order</t>
  </si>
  <si>
    <t>3rd Order</t>
  </si>
  <si>
    <t>Pseudo Rate Constants NTO</t>
  </si>
  <si>
    <t>Pseudo Rate Constants ACR</t>
  </si>
  <si>
    <t>Collected water (mL)</t>
  </si>
  <si>
    <t>Water in L</t>
  </si>
  <si>
    <t>NTO C (mg/L)</t>
  </si>
  <si>
    <t>ACR C (mg/L)</t>
  </si>
  <si>
    <t>NTO in collected water (mg)</t>
  </si>
  <si>
    <t>ACR in collected water (mg)</t>
  </si>
  <si>
    <t>NTO recovered (mg)</t>
  </si>
  <si>
    <t>Mass fraction of NTO Recovered (wt. %)</t>
  </si>
  <si>
    <t>ACR recovered (mg)</t>
  </si>
  <si>
    <t>Mass fraction of ACR Recovered (wt. %)</t>
  </si>
  <si>
    <t>Average NTO water (mg/L)</t>
  </si>
  <si>
    <t>Average ACR water (mg/L)</t>
  </si>
  <si>
    <t xml:space="preserve">Total Average  (mg/L) NTO </t>
  </si>
  <si>
    <t>Total Average  (mg/L) ACR</t>
  </si>
  <si>
    <t xml:space="preserve">Total Average  mg NTO </t>
  </si>
  <si>
    <t>Total Average  mg ACR</t>
  </si>
  <si>
    <t xml:space="preserve">Total Average  g NTO </t>
  </si>
  <si>
    <t>Total Average  g ACR</t>
  </si>
  <si>
    <t>Explosive Added</t>
  </si>
  <si>
    <t>Average NTO in water (mg/L)</t>
  </si>
  <si>
    <t>Percentage of NTO</t>
  </si>
  <si>
    <t>Cumulative % NTO</t>
  </si>
  <si>
    <t>Cumulative NTO (mg/L)</t>
  </si>
  <si>
    <t>Rate of Change</t>
  </si>
  <si>
    <t>Ln (Cumulativmg/L)</t>
  </si>
  <si>
    <t>Pseudo first-order rate constant k1</t>
  </si>
  <si>
    <t>R2 Value</t>
  </si>
  <si>
    <t>1/ (Cumulativ mg/L)</t>
  </si>
  <si>
    <t>Pseudo second-order rate constant k2</t>
  </si>
  <si>
    <t>1/ (Cumulativ^2 g/L)</t>
  </si>
  <si>
    <t>Pseudo third-order rate constant k3</t>
  </si>
  <si>
    <t>1/ (Cumulativmg/L)</t>
  </si>
  <si>
    <t>Initial Conentration of [NTO]0</t>
  </si>
  <si>
    <t>NTO Contaminant Added</t>
  </si>
  <si>
    <t>ACR Contaminant Added</t>
  </si>
  <si>
    <t>Day 1</t>
  </si>
  <si>
    <t>Day 7</t>
  </si>
  <si>
    <t>Day 14</t>
  </si>
  <si>
    <t xml:space="preserve">Day 28 </t>
  </si>
  <si>
    <t xml:space="preserve">Day 35 </t>
  </si>
  <si>
    <t>Average ACR in water (mg/L)</t>
  </si>
  <si>
    <t>Percentage of ACR</t>
  </si>
  <si>
    <t>Cumulative % ACR</t>
  </si>
  <si>
    <t>Cumulative ACR (mg/L)</t>
  </si>
  <si>
    <t>Control</t>
  </si>
  <si>
    <t>Mean and SD Values</t>
  </si>
  <si>
    <t>Mean/ mg</t>
  </si>
  <si>
    <t>Mass Fraction</t>
  </si>
  <si>
    <t>Independent Sample T-Test</t>
  </si>
  <si>
    <t xml:space="preserve">T.Test NTO </t>
  </si>
  <si>
    <t>T.Test ACR</t>
  </si>
  <si>
    <t xml:space="preserve">Calibration </t>
  </si>
  <si>
    <t xml:space="preserve">Sample </t>
  </si>
  <si>
    <t xml:space="preserve">C (mg/L) </t>
  </si>
  <si>
    <t xml:space="preserve">Area </t>
  </si>
  <si>
    <t>Intercept</t>
  </si>
  <si>
    <t>Slope</t>
  </si>
  <si>
    <t xml:space="preserve">ACR 1 </t>
  </si>
  <si>
    <t xml:space="preserve">Samples </t>
  </si>
  <si>
    <t xml:space="preserve">Name </t>
  </si>
  <si>
    <t>Sample Volume (L)</t>
  </si>
  <si>
    <t>NTO (area)</t>
  </si>
  <si>
    <t>NTO (mg/L)</t>
  </si>
  <si>
    <t>NTO (mg)</t>
  </si>
  <si>
    <t>ACR (area)</t>
  </si>
  <si>
    <t>ACR (mg/L)</t>
  </si>
  <si>
    <t>ACR (mg)</t>
  </si>
  <si>
    <t>Sample Dilution</t>
  </si>
  <si>
    <t>NTO(g/L)</t>
  </si>
  <si>
    <t>NTO 002</t>
  </si>
  <si>
    <t>NTO 005</t>
  </si>
  <si>
    <t>NTO 013</t>
  </si>
  <si>
    <t>NTO 015</t>
  </si>
  <si>
    <t>NTO 018</t>
  </si>
  <si>
    <t>NTO 01 1%</t>
  </si>
  <si>
    <t>NTO 02 1%</t>
  </si>
  <si>
    <t>NTO 03 1%</t>
  </si>
  <si>
    <t>NTO 04 1%</t>
  </si>
  <si>
    <t>NTO 05 1%</t>
  </si>
  <si>
    <t>ACR 01 10%</t>
  </si>
  <si>
    <t>ACR 02 10%</t>
  </si>
  <si>
    <t>ACR 03 10%</t>
  </si>
  <si>
    <t>ACR 04 10%</t>
  </si>
  <si>
    <t>ACR 05 10%</t>
  </si>
  <si>
    <t>NTOACR 2A</t>
  </si>
  <si>
    <t>NTOACR 2B</t>
  </si>
  <si>
    <t>NTOACR 2C</t>
  </si>
  <si>
    <t>NTOACR 4A</t>
  </si>
  <si>
    <t>NTOACR 4B</t>
  </si>
  <si>
    <t>NTOACR 4C</t>
  </si>
  <si>
    <t>NTOACR 01 1%</t>
  </si>
  <si>
    <t>NTOACR 02 1%</t>
  </si>
  <si>
    <t>NTOACR 03 1%</t>
  </si>
  <si>
    <t>NTOACR 04 1%</t>
  </si>
  <si>
    <t>NTOACR 05 1%</t>
  </si>
  <si>
    <t>NTOACR 01 10%</t>
  </si>
  <si>
    <t>NTOACR 02 10%</t>
  </si>
  <si>
    <t>NTOACR 03 10%</t>
  </si>
  <si>
    <t>NTOACR 04 10%</t>
  </si>
  <si>
    <t>NTOACR 05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</si>
</sst>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"/>
    <numFmt numFmtId="165" formatCode="0.000"/>
    <numFmt numFmtId="166" formatCode="0.0000"/>
    <numFmt numFmtId="167" formatCode="0.000000"/>
    <numFmt numFmtId="168" formatCode="0.000000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/>
    <xf numFmtId="0" fontId="5" fillId="2" borderId="0" xfId="0" applyFont="1" applyFill="1"/>
    <xf numFmtId="0" fontId="1" fillId="3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165" fontId="0" fillId="4" borderId="0" xfId="0" applyNumberFormat="1" applyFill="1" applyAlignment="1">
      <alignment horizontal="center" vertical="center"/>
    </xf>
    <xf numFmtId="0" fontId="1" fillId="0" borderId="0" xfId="0" applyFont="1" applyAlignment="1">
      <alignment horizontal="right"/>
    </xf>
    <xf numFmtId="2" fontId="0" fillId="0" borderId="0" xfId="0" applyNumberFormat="1"/>
    <xf numFmtId="0" fontId="1" fillId="0" borderId="0" xfId="0" applyFont="1" applyAlignment="1">
      <alignment horizontal="center" wrapText="1"/>
    </xf>
    <xf numFmtId="2" fontId="0" fillId="5" borderId="0" xfId="0" applyNumberFormat="1" applyFill="1"/>
    <xf numFmtId="0" fontId="0" fillId="5" borderId="0" xfId="0" applyFill="1"/>
    <xf numFmtId="166" fontId="0" fillId="0" borderId="0" xfId="0" applyNumberFormat="1"/>
    <xf numFmtId="167" fontId="0" fillId="0" borderId="0" xfId="0" applyNumberFormat="1"/>
    <xf numFmtId="167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0" fillId="5" borderId="3" xfId="0" applyFill="1" applyBorder="1"/>
    <xf numFmtId="0" fontId="0" fillId="5" borderId="4" xfId="0" applyFill="1" applyBorder="1"/>
    <xf numFmtId="0" fontId="1" fillId="0" borderId="5" xfId="0" applyFont="1" applyBorder="1" applyAlignment="1">
      <alignment horizontal="right"/>
    </xf>
    <xf numFmtId="0" fontId="0" fillId="5" borderId="6" xfId="0" applyFill="1" applyBorder="1"/>
    <xf numFmtId="0" fontId="1" fillId="0" borderId="7" xfId="0" applyFont="1" applyBorder="1" applyAlignment="1">
      <alignment horizontal="right"/>
    </xf>
    <xf numFmtId="167" fontId="0" fillId="0" borderId="8" xfId="0" applyNumberFormat="1" applyBorder="1" applyAlignment="1">
      <alignment horizontal="center" vertical="center"/>
    </xf>
    <xf numFmtId="166" fontId="0" fillId="0" borderId="8" xfId="0" applyNumberFormat="1" applyBorder="1"/>
    <xf numFmtId="0" fontId="0" fillId="5" borderId="8" xfId="0" applyFill="1" applyBorder="1"/>
    <xf numFmtId="0" fontId="0" fillId="5" borderId="9" xfId="0" applyFill="1" applyBorder="1"/>
    <xf numFmtId="0" fontId="0" fillId="0" borderId="3" xfId="0" applyBorder="1"/>
    <xf numFmtId="0" fontId="1" fillId="5" borderId="3" xfId="0" applyFont="1" applyFill="1" applyBorder="1" applyAlignment="1">
      <alignment horizontal="center" wrapText="1"/>
    </xf>
    <xf numFmtId="0" fontId="1" fillId="5" borderId="4" xfId="0" applyFont="1" applyFill="1" applyBorder="1" applyAlignment="1">
      <alignment horizontal="center" wrapText="1"/>
    </xf>
    <xf numFmtId="166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wrapText="1"/>
    </xf>
    <xf numFmtId="164" fontId="0" fillId="0" borderId="6" xfId="0" applyNumberFormat="1" applyBorder="1"/>
    <xf numFmtId="1" fontId="0" fillId="0" borderId="0" xfId="0" applyNumberFormat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167" fontId="0" fillId="0" borderId="6" xfId="0" applyNumberFormat="1" applyBorder="1"/>
    <xf numFmtId="0" fontId="1" fillId="0" borderId="7" xfId="0" applyFont="1" applyBorder="1" applyAlignment="1">
      <alignment horizontal="center" wrapText="1"/>
    </xf>
    <xf numFmtId="0" fontId="0" fillId="0" borderId="9" xfId="0" applyBorder="1"/>
    <xf numFmtId="167" fontId="6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0" fontId="0" fillId="0" borderId="0" xfId="0" applyNumberFormat="1"/>
    <xf numFmtId="10" fontId="0" fillId="5" borderId="0" xfId="0" applyNumberFormat="1" applyFill="1"/>
    <xf numFmtId="16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166" fontId="0" fillId="0" borderId="3" xfId="0" applyNumberFormat="1" applyBorder="1" applyAlignment="1">
      <alignment vertical="center"/>
    </xf>
    <xf numFmtId="10" fontId="0" fillId="0" borderId="3" xfId="0" applyNumberFormat="1" applyBorder="1" applyAlignment="1">
      <alignment horizontal="center" vertical="center" wrapText="1"/>
    </xf>
    <xf numFmtId="10" fontId="0" fillId="0" borderId="8" xfId="0" applyNumberFormat="1" applyBorder="1" applyAlignment="1">
      <alignment horizontal="center" vertical="center" wrapText="1"/>
    </xf>
    <xf numFmtId="10" fontId="0" fillId="0" borderId="6" xfId="0" applyNumberFormat="1" applyBorder="1"/>
    <xf numFmtId="10" fontId="0" fillId="0" borderId="3" xfId="0" applyNumberFormat="1" applyBorder="1" applyAlignment="1">
      <alignment horizontal="center" vertical="center"/>
    </xf>
    <xf numFmtId="10" fontId="0" fillId="0" borderId="8" xfId="0" applyNumberFormat="1" applyBorder="1"/>
    <xf numFmtId="0" fontId="1" fillId="6" borderId="0" xfId="0" applyFont="1" applyFill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0" fontId="0" fillId="6" borderId="0" xfId="0" applyNumberFormat="1" applyFill="1" applyAlignment="1">
      <alignment horizontal="center" vertical="center"/>
    </xf>
    <xf numFmtId="167" fontId="7" fillId="0" borderId="0" xfId="0" applyNumberFormat="1" applyFont="1"/>
    <xf numFmtId="10" fontId="0" fillId="0" borderId="0" xfId="0" applyNumberFormat="1" applyAlignment="1">
      <alignment horizontal="center" vertical="center" wrapText="1"/>
    </xf>
    <xf numFmtId="164" fontId="0" fillId="0" borderId="0" xfId="0" applyNumberFormat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5" xfId="0" applyBorder="1" applyAlignment="1">
      <alignment horizontal="center" vertical="center"/>
    </xf>
    <xf numFmtId="2" fontId="0" fillId="0" borderId="8" xfId="0" applyNumberFormat="1" applyBorder="1"/>
    <xf numFmtId="0" fontId="0" fillId="0" borderId="8" xfId="0" applyBorder="1"/>
    <xf numFmtId="2" fontId="0" fillId="0" borderId="9" xfId="0" applyNumberFormat="1" applyBorder="1"/>
    <xf numFmtId="2" fontId="0" fillId="0" borderId="6" xfId="0" applyNumberFormat="1" applyBorder="1"/>
    <xf numFmtId="0" fontId="0" fillId="7" borderId="0" xfId="0" applyFill="1" applyAlignment="1">
      <alignment horizontal="center" vertical="center"/>
    </xf>
    <xf numFmtId="0" fontId="1" fillId="7" borderId="0" xfId="0" applyFont="1" applyFill="1" applyAlignment="1">
      <alignment horizontal="center" vertical="center" wrapText="1"/>
    </xf>
    <xf numFmtId="10" fontId="0" fillId="7" borderId="0" xfId="0" applyNumberFormat="1" applyFill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166" fontId="0" fillId="0" borderId="12" xfId="0" applyNumberFormat="1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0" fontId="0" fillId="8" borderId="0" xfId="0" applyFill="1"/>
    <xf numFmtId="167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165" fontId="0" fillId="4" borderId="0" xfId="0" applyNumberForma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6" fontId="0" fillId="0" borderId="0" xfId="0" applyNumberForma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6" fontId="0" fillId="0" borderId="10" xfId="0" applyNumberFormat="1" applyBorder="1" applyAlignment="1">
      <alignment horizontal="center" vertical="center"/>
    </xf>
    <xf numFmtId="166" fontId="0" fillId="0" borderId="11" xfId="0" applyNumberFormat="1" applyBorder="1" applyAlignment="1">
      <alignment horizontal="center" vertical="center"/>
    </xf>
    <xf numFmtId="167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1" fillId="9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NTO in NTO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(Molar Ratio) (2)'!$B$9</c:f>
              <c:numCache>
                <c:formatCode>0.00</c:formatCode>
                <c:ptCount val="1"/>
                <c:pt idx="0">
                  <c:v>0.60411566324490873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B-457D-A5FA-8666816A264A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FD6B-457D-A5FA-8666816A264A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 (2)'!$E$7,'Total Values (Molar Ratio) (2)'!$E$3)</c:f>
                <c:numCache>
                  <c:formatCode>General</c:formatCode>
                  <c:ptCount val="2"/>
                  <c:pt idx="0">
                    <c:v>0.21438409042338624</c:v>
                  </c:pt>
                  <c:pt idx="1">
                    <c:v>9.7125269080155412E-4</c:v>
                  </c:pt>
                </c:numCache>
              </c:numRef>
            </c:plus>
            <c:minus>
              <c:numRef>
                <c:f>('Total Values (Molar Ratio) (2)'!$E$7,'Total Values (Molar Ratio) (2)'!$E$3)</c:f>
                <c:numCache>
                  <c:formatCode>General</c:formatCode>
                  <c:ptCount val="2"/>
                  <c:pt idx="0">
                    <c:v>0.21438409042338624</c:v>
                  </c:pt>
                  <c:pt idx="1">
                    <c:v>9.7125269080155412E-4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(Molar Ratio) (2)'!$B$7</c:f>
              <c:numCache>
                <c:formatCode>0.00</c:formatCode>
                <c:ptCount val="1"/>
                <c:pt idx="0">
                  <c:v>0.75807640588832925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6B-457D-A5FA-8666816A264A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 (2)'!$K$6,'Total Values (Molar Ratio) (2)'!$E$2)</c:f>
                <c:numCache>
                  <c:formatCode>General</c:formatCode>
                  <c:ptCount val="2"/>
                  <c:pt idx="0">
                    <c:v>16.821079472723355</c:v>
                  </c:pt>
                  <c:pt idx="1">
                    <c:v>6.8149545790210445E-2</c:v>
                  </c:pt>
                </c:numCache>
              </c:numRef>
            </c:plus>
            <c:minus>
              <c:numRef>
                <c:f>('Total Values (Molar Ratio) (2)'!$K$6,'Total Values (Molar Ratio) (2)'!$E$2)</c:f>
                <c:numCache>
                  <c:formatCode>General</c:formatCode>
                  <c:ptCount val="2"/>
                  <c:pt idx="0">
                    <c:v>16.821079472723355</c:v>
                  </c:pt>
                  <c:pt idx="1">
                    <c:v>6.8149545790210445E-2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('Total Values (Molar Ratio) (2)'!$B$6,'Total Values (Molar Ratio) (2)'!$B$2)</c:f>
              <c:numCache>
                <c:formatCode>0.00</c:formatCode>
                <c:ptCount val="2"/>
                <c:pt idx="0">
                  <c:v>20.146784866634352</c:v>
                </c:pt>
                <c:pt idx="1">
                  <c:v>1.2362786344901544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6B-457D-A5FA-8666816A2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NTO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within Sand 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(2)'!$C$21,'Total Values (Molar Ratio) (2)'!$C$30)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09-4628-8953-FE256EEB06E4}"/>
            </c:ext>
          </c:extLst>
        </c:ser>
        <c:ser>
          <c:idx val="2"/>
          <c:order val="1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(2)'!$C$20,'Total Values (Molar Ratio) (2)'!$C$29)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09-4628-8953-FE256EEB06E4}"/>
            </c:ext>
          </c:extLst>
        </c:ser>
        <c:ser>
          <c:idx val="3"/>
          <c:order val="2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(2)'!$C$19,'Total Values (Molar Ratio) (2)'!$C$28)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09-4628-8953-FE256EEB06E4}"/>
            </c:ext>
          </c:extLst>
        </c:ser>
        <c:ser>
          <c:idx val="4"/>
          <c:order val="3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(2)'!$C$18,'Total Values (Molar Ratio) (2)'!$C$27)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09-4628-8953-FE256EEB0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Mass Fraction of NTO recovered (wt. %)</a:t>
                </a:r>
              </a:p>
            </c:rich>
          </c:tx>
          <c:layout>
            <c:manualLayout>
              <c:xMode val="edge"/>
              <c:yMode val="edge"/>
              <c:x val="1.2843678587805498E-2"/>
              <c:y val="0.295329861111111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</a:t>
            </a:r>
            <a:r>
              <a:rPr lang="en-GB" sz="2000" baseline="0"/>
              <a:t> within sand</a:t>
            </a:r>
            <a:r>
              <a:rPr lang="en-GB" sz="2000"/>
              <a:t> </a:t>
            </a:r>
            <a:endParaRPr lang="en-GB" sz="2000" baseline="0"/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(2)'!$L$27,'Total Values (Molar Ratio) (2)'!$L$36)</c:f>
              <c:numCache>
                <c:formatCode>0.00%</c:formatCode>
                <c:ptCount val="2"/>
                <c:pt idx="0">
                  <c:v>2.5810622331466935E-4</c:v>
                </c:pt>
                <c:pt idx="1">
                  <c:v>5.4306722908238057E-5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29-432E-9BAF-B6CCD9909A46}"/>
            </c:ext>
          </c:extLst>
        </c:ser>
        <c:ser>
          <c:idx val="1"/>
          <c:order val="1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(2)'!$F$30,'Total Values (Molar Ratio) (2)'!$F$39)</c:f>
              <c:numCache>
                <c:formatCode>0.00%</c:formatCode>
                <c:ptCount val="2"/>
                <c:pt idx="0">
                  <c:v>1.7480795566810137E-2</c:v>
                </c:pt>
                <c:pt idx="1">
                  <c:v>1.5616075081886322E-2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29-432E-9BAF-B6CCD9909A46}"/>
            </c:ext>
          </c:extLst>
        </c:ser>
        <c:ser>
          <c:idx val="2"/>
          <c:order val="2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(2)'!$F$29,'Total Values (Molar Ratio) (2)'!$F$38)</c:f>
              <c:numCache>
                <c:formatCode>0.00%</c:formatCode>
                <c:ptCount val="2"/>
                <c:pt idx="0">
                  <c:v>2.3895186104244695E-2</c:v>
                </c:pt>
                <c:pt idx="1">
                  <c:v>1.2444199548712211E-2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29-432E-9BAF-B6CCD9909A46}"/>
            </c:ext>
          </c:extLst>
        </c:ser>
        <c:ser>
          <c:idx val="3"/>
          <c:order val="3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(2)'!$F$28,'Total Values (Molar Ratio) (2)'!$F$37)</c:f>
              <c:numCache>
                <c:formatCode>0.00%</c:formatCode>
                <c:ptCount val="2"/>
                <c:pt idx="0">
                  <c:v>9.537653707212719E-2</c:v>
                </c:pt>
                <c:pt idx="1">
                  <c:v>4.6654857235415778E-2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29-432E-9BAF-B6CCD9909A46}"/>
            </c:ext>
          </c:extLst>
        </c:ser>
        <c:ser>
          <c:idx val="4"/>
          <c:order val="4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(2)'!$F$27,'Total Values (Molar Ratio) (2)'!$F$36)</c:f>
              <c:numCache>
                <c:formatCode>0.00%</c:formatCode>
                <c:ptCount val="2"/>
                <c:pt idx="0">
                  <c:v>0.1936437227626234</c:v>
                </c:pt>
                <c:pt idx="1">
                  <c:v>0.11655794964415613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29-432E-9BAF-B6CCD9909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</a:t>
                </a:r>
                <a:r>
                  <a:rPr lang="en-GB" baseline="0"/>
                  <a:t> Fraction of ACR recovered (wt. %)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1.4375629798479578E-2"/>
              <c:y val="0.328577591134253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NTO Calibration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 Calibration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'Calibration lines '!$C$2:$C$5</c:f>
              <c:numCache>
                <c:formatCode>General</c:formatCode>
                <c:ptCount val="4"/>
                <c:pt idx="0">
                  <c:v>26.25</c:v>
                </c:pt>
                <c:pt idx="1">
                  <c:v>10.5</c:v>
                </c:pt>
                <c:pt idx="2">
                  <c:v>5.25</c:v>
                </c:pt>
                <c:pt idx="3">
                  <c:v>1.05</c:v>
                </c:pt>
              </c:numCache>
            </c:numRef>
          </c:xVal>
          <c:yVal>
            <c:numRef>
              <c:f>'Calibration lines '!$D$2:$D$5</c:f>
              <c:numCache>
                <c:formatCode>General</c:formatCode>
                <c:ptCount val="4"/>
                <c:pt idx="0">
                  <c:v>23.8</c:v>
                </c:pt>
                <c:pt idx="1">
                  <c:v>9.6</c:v>
                </c:pt>
                <c:pt idx="2">
                  <c:v>4.5999999999999996</c:v>
                </c:pt>
                <c:pt idx="3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1E2-49C5-AC7B-E52A0F6AE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6818896"/>
        <c:axId val="2107883088"/>
      </c:scatterChart>
      <c:valAx>
        <c:axId val="209681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7883088"/>
        <c:crosses val="autoZero"/>
        <c:crossBetween val="midCat"/>
      </c:valAx>
      <c:valAx>
        <c:axId val="210788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6818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ACR Calibration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ACR Calibration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'Calibration lines '!$E$2:$E$5</c:f>
              <c:numCache>
                <c:formatCode>General</c:formatCode>
                <c:ptCount val="4"/>
                <c:pt idx="0">
                  <c:v>26.25</c:v>
                </c:pt>
                <c:pt idx="1">
                  <c:v>10.5</c:v>
                </c:pt>
                <c:pt idx="2">
                  <c:v>5.25</c:v>
                </c:pt>
                <c:pt idx="3">
                  <c:v>1.05</c:v>
                </c:pt>
              </c:numCache>
            </c:numRef>
          </c:xVal>
          <c:yVal>
            <c:numRef>
              <c:f>'Calibration lines '!$F$2:$F$5</c:f>
              <c:numCache>
                <c:formatCode>General</c:formatCode>
                <c:ptCount val="4"/>
                <c:pt idx="0">
                  <c:v>565.79999999999995</c:v>
                </c:pt>
                <c:pt idx="1">
                  <c:v>229</c:v>
                </c:pt>
                <c:pt idx="2">
                  <c:v>110.7</c:v>
                </c:pt>
                <c:pt idx="3">
                  <c:v>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CF-4DC1-B792-5C0F9B695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6818896"/>
        <c:axId val="2107883088"/>
      </c:scatterChart>
      <c:valAx>
        <c:axId val="209681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7883088"/>
        <c:crosses val="autoZero"/>
        <c:crossBetween val="midCat"/>
      </c:valAx>
      <c:valAx>
        <c:axId val="210788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6818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 b="1"/>
              <a:t>NTO detected in water leachate</a:t>
            </a:r>
            <a:r>
              <a:rPr lang="en-GB" sz="1200" b="1" baseline="0"/>
              <a:t> for  NTO and in NTO:ACR</a:t>
            </a:r>
            <a:endParaRPr lang="en-GB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NTO</c:v>
          </c:tx>
          <c:spPr>
            <a:ln w="22225">
              <a:solidFill>
                <a:schemeClr val="tx1"/>
              </a:solidFill>
              <a:prstDash val="sysDash"/>
            </a:ln>
          </c:spP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leachate'!$P$5:$P$8</c:f>
              <c:numCache>
                <c:formatCode>0.00</c:formatCode>
                <c:ptCount val="4"/>
                <c:pt idx="0">
                  <c:v>514.27827487473155</c:v>
                </c:pt>
                <c:pt idx="1">
                  <c:v>24.195848246241948</c:v>
                </c:pt>
                <c:pt idx="2">
                  <c:v>8.2415604867573382</c:v>
                </c:pt>
                <c:pt idx="3">
                  <c:v>7.5123478883321404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77-4FC8-A74E-5003E8D15F26}"/>
            </c:ext>
          </c:extLst>
        </c:ser>
        <c:ser>
          <c:idx val="3"/>
          <c:order val="1"/>
          <c:tx>
            <c:v>NTO:ACR</c:v>
          </c:tx>
          <c:spPr>
            <a:ln w="22225">
              <a:solidFill>
                <a:schemeClr val="bg2">
                  <a:lumMod val="50000"/>
                </a:schemeClr>
              </a:solidFill>
              <a:prstDash val="sysDash"/>
            </a:ln>
          </c:spP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leachate'!$P$11:$P$14</c:f>
              <c:numCache>
                <c:formatCode>0.00</c:formatCode>
                <c:ptCount val="4"/>
                <c:pt idx="0">
                  <c:v>429.24030064423761</c:v>
                </c:pt>
                <c:pt idx="1">
                  <c:v>137.07648532569792</c:v>
                </c:pt>
                <c:pt idx="2">
                  <c:v>17.640300644237652</c:v>
                </c:pt>
                <c:pt idx="3">
                  <c:v>11.062655690765927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77-4FC8-A74E-5003E8D15F26}"/>
            </c:ext>
          </c:extLst>
        </c:ser>
        <c:ser>
          <c:idx val="0"/>
          <c:order val="2"/>
          <c:tx>
            <c:v>NTO</c:v>
          </c:tx>
          <c:spPr>
            <a:ln w="222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leachate'!$P$5:$P$8</c:f>
              <c:numCache>
                <c:formatCode>0.00</c:formatCode>
                <c:ptCount val="4"/>
                <c:pt idx="0">
                  <c:v>514.27827487473155</c:v>
                </c:pt>
                <c:pt idx="1">
                  <c:v>24.195848246241948</c:v>
                </c:pt>
                <c:pt idx="2">
                  <c:v>8.2415604867573382</c:v>
                </c:pt>
                <c:pt idx="3">
                  <c:v>7.5123478883321404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77-4FC8-A74E-5003E8D15F26}"/>
            </c:ext>
          </c:extLst>
        </c:ser>
        <c:ser>
          <c:idx val="1"/>
          <c:order val="3"/>
          <c:tx>
            <c:v>NTO:ACR</c:v>
          </c:tx>
          <c:spPr>
            <a:ln w="22225" cap="rnd">
              <a:solidFill>
                <a:schemeClr val="bg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leachate'!$P$11:$P$14</c:f>
              <c:numCache>
                <c:formatCode>0.00</c:formatCode>
                <c:ptCount val="4"/>
                <c:pt idx="0">
                  <c:v>429.24030064423761</c:v>
                </c:pt>
                <c:pt idx="1">
                  <c:v>137.07648532569792</c:v>
                </c:pt>
                <c:pt idx="2">
                  <c:v>17.640300644237652</c:v>
                </c:pt>
                <c:pt idx="3">
                  <c:v>11.062655690765927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77-4FC8-A74E-5003E8D15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NTO in 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 b="1"/>
              <a:t>NTO recovered</a:t>
            </a:r>
            <a:r>
              <a:rPr lang="en-GB" sz="1200" b="1" baseline="0"/>
              <a:t> within the leachate from NTO and NTO:ACR </a:t>
            </a:r>
            <a:r>
              <a:rPr lang="en-GB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columns</a:t>
            </a:r>
            <a:endParaRPr lang="en-GB" sz="1200" b="1"/>
          </a:p>
        </c:rich>
      </c:tx>
      <c:layout>
        <c:manualLayout>
          <c:xMode val="edge"/>
          <c:yMode val="edge"/>
          <c:x val="0.19685023675900692"/>
          <c:y val="3.23625751890893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NTO</c:v>
          </c:tx>
          <c:spPr>
            <a:ln w="28575" cap="rnd">
              <a:solidFill>
                <a:schemeClr val="dk1">
                  <a:tint val="88500"/>
                </a:schemeClr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leachate'!$AC$5:$AC$8</c:f>
              <c:numCache>
                <c:formatCode>0.00%</c:formatCode>
                <c:ptCount val="4"/>
                <c:pt idx="0">
                  <c:v>0.29662741906190176</c:v>
                </c:pt>
                <c:pt idx="1">
                  <c:v>0.31598290934656065</c:v>
                </c:pt>
                <c:pt idx="2">
                  <c:v>0.33436032828377171</c:v>
                </c:pt>
                <c:pt idx="3">
                  <c:v>0.34183802948984904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A3-4177-AC8E-A66A476DA502}"/>
            </c:ext>
          </c:extLst>
        </c:ser>
        <c:ser>
          <c:idx val="1"/>
          <c:order val="1"/>
          <c:tx>
            <c:v>NTO:ACR</c:v>
          </c:tx>
          <c:spPr>
            <a:ln w="28575" cap="rnd">
              <a:solidFill>
                <a:schemeClr val="dk1">
                  <a:tint val="5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55000"/>
                </a:schemeClr>
              </a:solidFill>
              <a:ln w="9525">
                <a:solidFill>
                  <a:schemeClr val="dk1">
                    <a:tint val="55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leachate'!$AC$11:$AC$14</c:f>
              <c:numCache>
                <c:formatCode>0.00%</c:formatCode>
                <c:ptCount val="4"/>
                <c:pt idx="0">
                  <c:v>0.34622037143358597</c:v>
                </c:pt>
                <c:pt idx="1">
                  <c:v>0.49727152971353933</c:v>
                </c:pt>
                <c:pt idx="2">
                  <c:v>0.51889368872729213</c:v>
                </c:pt>
                <c:pt idx="3">
                  <c:v>0.5308791319242171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A3-4177-AC8E-A66A476DA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Fraction of</a:t>
                </a:r>
                <a:r>
                  <a:rPr lang="en-GB" baseline="0"/>
                  <a:t> NTO within Leachate (wt. %)</a:t>
                </a:r>
              </a:p>
            </c:rich>
          </c:tx>
          <c:layout>
            <c:manualLayout>
              <c:xMode val="edge"/>
              <c:yMode val="edge"/>
              <c:x val="2.245218769089715E-2"/>
              <c:y val="0.13728810347534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 b="1"/>
              <a:t>NTO in water</a:t>
            </a:r>
            <a:r>
              <a:rPr lang="en-GB" sz="1200" b="1" baseline="0"/>
              <a:t> as NTO and in NTO:ACR</a:t>
            </a:r>
            <a:endParaRPr lang="en-GB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NTO</c:v>
          </c:tx>
          <c:spPr>
            <a:ln w="222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leachate'!$P$5:$P$9</c:f>
              <c:numCache>
                <c:formatCode>0.00</c:formatCode>
                <c:ptCount val="5"/>
                <c:pt idx="0">
                  <c:v>514.27827487473155</c:v>
                </c:pt>
                <c:pt idx="1">
                  <c:v>24.195848246241948</c:v>
                </c:pt>
                <c:pt idx="2">
                  <c:v>8.2415604867573382</c:v>
                </c:pt>
                <c:pt idx="3">
                  <c:v>7.5123478883321404</c:v>
                </c:pt>
                <c:pt idx="4">
                  <c:v>644.43167501789537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9A-4679-9798-BFD812B2C286}"/>
            </c:ext>
          </c:extLst>
        </c:ser>
        <c:ser>
          <c:idx val="1"/>
          <c:order val="1"/>
          <c:tx>
            <c:v>NTO:ACR</c:v>
          </c:tx>
          <c:spPr>
            <a:ln w="22225" cap="rnd">
              <a:solidFill>
                <a:schemeClr val="bg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leachate'!$P$11:$P$15</c:f>
              <c:numCache>
                <c:formatCode>0.00</c:formatCode>
                <c:ptCount val="5"/>
                <c:pt idx="0">
                  <c:v>429.24030064423761</c:v>
                </c:pt>
                <c:pt idx="1">
                  <c:v>137.07648532569792</c:v>
                </c:pt>
                <c:pt idx="2">
                  <c:v>17.640300644237652</c:v>
                </c:pt>
                <c:pt idx="3">
                  <c:v>11.062655690765927</c:v>
                </c:pt>
                <c:pt idx="4">
                  <c:v>1.3619183965640662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9A-4679-9798-BFD812B2C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NTO in 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 b="1"/>
              <a:t>NTO in</a:t>
            </a:r>
            <a:r>
              <a:rPr lang="en-GB" sz="1200" b="1" baseline="0"/>
              <a:t> </a:t>
            </a:r>
            <a:r>
              <a:rPr lang="en-GB" sz="1200" b="1"/>
              <a:t>water</a:t>
            </a:r>
            <a:r>
              <a:rPr lang="en-GB" sz="1200" b="1" baseline="0"/>
              <a:t> as NTO and in NTO:ACR</a:t>
            </a:r>
            <a:endParaRPr lang="en-GB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NTO</c:v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leachate'!$AC$5:$AC$9</c:f>
              <c:numCache>
                <c:formatCode>0.00%</c:formatCode>
                <c:ptCount val="5"/>
                <c:pt idx="0">
                  <c:v>0.29662741906190176</c:v>
                </c:pt>
                <c:pt idx="1">
                  <c:v>0.31598290934656065</c:v>
                </c:pt>
                <c:pt idx="2">
                  <c:v>0.33436032828377171</c:v>
                </c:pt>
                <c:pt idx="3">
                  <c:v>0.34183802948984904</c:v>
                </c:pt>
                <c:pt idx="4">
                  <c:v>0.77476615565726559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15-4120-B3C7-F120D6CB8B5B}"/>
            </c:ext>
          </c:extLst>
        </c:ser>
        <c:ser>
          <c:idx val="1"/>
          <c:order val="1"/>
          <c:tx>
            <c:v>NTO:ACR</c:v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55000"/>
                </a:schemeClr>
              </a:solidFill>
              <a:ln w="9525">
                <a:solidFill>
                  <a:schemeClr val="dk1">
                    <a:tint val="55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leachate'!$AC$11:$AC$15</c:f>
              <c:numCache>
                <c:formatCode>0.00%</c:formatCode>
                <c:ptCount val="5"/>
                <c:pt idx="0">
                  <c:v>0.34622037143358597</c:v>
                </c:pt>
                <c:pt idx="1">
                  <c:v>0.49727152971353933</c:v>
                </c:pt>
                <c:pt idx="2">
                  <c:v>0.51889368872729213</c:v>
                </c:pt>
                <c:pt idx="3">
                  <c:v>0.5308791319242171</c:v>
                </c:pt>
                <c:pt idx="4">
                  <c:v>0.53252289040071588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15-4120-B3C7-F120D6CB8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Percentage of NTO recovered in Leachate</a:t>
                </a:r>
              </a:p>
            </c:rich>
          </c:tx>
          <c:layout>
            <c:manualLayout>
              <c:xMode val="edge"/>
              <c:yMode val="edge"/>
              <c:x val="3.6111111111111108E-2"/>
              <c:y val="0.114610309128025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v>NTO</c:v>
          </c:tx>
          <c:spPr>
            <a:ln w="22225">
              <a:solidFill>
                <a:schemeClr val="tx1"/>
              </a:solidFill>
              <a:prstDash val="sysDash"/>
            </a:ln>
          </c:spP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leachate'!$P$5:$P$8</c:f>
              <c:numCache>
                <c:formatCode>0.00</c:formatCode>
                <c:ptCount val="4"/>
                <c:pt idx="0">
                  <c:v>514.27827487473155</c:v>
                </c:pt>
                <c:pt idx="1">
                  <c:v>24.195848246241948</c:v>
                </c:pt>
                <c:pt idx="2">
                  <c:v>8.2415604867573382</c:v>
                </c:pt>
                <c:pt idx="3">
                  <c:v>7.5123478883321404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1F-48B6-9A97-506625A6B89E}"/>
            </c:ext>
          </c:extLst>
        </c:ser>
        <c:ser>
          <c:idx val="3"/>
          <c:order val="1"/>
          <c:tx>
            <c:v>NTO:ACR</c:v>
          </c:tx>
          <c:spPr>
            <a:ln w="22225">
              <a:solidFill>
                <a:schemeClr val="bg2">
                  <a:lumMod val="50000"/>
                </a:schemeClr>
              </a:solidFill>
              <a:prstDash val="sysDash"/>
            </a:ln>
          </c:spP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leachate'!$P$11:$P$14</c:f>
              <c:numCache>
                <c:formatCode>0.00</c:formatCode>
                <c:ptCount val="4"/>
                <c:pt idx="0">
                  <c:v>429.24030064423761</c:v>
                </c:pt>
                <c:pt idx="1">
                  <c:v>137.07648532569792</c:v>
                </c:pt>
                <c:pt idx="2">
                  <c:v>17.640300644237652</c:v>
                </c:pt>
                <c:pt idx="3">
                  <c:v>11.062655690765927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1F-48B6-9A97-506625A6B89E}"/>
            </c:ext>
          </c:extLst>
        </c:ser>
        <c:ser>
          <c:idx val="0"/>
          <c:order val="2"/>
          <c:tx>
            <c:v>NTO</c:v>
          </c:tx>
          <c:spPr>
            <a:ln w="222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leachate'!$P$5:$P$8</c:f>
              <c:numCache>
                <c:formatCode>0.00</c:formatCode>
                <c:ptCount val="4"/>
                <c:pt idx="0">
                  <c:v>514.27827487473155</c:v>
                </c:pt>
                <c:pt idx="1">
                  <c:v>24.195848246241948</c:v>
                </c:pt>
                <c:pt idx="2">
                  <c:v>8.2415604867573382</c:v>
                </c:pt>
                <c:pt idx="3">
                  <c:v>7.5123478883321404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1F-48B6-9A97-506625A6B89E}"/>
            </c:ext>
          </c:extLst>
        </c:ser>
        <c:ser>
          <c:idx val="1"/>
          <c:order val="3"/>
          <c:tx>
            <c:v>NTO:ACR</c:v>
          </c:tx>
          <c:spPr>
            <a:ln w="22225" cap="rnd">
              <a:solidFill>
                <a:schemeClr val="bg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leachate'!$P$11:$P$14</c:f>
              <c:numCache>
                <c:formatCode>0.00</c:formatCode>
                <c:ptCount val="4"/>
                <c:pt idx="0">
                  <c:v>429.24030064423761</c:v>
                </c:pt>
                <c:pt idx="1">
                  <c:v>137.07648532569792</c:v>
                </c:pt>
                <c:pt idx="2">
                  <c:v>17.640300644237652</c:v>
                </c:pt>
                <c:pt idx="3">
                  <c:v>11.062655690765927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1F-48B6-9A97-506625A6B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NTO in 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First Order</a:t>
            </a:r>
            <a:r>
              <a:rPr lang="en-GB" baseline="0"/>
              <a:t> Rate of Reaction 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leachate'!$AF$4</c:f>
              <c:strCache>
                <c:ptCount val="1"/>
                <c:pt idx="0">
                  <c:v>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leachate'!$AF$5:$AF$8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leachate'!$AK$5:$AK$8</c:f>
              <c:numCache>
                <c:formatCode>0.00</c:formatCode>
                <c:ptCount val="4"/>
                <c:pt idx="0">
                  <c:v>5.6970995024947646</c:v>
                </c:pt>
                <c:pt idx="1">
                  <c:v>5.760310760263418</c:v>
                </c:pt>
                <c:pt idx="2">
                  <c:v>5.8168418711432039</c:v>
                </c:pt>
                <c:pt idx="3">
                  <c:v>5.8389596593822057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7D-45CF-B9F8-C894234BD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Ln</a:t>
                </a:r>
                <a:r>
                  <a:rPr lang="en-GB" baseline="0"/>
                  <a:t> of Concentraion of NTO (Dimentionless)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ACR in ACR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 (2)'!$H$9,'Total Values (Molar Ratio) (2)'!$H$13)</c:f>
              <c:numCache>
                <c:formatCode>0.00</c:formatCode>
                <c:ptCount val="2"/>
                <c:pt idx="0">
                  <c:v>9.9150578874952942</c:v>
                </c:pt>
                <c:pt idx="1">
                  <c:v>33.434300033939358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3-4B7D-9A30-5621A36BB0B1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 (2)'!$H$8,'Total Values (Molar Ratio) (2)'!$H$12)</c:f>
              <c:numCache>
                <c:formatCode>0.00</c:formatCode>
                <c:ptCount val="2"/>
                <c:pt idx="0">
                  <c:v>11.620832223673995</c:v>
                </c:pt>
                <c:pt idx="1">
                  <c:v>14.780975703659772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F3-4B7D-9A30-5621A36BB0B1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 (2)'!$H$7,'Total Values (Molar Ratio) (2)'!$H$11)</c:f>
              <c:numCache>
                <c:formatCode>0.00</c:formatCode>
                <c:ptCount val="2"/>
                <c:pt idx="0">
                  <c:v>51.959518210702157</c:v>
                </c:pt>
                <c:pt idx="1">
                  <c:v>90.325535779178423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F3-4B7D-9A30-5621A36BB0B1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 (2)'!$H$6,'Total Values (Molar Ratio) (2)'!$H$10)</c:f>
              <c:numCache>
                <c:formatCode>0.00</c:formatCode>
                <c:ptCount val="2"/>
                <c:pt idx="0">
                  <c:v>151.17036318114435</c:v>
                </c:pt>
                <c:pt idx="1">
                  <c:v>217.86876469159753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F3-4B7D-9A30-5621A36BB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ACR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Secon</a:t>
            </a:r>
            <a:r>
              <a:rPr lang="en-GB" baseline="0"/>
              <a:t>d</a:t>
            </a:r>
            <a:r>
              <a:rPr lang="en-GB"/>
              <a:t> Order</a:t>
            </a:r>
            <a:r>
              <a:rPr lang="en-GB" baseline="0"/>
              <a:t> Rate of Reaction 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leachate'!$AF$4</c:f>
              <c:strCache>
                <c:ptCount val="1"/>
                <c:pt idx="0">
                  <c:v>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6946413493824494E-2"/>
                  <c:y val="5.710760424766097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leachate'!$AF$5:$AF$8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leachate'!$AN$5:$AN$8</c:f>
              <c:numCache>
                <c:formatCode>0.00</c:formatCode>
                <c:ptCount val="4"/>
                <c:pt idx="0">
                  <c:v>3.3556845101635436E-3</c:v>
                </c:pt>
                <c:pt idx="1">
                  <c:v>3.1501325103127711E-3</c:v>
                </c:pt>
                <c:pt idx="2">
                  <c:v>2.9769920389330034E-3</c:v>
                </c:pt>
                <c:pt idx="3">
                  <c:v>2.911870387625705E-3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84-452F-BAED-1D9DE316B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baseline="0">
                    <a:effectLst/>
                  </a:rPr>
                  <a:t>Reciprocal of the concentration of NTO (L/mg) 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3.0479357162648935E-2"/>
              <c:y val="0.118823138161009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First Order</a:t>
            </a:r>
            <a:r>
              <a:rPr lang="en-GB" baseline="0"/>
              <a:t> Rate of Reaction NTO:ACR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'Water leachate'!$AF$10</c:f>
              <c:strCache>
                <c:ptCount val="1"/>
                <c:pt idx="0">
                  <c:v>NTO:ACR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786723043659443E-3"/>
                  <c:y val="0.2082058414464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leachate'!$AF$11:$AF$14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leachate'!$AK$11:$AK$14</c:f>
              <c:numCache>
                <c:formatCode>0.00</c:formatCode>
                <c:ptCount val="4"/>
                <c:pt idx="0">
                  <c:v>5.4392841428702337</c:v>
                </c:pt>
                <c:pt idx="1">
                  <c:v>5.8013448732573432</c:v>
                </c:pt>
                <c:pt idx="2">
                  <c:v>5.8439076824047396</c:v>
                </c:pt>
                <c:pt idx="3">
                  <c:v>5.866743030733792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053-402A-9A50-87E565327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Ln of Concentraion of NTO (Dimentionless)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Secon</a:t>
            </a:r>
            <a:r>
              <a:rPr lang="en-GB" baseline="0"/>
              <a:t>d</a:t>
            </a:r>
            <a:r>
              <a:rPr lang="en-GB"/>
              <a:t> Order</a:t>
            </a:r>
            <a:r>
              <a:rPr lang="en-GB" baseline="0"/>
              <a:t> Rate of Reaction NTO:ACR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'Water leachate'!$AF$10</c:f>
              <c:strCache>
                <c:ptCount val="1"/>
                <c:pt idx="0">
                  <c:v>NTO:ACR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0592887619496815E-4"/>
                  <c:y val="-0.21118252702754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leachate'!$AF$11:$AF$14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leachate'!$AN$11:$AN$14</c:f>
              <c:numCache>
                <c:formatCode>0.00</c:formatCode>
                <c:ptCount val="4"/>
                <c:pt idx="0">
                  <c:v>4.342590832930324E-3</c:v>
                </c:pt>
                <c:pt idx="1">
                  <c:v>3.0234858046816636E-3</c:v>
                </c:pt>
                <c:pt idx="2">
                  <c:v>2.8974979727521655E-3</c:v>
                </c:pt>
                <c:pt idx="3">
                  <c:v>2.8320823342814039E-3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CC-4926-9E79-3721823BC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Reciprocal of the concentration of NTO (L/mg) </a:t>
                </a:r>
                <a:endPara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 b="1"/>
              <a:t>NTO in</a:t>
            </a:r>
            <a:r>
              <a:rPr lang="en-GB" sz="1200" b="1" baseline="0"/>
              <a:t> </a:t>
            </a:r>
            <a:r>
              <a:rPr lang="en-GB" sz="1200" b="1"/>
              <a:t>water</a:t>
            </a:r>
            <a:r>
              <a:rPr lang="en-GB" sz="1200" b="1" baseline="0"/>
              <a:t> as NTO and in NTO:ACR</a:t>
            </a:r>
            <a:endParaRPr lang="en-GB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NTO</c:v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leachate'!$AI$5:$AI$8</c:f>
              <c:numCache>
                <c:formatCode>0.00</c:formatCode>
                <c:ptCount val="4"/>
                <c:pt idx="0">
                  <c:v>298.00179277022193</c:v>
                </c:pt>
                <c:pt idx="1">
                  <c:v>317.44696349319975</c:v>
                </c:pt>
                <c:pt idx="2">
                  <c:v>335.90953113815323</c:v>
                </c:pt>
                <c:pt idx="3">
                  <c:v>343.42187902648539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FB-49F3-94B4-C1933111A8EA}"/>
            </c:ext>
          </c:extLst>
        </c:ser>
        <c:ser>
          <c:idx val="1"/>
          <c:order val="1"/>
          <c:tx>
            <c:v>NTO:ACR</c:v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55000"/>
                </a:schemeClr>
              </a:solidFill>
              <a:ln w="9525">
                <a:solidFill>
                  <a:schemeClr val="dk1">
                    <a:tint val="55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leachate'!$AI$11:$AI$14</c:f>
              <c:numCache>
                <c:formatCode>0.00</c:formatCode>
                <c:ptCount val="4"/>
                <c:pt idx="0">
                  <c:v>230.27727881173942</c:v>
                </c:pt>
                <c:pt idx="1">
                  <c:v>330.74406979241229</c:v>
                </c:pt>
                <c:pt idx="2">
                  <c:v>345.12534931997135</c:v>
                </c:pt>
                <c:pt idx="3">
                  <c:v>353.0970790980673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FB-49F3-94B4-C1933111A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  <c:min val="1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/>
                  <a:t>Cumulative NTO within Leachate (mg/L)</a:t>
                </a:r>
              </a:p>
            </c:rich>
          </c:tx>
          <c:layout>
            <c:manualLayout>
              <c:xMode val="edge"/>
              <c:yMode val="edge"/>
              <c:x val="3.919975951852539E-2"/>
              <c:y val="0.142188537525311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Third Order</a:t>
            </a:r>
            <a:r>
              <a:rPr lang="en-GB" baseline="0"/>
              <a:t> Rate of Reaction 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leachate'!$AF$4</c:f>
              <c:strCache>
                <c:ptCount val="1"/>
                <c:pt idx="0">
                  <c:v>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6946413493824494E-2"/>
                  <c:y val="5.710760424766097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leachate'!$AF$5:$AF$8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leachate'!$AQ$5:$AQ$8</c:f>
              <c:numCache>
                <c:formatCode>0.00</c:formatCode>
                <c:ptCount val="4"/>
                <c:pt idx="0">
                  <c:v>1.1260618531751542E-5</c:v>
                </c:pt>
                <c:pt idx="1">
                  <c:v>9.9233348325294427E-6</c:v>
                </c:pt>
                <c:pt idx="2">
                  <c:v>8.8624815998704815E-6</c:v>
                </c:pt>
                <c:pt idx="3">
                  <c:v>8.4789891543314744E-6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C9-46AA-8FC0-DE1D99DC3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baseline="0">
                    <a:effectLst/>
                  </a:rPr>
                  <a:t>Reciprocal of the square of the concentration of NTO (L²/mg²) 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3.0479357162648935E-2"/>
              <c:y val="0.118823138161009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Third Order</a:t>
            </a:r>
            <a:r>
              <a:rPr lang="en-GB" baseline="0"/>
              <a:t> Rate of Reaction NTO:ACR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'Water leachate'!$AF$10</c:f>
              <c:strCache>
                <c:ptCount val="1"/>
                <c:pt idx="0">
                  <c:v>NTO:ACR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0592887619496815E-4"/>
                  <c:y val="-0.21118252702754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leachate'!$AF$11:$AF$14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leachate'!$AQ$11:$AQ$14</c:f>
              <c:numCache>
                <c:formatCode>0.00</c:formatCode>
                <c:ptCount val="4"/>
                <c:pt idx="0">
                  <c:v>1.8858095142250487E-5</c:v>
                </c:pt>
                <c:pt idx="1">
                  <c:v>9.1414664111115279E-6</c:v>
                </c:pt>
                <c:pt idx="2">
                  <c:v>8.3954945021029095E-6</c:v>
                </c:pt>
                <c:pt idx="3">
                  <c:v>8.020690348148807E-6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F9-4892-A7D0-5AE179498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Reciprocal of the square of the concentration of NTO (L²/mg²) </a:t>
                </a:r>
                <a:endPara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First Order</a:t>
            </a:r>
            <a:r>
              <a:rPr lang="en-GB" baseline="0"/>
              <a:t> Rate of Reaction NTO:ACR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leachate'!$AF$32</c:f>
              <c:strCache>
                <c:ptCount val="1"/>
                <c:pt idx="0">
                  <c:v>NTO:ACR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leachate'!$AF$33:$AF$36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leachate'!$AK$33:$AK$36</c:f>
              <c:numCache>
                <c:formatCode>0.00</c:formatCode>
                <c:ptCount val="4"/>
                <c:pt idx="0">
                  <c:v>-3.9993957882206188</c:v>
                </c:pt>
                <c:pt idx="1">
                  <c:v>-3.2129719821921126</c:v>
                </c:pt>
                <c:pt idx="2">
                  <c:v>-2.8624226316800629</c:v>
                </c:pt>
                <c:pt idx="3">
                  <c:v>-2.4333436754635938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DF-489B-8F34-09D9EA576E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Ln</a:t>
                </a:r>
                <a:r>
                  <a:rPr lang="en-GB" baseline="0"/>
                  <a:t> of Concentraion of ACR (Dimentionless)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Second Order Rate of Reaction NTO:ACR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leachate'!$AF$32</c:f>
              <c:strCache>
                <c:ptCount val="1"/>
                <c:pt idx="0">
                  <c:v>NTO:ACR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leachate'!$AF$33:$AF$36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leachate'!$AN$33:$AN$36</c:f>
              <c:numCache>
                <c:formatCode>0.00</c:formatCode>
                <c:ptCount val="4"/>
                <c:pt idx="0">
                  <c:v>54.565171151879355</c:v>
                </c:pt>
                <c:pt idx="1">
                  <c:v>24.852838768922151</c:v>
                </c:pt>
                <c:pt idx="2">
                  <c:v>17.503881068434417</c:v>
                </c:pt>
                <c:pt idx="3">
                  <c:v>11.39692606322801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AA-48C7-BF0F-33256FE08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Reciprocal of the concentration of ACR (L/mg</a:t>
                </a:r>
                <a:r>
                  <a:rPr lang="en-GB" baseline="0"/>
                  <a:t>)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3.3208800332088007E-2"/>
              <c:y val="0.1065038640810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Third Order Rate of Reaction NTO:ACR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leachate'!$AF$32</c:f>
              <c:strCache>
                <c:ptCount val="1"/>
                <c:pt idx="0">
                  <c:v>NTO:ACR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leachate'!$AF$33:$AF$36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leachate'!$AQ$33:$AQ$36</c:f>
              <c:numCache>
                <c:formatCode>0.00</c:formatCode>
                <c:ptCount val="4"/>
                <c:pt idx="0">
                  <c:v>2977.3579028338872</c:v>
                </c:pt>
                <c:pt idx="1">
                  <c:v>617.66359487403986</c:v>
                </c:pt>
                <c:pt idx="2">
                  <c:v>306.38585245789682</c:v>
                </c:pt>
                <c:pt idx="3">
                  <c:v>129.88992369068592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2C0-4AB7-A48E-591B5031D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Reciprocal of the square of the concentration of NTO (L²/mg²) </a:t>
                </a:r>
                <a:endPara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First Order</a:t>
            </a:r>
            <a:r>
              <a:rPr lang="en-GB" baseline="0"/>
              <a:t> Rate of Reaction 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leachate'!$AF$38</c:f>
              <c:strCache>
                <c:ptCount val="1"/>
                <c:pt idx="0">
                  <c:v>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leachate'!$AF$39:$AF$42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leachate'!$AK$39:$AK$42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-2.9007834995525092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63-4116-B327-8388ACF10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Ln</a:t>
                </a:r>
                <a:r>
                  <a:rPr lang="en-GB" baseline="0"/>
                  <a:t> of Concentraion of ACR (Dimentionless)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Explosives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(2)'!$H$18,'Total Values (Molar Ratio) (2)'!$N$31,'Total Values (Molar Ratio) (2)'!$K$36)</c:f>
              <c:numCache>
                <c:formatCode>0.00</c:formatCode>
                <c:ptCount val="3"/>
                <c:pt idx="0">
                  <c:v>0.34342187902648535</c:v>
                </c:pt>
                <c:pt idx="1">
                  <c:v>0.97930015725645814</c:v>
                </c:pt>
                <c:pt idx="2" formatCode="0.00000">
                  <c:v>5.4980126272300205E-5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E8-47E1-B8FF-D54DE1670B1C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(2)'!$B$21,'Total Values (Molar Ratio) (2)'!$N$30,'Total Values (Molar Ratio) (2)'!$E$39)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8.58758374950906E-3</c:v>
                </c:pt>
                <c:pt idx="2">
                  <c:v>1.5809714412901712E-2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E8-47E1-B8FF-D54DE1670B1C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(2)'!$B$20,'Total Values (Molar Ratio) (2)'!$B$29,'Total Values (Molar Ratio) (2)'!$E$38)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0</c:v>
                </c:pt>
                <c:pt idx="2">
                  <c:v>1.2598507623116241E-2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E8-47E1-B8FF-D54DE1670B1C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(2)'!$B$19,'Total Values (Molar Ratio) (2)'!$N$28,'Total Values (Molar Ratio) (2)'!$E$37)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3.3785801177781599E-2</c:v>
                </c:pt>
                <c:pt idx="2">
                  <c:v>4.7233377465134931E-2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E8-47E1-B8FF-D54DE1670B1C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(2)'!$B$18,'Total Values (Molar Ratio) (2)'!$N$27,'Total Values (Molar Ratio) (2)'!$E$36)</c:f>
              <c:numCache>
                <c:formatCode>0.000000</c:formatCode>
                <c:ptCount val="3"/>
                <c:pt idx="0" formatCode="0.0000">
                  <c:v>6.2302416177926025E-4</c:v>
                </c:pt>
                <c:pt idx="1">
                  <c:v>9.1560783257401357E-2</c:v>
                </c:pt>
                <c:pt idx="2">
                  <c:v>0.11800326821974366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E8-47E1-B8FF-D54DE1670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(Molar Ratio) (2)'!$B$47:$B$49</c:f>
              <c:numCache>
                <c:formatCode>0.000000</c:formatCode>
                <c:ptCount val="3"/>
                <c:pt idx="0" formatCode="0.0000">
                  <c:v>1.0046333333333335</c:v>
                </c:pt>
                <c:pt idx="1">
                  <c:v>1.0050666666666701</c:v>
                </c:pt>
                <c:pt idx="2" formatCode="General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7E8-47E1-B8FF-D54DE1670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First Order</a:t>
            </a:r>
            <a:r>
              <a:rPr lang="en-GB" baseline="0"/>
              <a:t> Rate of Reaction 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leachate'!$AF$38</c:f>
              <c:strCache>
                <c:ptCount val="1"/>
                <c:pt idx="0">
                  <c:v>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leachate'!$AF$39:$AF$42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leachate'!$AN$39:$AN$42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18.188390383959788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72-4C27-8D55-C612AE446B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Ln</a:t>
                </a:r>
                <a:r>
                  <a:rPr lang="en-GB" baseline="0"/>
                  <a:t> of Concentraion of ACR (Dimentionless)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First Order</a:t>
            </a:r>
            <a:r>
              <a:rPr lang="en-GB" baseline="0"/>
              <a:t> Rate of Reaction ACR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'Water leachate'!$AF$38</c:f>
              <c:strCache>
                <c:ptCount val="1"/>
                <c:pt idx="0">
                  <c:v>ACR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152994908900419E-2"/>
                  <c:y val="0.231386184515530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leachate'!$AF$39:$AF$42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14</c:v>
                </c:pt>
                <c:pt idx="3">
                  <c:v>28</c:v>
                </c:pt>
              </c:numCache>
            </c:numRef>
          </c:xVal>
          <c:yVal>
            <c:numRef>
              <c:f>'Water leachate'!$AQ$39:$AQ$42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330.81754475932087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12-4A46-A1AE-D4656DD1B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32287"/>
        <c:axId val="565839967"/>
      </c:scatterChart>
      <c:valAx>
        <c:axId val="56583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9967"/>
        <c:crosses val="autoZero"/>
        <c:crossBetween val="midCat"/>
      </c:valAx>
      <c:valAx>
        <c:axId val="56583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Ln</a:t>
                </a:r>
                <a:r>
                  <a:rPr lang="en-GB" baseline="0"/>
                  <a:t> of Concentraion of ACR (Dimentionless)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32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ACR recovered within the leachate from NTO:ACR and ACR columns</a:t>
            </a:r>
          </a:p>
        </c:rich>
      </c:tx>
      <c:layout>
        <c:manualLayout>
          <c:xMode val="edge"/>
          <c:yMode val="edge"/>
          <c:x val="0.17038736392787737"/>
          <c:y val="3.23624805836221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67141063243081"/>
          <c:y val="0.15574090015755193"/>
          <c:w val="0.57244876968739211"/>
          <c:h val="0.75075175554003493"/>
        </c:manualLayout>
      </c:layout>
      <c:lineChart>
        <c:grouping val="standard"/>
        <c:varyColors val="0"/>
        <c:ser>
          <c:idx val="0"/>
          <c:order val="0"/>
          <c:tx>
            <c:strRef>
              <c:f>'Water leachate'!$Y$32</c:f>
              <c:strCache>
                <c:ptCount val="1"/>
                <c:pt idx="0">
                  <c:v>NTO:ACR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triang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  <a:prstDash val="sysDot"/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leachate'!$AC$33:$AC$36</c:f>
              <c:numCache>
                <c:formatCode>0.00%</c:formatCode>
                <c:ptCount val="4"/>
                <c:pt idx="0">
                  <c:v>2.7554085865071798E-5</c:v>
                </c:pt>
                <c:pt idx="1">
                  <c:v>6.049584215068836E-5</c:v>
                </c:pt>
                <c:pt idx="2">
                  <c:v>8.5894859847542249E-5</c:v>
                </c:pt>
                <c:pt idx="3">
                  <c:v>1.3192095858305324E-4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5B-4902-B7F5-4259B06550BC}"/>
            </c:ext>
          </c:extLst>
        </c:ser>
        <c:ser>
          <c:idx val="1"/>
          <c:order val="1"/>
          <c:tx>
            <c:strRef>
              <c:f>'Water leachate'!$Y$38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triang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Lit>
              <c:ptCount val="5"/>
              <c:pt idx="0">
                <c:v>Day 1</c:v>
              </c:pt>
              <c:pt idx="1">
                <c:v> Day 7</c:v>
              </c:pt>
              <c:pt idx="2">
                <c:v> Day 14</c:v>
              </c:pt>
              <c:pt idx="3">
                <c:v> Day 28</c:v>
              </c:pt>
              <c:pt idx="4">
                <c:v> Day 35</c:v>
              </c:pt>
            </c:strLit>
          </c:cat>
          <c:val>
            <c:numRef>
              <c:f>'Water leachate'!$AC$39:$AC$42</c:f>
              <c:numCache>
                <c:formatCode>0.00%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5.4306722908238057E-5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5B-4902-B7F5-4259B0655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323487"/>
        <c:axId val="1955401071"/>
      </c:lineChart>
      <c:catAx>
        <c:axId val="206732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401071"/>
        <c:crosses val="autoZero"/>
        <c:auto val="1"/>
        <c:lblAlgn val="ctr"/>
        <c:lblOffset val="100"/>
        <c:noMultiLvlLbl val="0"/>
      </c:catAx>
      <c:valAx>
        <c:axId val="195540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Fraction of</a:t>
                </a:r>
                <a:r>
                  <a:rPr lang="en-GB" baseline="0"/>
                  <a:t> ACR within Leachate (wt. %)</a:t>
                </a:r>
              </a:p>
            </c:rich>
          </c:tx>
          <c:layout>
            <c:manualLayout>
              <c:xMode val="edge"/>
              <c:yMode val="edge"/>
              <c:x val="1.1311656532668054E-2"/>
              <c:y val="0.137287977216310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32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NTO in NTO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'!$B$9</c:f>
              <c:numCache>
                <c:formatCode>0.00</c:formatCode>
                <c:ptCount val="1"/>
                <c:pt idx="0">
                  <c:v>0.60411566324490873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3F-4498-9691-8F9706FDFCCF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973F-4498-9691-8F9706FDFCCF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'!$B$7</c:f>
              <c:numCache>
                <c:formatCode>0.00</c:formatCode>
                <c:ptCount val="1"/>
                <c:pt idx="0">
                  <c:v>0.75807640588832925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3F-4498-9691-8F9706FDFCCF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('Total Values '!$B$6,'Total Values '!$B$2)</c:f>
              <c:numCache>
                <c:formatCode>0.00</c:formatCode>
                <c:ptCount val="2"/>
                <c:pt idx="0">
                  <c:v>20.146784866634352</c:v>
                </c:pt>
                <c:pt idx="1">
                  <c:v>1.2362786344901544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3F-4498-9691-8F9706FDF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NTO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ACR in ACR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'!$D$9,'Total Values '!$D$13)</c:f>
              <c:numCache>
                <c:formatCode>0.00</c:formatCode>
                <c:ptCount val="2"/>
                <c:pt idx="0">
                  <c:v>9.9150578874952942</c:v>
                </c:pt>
                <c:pt idx="1">
                  <c:v>33.434300033939358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5-4729-9C2E-414109596A96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'!$D$8,'Total Values '!$D$12)</c:f>
              <c:numCache>
                <c:formatCode>0.00</c:formatCode>
                <c:ptCount val="2"/>
                <c:pt idx="0">
                  <c:v>11.620832223673995</c:v>
                </c:pt>
                <c:pt idx="1">
                  <c:v>14.780975703659772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5-4729-9C2E-414109596A96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'!$D$7,'Total Values '!$D$11)</c:f>
              <c:numCache>
                <c:formatCode>0.00</c:formatCode>
                <c:ptCount val="2"/>
                <c:pt idx="0">
                  <c:v>51.959518210702157</c:v>
                </c:pt>
                <c:pt idx="1">
                  <c:v>90.325535779178423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95-4729-9C2E-414109596A96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'!$D$6,'Total Values '!$D$10)</c:f>
              <c:numCache>
                <c:formatCode>0.00</c:formatCode>
                <c:ptCount val="2"/>
                <c:pt idx="0">
                  <c:v>151.17036318114435</c:v>
                </c:pt>
                <c:pt idx="1">
                  <c:v>217.86876469159753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95-4729-9C2E-414109596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ACR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Explosives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'!$D$18,'Total Values '!$F$31,'Total Values '!$E$36)</c:f>
              <c:numCache>
                <c:formatCode>0.00</c:formatCode>
                <c:ptCount val="3"/>
                <c:pt idx="0">
                  <c:v>0.34342187902648535</c:v>
                </c:pt>
                <c:pt idx="1">
                  <c:v>0.35318482205563784</c:v>
                </c:pt>
                <c:pt idx="2" formatCode="0.00000">
                  <c:v>5.4980126272300205E-5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4E-4017-912C-2CD61483F479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'!$B$21,'Total Values '!$F$30,'Total Values '!$C$39)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6.3980660023359587E-3</c:v>
                </c:pt>
                <c:pt idx="2" formatCode="0.0000">
                  <c:v>1.0493328019916226E-2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A4E-4017-912C-2CD61483F479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'!$B$20,'Total Values '!$B$29,'Total Values '!$C$38)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0</c:v>
                </c:pt>
                <c:pt idx="2" formatCode="0.0000">
                  <c:v>1.2598507623116241E-2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4E-4017-912C-2CD61483F479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'!$B$19,'Total Values '!$F$28,'Total Values '!$C$37)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3.2805546895321849E-2</c:v>
                </c:pt>
                <c:pt idx="2" formatCode="0.0000">
                  <c:v>4.7233377465134931E-2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4E-4017-912C-2CD61483F479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'!$B$18,'Total Values '!$F$27,'Total Values '!$C$36)</c:f>
              <c:numCache>
                <c:formatCode>0.000000</c:formatCode>
                <c:ptCount val="3"/>
                <c:pt idx="0" formatCode="0.00000">
                  <c:v>6.9777959932992167E-4</c:v>
                </c:pt>
                <c:pt idx="1">
                  <c:v>7.3485389132930248E-2</c:v>
                </c:pt>
                <c:pt idx="2" formatCode="0.0000">
                  <c:v>0.11800326821974365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A4E-4017-912C-2CD61483F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'!$B$47:$B$49</c:f>
              <c:numCache>
                <c:formatCode>0.000000</c:formatCode>
                <c:ptCount val="3"/>
                <c:pt idx="0" formatCode="0.0000">
                  <c:v>1.0046333333333335</c:v>
                </c:pt>
                <c:pt idx="1">
                  <c:v>1.0050666666666668</c:v>
                </c:pt>
                <c:pt idx="2" formatCode="General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A4E-4017-912C-2CD61483F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'!$D$18,'Total Values '!$D$27)</c:f>
              <c:numCache>
                <c:formatCode>0.00</c:formatCode>
                <c:ptCount val="2"/>
                <c:pt idx="0">
                  <c:v>0.34342187902648535</c:v>
                </c:pt>
                <c:pt idx="1">
                  <c:v>0.35309707909806731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82-4E8C-B07A-171C1D29CA3F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'!$B$21,'Total Values '!$B$30)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4.5548668743370264E-4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82-4E8C-B07A-171C1D29CA3F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'!$B$20,'Total Values '!$B$29)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82-4E8C-B07A-171C1D29CA3F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'!$B$19,'Total Values '!$B$28)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3.8238662406098992E-4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82-4E8C-B07A-171C1D29CA3F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'!$B$18,'Total Values '!$B$27)</c:f>
              <c:numCache>
                <c:formatCode>0.000000</c:formatCode>
                <c:ptCount val="2"/>
                <c:pt idx="0" formatCode="0.00000">
                  <c:v>6.9777959932992167E-4</c:v>
                </c:pt>
                <c:pt idx="1">
                  <c:v>7.6563954265632143E-3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82-4E8C-B07A-171C1D29CA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'!$B$47:$B$48</c:f>
              <c:numCache>
                <c:formatCode>0.000000</c:formatCode>
                <c:ptCount val="2"/>
                <c:pt idx="0" formatCode="0.0000">
                  <c:v>1.0046333333333335</c:v>
                </c:pt>
                <c:pt idx="1">
                  <c:v>1.0050666666666668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82-4E8C-B07A-171C1D29CA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 in </a:t>
            </a:r>
            <a:r>
              <a:rPr lang="en-GB" sz="2000" baseline="0"/>
              <a:t>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'!$E$27,'Total Values '!$E$36)</c:f>
              <c:numCache>
                <c:formatCode>0.00000</c:formatCode>
                <c:ptCount val="2"/>
                <c:pt idx="0">
                  <c:v>8.7742957570505163E-5</c:v>
                </c:pt>
                <c:pt idx="1">
                  <c:v>5.4980126272300205E-5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08-408E-A1A1-29FB8BD2DFE3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'!$C$30,'Total Values '!$C$39)</c:f>
              <c:numCache>
                <c:formatCode>0.0000</c:formatCode>
                <c:ptCount val="2"/>
                <c:pt idx="0">
                  <c:v>5.9425793149022561E-3</c:v>
                </c:pt>
                <c:pt idx="1">
                  <c:v>1.0493328019916226E-2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08-408E-A1A1-29FB8BD2DFE3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'!$C$29,'Total Values '!$C$38)</c:f>
              <c:numCache>
                <c:formatCode>0.0000</c:formatCode>
                <c:ptCount val="2"/>
                <c:pt idx="0">
                  <c:v>8.1231450894849663E-3</c:v>
                </c:pt>
                <c:pt idx="1">
                  <c:v>1.2598507623116241E-2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08-408E-A1A1-29FB8BD2DFE3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'!$C$28,'Total Values '!$C$37)</c:f>
              <c:numCache>
                <c:formatCode>0.0000</c:formatCode>
                <c:ptCount val="2"/>
                <c:pt idx="0">
                  <c:v>3.242316027126086E-2</c:v>
                </c:pt>
                <c:pt idx="1">
                  <c:v>4.7233377465134931E-2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08-408E-A1A1-29FB8BD2DFE3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'!$C$27,'Total Values '!$C$36)</c:f>
              <c:numCache>
                <c:formatCode>0.0000</c:formatCode>
                <c:ptCount val="2"/>
                <c:pt idx="0">
                  <c:v>6.5828993706367037E-2</c:v>
                </c:pt>
                <c:pt idx="1">
                  <c:v>0.11800326821974365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08-408E-A1A1-29FB8BD2D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'!$B$48:$B$49</c:f>
              <c:numCache>
                <c:formatCode>General</c:formatCode>
                <c:ptCount val="2"/>
                <c:pt idx="0" formatCode="0.000000">
                  <c:v>1.0050666666666668</c:v>
                </c:pt>
                <c:pt idx="1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F08-408E-A1A1-29FB8BD2D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NTO in NTO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 Normalised'!$B$9</c:f>
              <c:numCache>
                <c:formatCode>0.00</c:formatCode>
                <c:ptCount val="1"/>
                <c:pt idx="0">
                  <c:v>0.60411566324490873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68-4325-A352-6F02968CF9E6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368-4325-A352-6F02968CF9E6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 Normalised'!$B$7</c:f>
              <c:numCache>
                <c:formatCode>0.00</c:formatCode>
                <c:ptCount val="1"/>
                <c:pt idx="0">
                  <c:v>0.75807640588832925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68-4325-A352-6F02968CF9E6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('Total Values  Normalised'!$B$6,'Total Values  Normalised'!$B$2)</c:f>
              <c:numCache>
                <c:formatCode>0.00</c:formatCode>
                <c:ptCount val="2"/>
                <c:pt idx="0">
                  <c:v>20.146784866634352</c:v>
                </c:pt>
                <c:pt idx="1">
                  <c:v>1.2362786344901544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68-4325-A352-6F02968CF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NTO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ACR in ACR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 Normalised'!$D$9,'Total Values  Normalised'!$D$13)</c:f>
              <c:numCache>
                <c:formatCode>0.00</c:formatCode>
                <c:ptCount val="2"/>
                <c:pt idx="0">
                  <c:v>9.9150578874952942</c:v>
                </c:pt>
                <c:pt idx="1">
                  <c:v>33.434300033939358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64-4A21-A229-FE872349F501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 Normalised'!$D$8,'Total Values  Normalised'!$D$12)</c:f>
              <c:numCache>
                <c:formatCode>0.00</c:formatCode>
                <c:ptCount val="2"/>
                <c:pt idx="0">
                  <c:v>11.620832223673995</c:v>
                </c:pt>
                <c:pt idx="1">
                  <c:v>14.780975703659772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64-4A21-A229-FE872349F501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 Normalised'!$D$7,'Total Values  Normalised'!$D$11)</c:f>
              <c:numCache>
                <c:formatCode>0.00</c:formatCode>
                <c:ptCount val="2"/>
                <c:pt idx="0">
                  <c:v>51.959518210702157</c:v>
                </c:pt>
                <c:pt idx="1">
                  <c:v>90.325535779178423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64-4A21-A229-FE872349F501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 Normalised'!$D$6,'Total Values  Normalised'!$D$10)</c:f>
              <c:numCache>
                <c:formatCode>0.00</c:formatCode>
                <c:ptCount val="2"/>
                <c:pt idx="0">
                  <c:v>151.17036318114435</c:v>
                </c:pt>
                <c:pt idx="1">
                  <c:v>217.86876469159753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64-4A21-A229-FE872349F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ACR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(2)'!$H$18,'Total Values (Molar Ratio) (2)'!$H$27)</c:f>
              <c:numCache>
                <c:formatCode>0.00</c:formatCode>
                <c:ptCount val="2"/>
                <c:pt idx="0">
                  <c:v>0.34342187902648535</c:v>
                </c:pt>
                <c:pt idx="1">
                  <c:v>0.35309707909806731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11-40F4-944B-86438F9DA319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(2)'!$B$21,'Total Values (Molar Ratio) (2)'!$B$30)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4.5548668743370247E-4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11-40F4-944B-86438F9DA319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(2)'!$B$20,'Total Values (Molar Ratio) (2)'!$B$29)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11-40F4-944B-86438F9DA319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(2)'!$B$19,'Total Values (Molar Ratio) (2)'!$B$28)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3.8238662406098981E-4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11-40F4-944B-86438F9DA319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(2)'!$B$18,'Total Values (Molar Ratio) (2)'!$B$27)</c:f>
              <c:numCache>
                <c:formatCode>0.000000</c:formatCode>
                <c:ptCount val="2"/>
                <c:pt idx="0" formatCode="0.0000">
                  <c:v>6.2302416177926025E-4</c:v>
                </c:pt>
                <c:pt idx="1">
                  <c:v>7.6563954265632143E-3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11-40F4-944B-86438F9DA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(Molar Ratio) (2)'!$B$47:$B$48</c:f>
              <c:numCache>
                <c:formatCode>0.000000</c:formatCode>
                <c:ptCount val="2"/>
                <c:pt idx="0" formatCode="0.0000">
                  <c:v>1.0046333333333335</c:v>
                </c:pt>
                <c:pt idx="1">
                  <c:v>1.0050666666666701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311-40F4-944B-86438F9DA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Location of Explosives</a:t>
            </a:r>
            <a:r>
              <a:rPr lang="en-GB" sz="2000" baseline="0"/>
              <a:t> recovered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 Normalised'!$D$18,'Total Values  Normalised'!$F$31,'Total Values  Normalised'!$E$36)</c:f>
              <c:numCache>
                <c:formatCode>0.00%</c:formatCode>
                <c:ptCount val="3"/>
                <c:pt idx="0">
                  <c:v>0.99797227626542351</c:v>
                </c:pt>
                <c:pt idx="1">
                  <c:v>0.74512042275255996</c:v>
                </c:pt>
                <c:pt idx="2">
                  <c:v>2.9185219258576949E-4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0-43D6-A432-D36B50033C89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 Normalised'!$B$21,'Total Values  Normalised'!$F$30,'Total Values  Normalised'!$C$39)</c:f>
              <c:numCache>
                <c:formatCode>0.00%</c:formatCode>
                <c:ptCount val="3"/>
                <c:pt idx="0">
                  <c:v>0</c:v>
                </c:pt>
                <c:pt idx="1">
                  <c:v>1.3498115849690578E-2</c:v>
                </c:pt>
                <c:pt idx="2">
                  <c:v>5.5701959922146896E-2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90-43D6-A432-D36B50033C89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 Normalised'!$B$20,'Total Values  Normalised'!$B$29,'Total Values  Normalised'!$C$38)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6.6876930309406793E-2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90-43D6-A432-D36B50033C89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 Normalised'!$B$19,'Total Values  Normalised'!$F$28,'Total Values  Normalised'!$C$37)</c:f>
              <c:numCache>
                <c:formatCode>0.00%</c:formatCode>
                <c:ptCount val="3"/>
                <c:pt idx="0">
                  <c:v>0</c:v>
                </c:pt>
                <c:pt idx="1">
                  <c:v>6.9210457088726279E-2</c:v>
                </c:pt>
                <c:pt idx="2">
                  <c:v>0.25072995846093704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90-43D6-A432-D36B50033C89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 Normalised'!$B$18,'Total Values  Normalised'!$F$27,'Total Values  Normalised'!$C$36)</c:f>
              <c:numCache>
                <c:formatCode>0.00%</c:formatCode>
                <c:ptCount val="3"/>
                <c:pt idx="0">
                  <c:v>2.0277237345764803E-3</c:v>
                </c:pt>
                <c:pt idx="1">
                  <c:v>0.15503345783143432</c:v>
                </c:pt>
                <c:pt idx="2">
                  <c:v>0.62639929911492342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90-43D6-A432-D36B50033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 Normalised'!$B$47:$B$49</c:f>
              <c:numCache>
                <c:formatCode>0.000000</c:formatCode>
                <c:ptCount val="3"/>
                <c:pt idx="0" formatCode="0.0000">
                  <c:v>1.0046333333333335</c:v>
                </c:pt>
                <c:pt idx="1">
                  <c:v>1.0050666666666668</c:v>
                </c:pt>
                <c:pt idx="2" formatCode="General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90-43D6-A432-D36B50033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Location </a:t>
                </a:r>
                <a:r>
                  <a:rPr lang="en-GB" sz="1200" baseline="0"/>
                  <a:t>of Recovered Explosive (%)</a:t>
                </a:r>
                <a:endParaRPr lang="en-GB" sz="1200"/>
              </a:p>
            </c:rich>
          </c:tx>
          <c:layout>
            <c:manualLayout>
              <c:xMode val="edge"/>
              <c:yMode val="edge"/>
              <c:x val="1.5959517616362398E-2"/>
              <c:y val="0.25794483278250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NTO in NTO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(Molar Ratio)'!$B$9</c:f>
              <c:numCache>
                <c:formatCode>0.00</c:formatCode>
                <c:ptCount val="1"/>
                <c:pt idx="0">
                  <c:v>0.60411566324490873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AC-4D83-BB91-1F0D246F7418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1AC-4D83-BB91-1F0D246F7418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Ratio)'!$E$7,'Total Values (Molar Ratio)'!$E$3)</c:f>
                <c:numCache>
                  <c:formatCode>General</c:formatCode>
                  <c:ptCount val="2"/>
                  <c:pt idx="0">
                    <c:v>0.21438409042338624</c:v>
                  </c:pt>
                  <c:pt idx="1">
                    <c:v>9.7125269080155412E-4</c:v>
                  </c:pt>
                </c:numCache>
              </c:numRef>
            </c:plus>
            <c:minus>
              <c:numRef>
                <c:f>('Total Values (Molar Ratio)'!$E$7,'Total Values (Molar Ratio)'!$E$3)</c:f>
                <c:numCache>
                  <c:formatCode>General</c:formatCode>
                  <c:ptCount val="2"/>
                  <c:pt idx="0">
                    <c:v>0.21438409042338624</c:v>
                  </c:pt>
                  <c:pt idx="1">
                    <c:v>9.7125269080155412E-4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'Total Values (Molar Ratio)'!$B$7</c:f>
              <c:numCache>
                <c:formatCode>0.00</c:formatCode>
                <c:ptCount val="1"/>
                <c:pt idx="0">
                  <c:v>0.75807640588832925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AC-4D83-BB91-1F0D246F7418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Ratio)'!$K$6,'Total Values (Molar Ratio)'!$E$2)</c:f>
                <c:numCache>
                  <c:formatCode>General</c:formatCode>
                  <c:ptCount val="2"/>
                  <c:pt idx="0">
                    <c:v>16.821079472723355</c:v>
                  </c:pt>
                  <c:pt idx="1">
                    <c:v>6.8149545790210445E-2</c:v>
                  </c:pt>
                </c:numCache>
              </c:numRef>
            </c:plus>
            <c:minus>
              <c:numRef>
                <c:f>('Total Values (Molar Ratio)'!$K$6,'Total Values (Molar Ratio)'!$E$2)</c:f>
                <c:numCache>
                  <c:formatCode>General</c:formatCode>
                  <c:ptCount val="2"/>
                  <c:pt idx="0">
                    <c:v>16.821079472723355</c:v>
                  </c:pt>
                  <c:pt idx="1">
                    <c:v>6.8149545790210445E-2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NTO:ACR</c:v>
              </c:pt>
              <c:pt idx="1">
                <c:v> NTO</c:v>
              </c:pt>
            </c:strLit>
          </c:cat>
          <c:val>
            <c:numRef>
              <c:f>('Total Values (Molar Ratio)'!$B$6,'Total Values (Molar Ratio)'!$B$2)</c:f>
              <c:numCache>
                <c:formatCode>0.00</c:formatCode>
                <c:ptCount val="2"/>
                <c:pt idx="0">
                  <c:v>20.146784866634352</c:v>
                </c:pt>
                <c:pt idx="1">
                  <c:v>1.2362786344901544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AC-4D83-BB91-1F0D246F7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NTO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ACR in ACR</a:t>
            </a:r>
            <a:r>
              <a:rPr lang="en-GB" baseline="0"/>
              <a:t> and NTO:ACR sand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v>Sec 4</c:v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Ratio)'!$H$9,'Total Values (Molar Ratio)'!$H$13)</c:f>
              <c:numCache>
                <c:formatCode>0.00</c:formatCode>
                <c:ptCount val="2"/>
                <c:pt idx="0">
                  <c:v>9.9150578874952942</c:v>
                </c:pt>
                <c:pt idx="1">
                  <c:v>33.434300033939358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F1-445D-B542-0B6FA7665F96}"/>
            </c:ext>
          </c:extLst>
        </c:ser>
        <c:ser>
          <c:idx val="2"/>
          <c:order val="1"/>
          <c:tx>
            <c:v>Sec 3</c:v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Ratio)'!$H$8,'Total Values (Molar Ratio)'!$H$12)</c:f>
              <c:numCache>
                <c:formatCode>0.00</c:formatCode>
                <c:ptCount val="2"/>
                <c:pt idx="0">
                  <c:v>11.620832223673995</c:v>
                </c:pt>
                <c:pt idx="1">
                  <c:v>14.780975703659772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F1-445D-B542-0B6FA7665F96}"/>
            </c:ext>
          </c:extLst>
        </c:ser>
        <c:ser>
          <c:idx val="1"/>
          <c:order val="2"/>
          <c:tx>
            <c:v>Sec 2</c:v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Ratio)'!$H$7,'Total Values (Molar Ratio)'!$H$11)</c:f>
              <c:numCache>
                <c:formatCode>0.00</c:formatCode>
                <c:ptCount val="2"/>
                <c:pt idx="0">
                  <c:v>51.959518210702157</c:v>
                </c:pt>
                <c:pt idx="1">
                  <c:v>90.325535779178423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F1-445D-B542-0B6FA7665F96}"/>
            </c:ext>
          </c:extLst>
        </c:ser>
        <c:ser>
          <c:idx val="0"/>
          <c:order val="3"/>
          <c:tx>
            <c:v>Sec1</c:v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NTO:ACR</c:v>
              </c:pt>
              <c:pt idx="1">
                <c:v> ACR</c:v>
              </c:pt>
            </c:strLit>
          </c:cat>
          <c:val>
            <c:numRef>
              <c:f>('Total Values (Molar Ratio)'!$H$6,'Total Values (Molar Ratio)'!$H$10)</c:f>
              <c:numCache>
                <c:formatCode>0.00</c:formatCode>
                <c:ptCount val="2"/>
                <c:pt idx="0">
                  <c:v>151.17036318114435</c:v>
                </c:pt>
                <c:pt idx="1">
                  <c:v>217.86876469159753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F1-445D-B542-0B6FA7665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66416"/>
        <c:axId val="102132512"/>
      </c:barChart>
      <c:catAx>
        <c:axId val="89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32512"/>
        <c:crosses val="autoZero"/>
        <c:auto val="1"/>
        <c:lblAlgn val="ctr"/>
        <c:lblOffset val="100"/>
        <c:noMultiLvlLbl val="0"/>
      </c:catAx>
      <c:valAx>
        <c:axId val="10213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 of ACR in mg/Kg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Explosives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Ratio)'!$H$18,'Total Values (Molar Ratio)'!$N$31,'Total Values (Molar Ratio)'!$K$36)</c:f>
              <c:numCache>
                <c:formatCode>0.00</c:formatCode>
                <c:ptCount val="3"/>
                <c:pt idx="0">
                  <c:v>0.34342187902648535</c:v>
                </c:pt>
                <c:pt idx="1">
                  <c:v>0.97930015725645814</c:v>
                </c:pt>
                <c:pt idx="2" formatCode="0.00000">
                  <c:v>5.4980126272300205E-5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7-4C7C-BA38-8629CF66E0AB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Ratio)'!$B$21,'Total Values (Molar Ratio)'!$N$30,'Total Values (Molar Ratio)'!$E$39)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8.58758374950906E-3</c:v>
                </c:pt>
                <c:pt idx="2">
                  <c:v>1.5809714412901712E-2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67-4C7C-BA38-8629CF66E0AB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Ratio)'!$B$20,'Total Values (Molar Ratio)'!$B$29,'Total Values (Molar Ratio)'!$E$38)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0</c:v>
                </c:pt>
                <c:pt idx="2">
                  <c:v>1.2598507623116241E-2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67-4C7C-BA38-8629CF66E0AB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Ratio)'!$B$19,'Total Values (Molar Ratio)'!$N$28,'Total Values (Molar Ratio)'!$E$37)</c:f>
              <c:numCache>
                <c:formatCode>0.000000</c:formatCode>
                <c:ptCount val="3"/>
                <c:pt idx="0" formatCode="0">
                  <c:v>0</c:v>
                </c:pt>
                <c:pt idx="1">
                  <c:v>3.3785801177781599E-2</c:v>
                </c:pt>
                <c:pt idx="2">
                  <c:v>4.7233377465134931E-2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67-4C7C-BA38-8629CF66E0AB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Ratio)'!$B$18,'Total Values (Molar Ratio)'!$N$27,'Total Values (Molar Ratio)'!$E$36)</c:f>
              <c:numCache>
                <c:formatCode>0.000000</c:formatCode>
                <c:ptCount val="3"/>
                <c:pt idx="0" formatCode="0.0000">
                  <c:v>6.2302416177926025E-4</c:v>
                </c:pt>
                <c:pt idx="1">
                  <c:v>9.1560783257401357E-2</c:v>
                </c:pt>
                <c:pt idx="2">
                  <c:v>0.11800326821974366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67-4C7C-BA38-8629CF66E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(Molar Ratio)'!$B$47:$B$49</c:f>
              <c:numCache>
                <c:formatCode>0.000000</c:formatCode>
                <c:ptCount val="3"/>
                <c:pt idx="0" formatCode="0.0000">
                  <c:v>1.0046333333333335</c:v>
                </c:pt>
                <c:pt idx="1">
                  <c:v>1.0050666666666701</c:v>
                </c:pt>
                <c:pt idx="2" formatCode="General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767-4C7C-BA38-8629CF66E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Ratio)'!$H$18,'Total Values (Molar Ratio)'!$H$27)</c:f>
              <c:numCache>
                <c:formatCode>0.00</c:formatCode>
                <c:ptCount val="2"/>
                <c:pt idx="0">
                  <c:v>0.34342187902648535</c:v>
                </c:pt>
                <c:pt idx="1">
                  <c:v>0.35309707909806731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D7-4594-8FA3-375BE76AED53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Ratio)'!$B$21,'Total Values (Molar Ratio)'!$B$30)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4.5548668743370247E-4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D7-4594-8FA3-375BE76AED53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Ratio)'!$B$20,'Total Values (Molar Ratio)'!$B$29)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D7-4594-8FA3-375BE76AED53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Ratio)'!$B$19,'Total Values (Molar Ratio)'!$B$28)</c:f>
              <c:numCache>
                <c:formatCode>0.000000</c:formatCode>
                <c:ptCount val="2"/>
                <c:pt idx="0" formatCode="0">
                  <c:v>0</c:v>
                </c:pt>
                <c:pt idx="1">
                  <c:v>3.8238662406098981E-4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D7-4594-8FA3-375BE76AED53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Ratio)'!$B$18,'Total Values (Molar Ratio)'!$B$27)</c:f>
              <c:numCache>
                <c:formatCode>0.000000</c:formatCode>
                <c:ptCount val="2"/>
                <c:pt idx="0" formatCode="0.0000">
                  <c:v>6.2302416177926025E-4</c:v>
                </c:pt>
                <c:pt idx="1">
                  <c:v>7.6563954265632143E-3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D7-4594-8FA3-375BE76AE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(Molar Ratio)'!$B$47:$B$48</c:f>
              <c:numCache>
                <c:formatCode>0.000000</c:formatCode>
                <c:ptCount val="2"/>
                <c:pt idx="0" formatCode="0.0000">
                  <c:v>1.0046333333333335</c:v>
                </c:pt>
                <c:pt idx="1">
                  <c:v>1.0050666666666701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BD7-4594-8FA3-375BE76AE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 in </a:t>
            </a:r>
            <a:r>
              <a:rPr lang="en-GB" sz="2000" baseline="0"/>
              <a:t>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Ratio)'!$K$27,'Total Values (Molar Ratio)'!$K$36)</c:f>
              <c:numCache>
                <c:formatCode>0.00000</c:formatCode>
                <c:ptCount val="2"/>
                <c:pt idx="0">
                  <c:v>8.7742957570505163E-5</c:v>
                </c:pt>
                <c:pt idx="1">
                  <c:v>5.4980126272300205E-5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20-497A-8477-3F42F1665975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Ratio)'!$E$30,'Total Values (Molar Ratio)'!$E$39)</c:f>
              <c:numCache>
                <c:formatCode>0.000000</c:formatCode>
                <c:ptCount val="2"/>
                <c:pt idx="0">
                  <c:v>5.942579314902257E-3</c:v>
                </c:pt>
                <c:pt idx="1">
                  <c:v>1.5809714412901712E-2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20-497A-8477-3F42F1665975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Ratio)'!$E$29,'Total Values (Molar Ratio)'!$E$38)</c:f>
              <c:numCache>
                <c:formatCode>0.000000</c:formatCode>
                <c:ptCount val="2"/>
                <c:pt idx="0">
                  <c:v>8.1231450894849681E-3</c:v>
                </c:pt>
                <c:pt idx="1">
                  <c:v>1.2598507623116241E-2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20-497A-8477-3F42F1665975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Ratio)'!$E$28,'Total Values (Molar Ratio)'!$E$37)</c:f>
              <c:numCache>
                <c:formatCode>0.000000</c:formatCode>
                <c:ptCount val="2"/>
                <c:pt idx="0">
                  <c:v>3.2423160271260854E-2</c:v>
                </c:pt>
                <c:pt idx="1">
                  <c:v>4.7233377465134931E-2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20-497A-8477-3F42F1665975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Ratio)'!$E$27,'Total Values (Molar Ratio)'!$E$36)</c:f>
              <c:numCache>
                <c:formatCode>0.000000</c:formatCode>
                <c:ptCount val="2"/>
                <c:pt idx="0">
                  <c:v>6.5828993706367023E-2</c:v>
                </c:pt>
                <c:pt idx="1">
                  <c:v>0.11800326821974366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20-497A-8477-3F42F1665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(Molar Ratio)'!$B$48:$B$49</c:f>
              <c:numCache>
                <c:formatCode>General</c:formatCode>
                <c:ptCount val="2"/>
                <c:pt idx="0" formatCode="0.000000">
                  <c:v>1.0050666666666701</c:v>
                </c:pt>
                <c:pt idx="1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20-497A-8477-3F42F1665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Ratio)'!$I$18,'Total Values (Molar Ratio)'!$I$27)</c:f>
              <c:numCache>
                <c:formatCode>0.00%</c:formatCode>
                <c:ptCount val="2"/>
                <c:pt idx="0">
                  <c:v>0.34183802948984898</c:v>
                </c:pt>
                <c:pt idx="1">
                  <c:v>0.53087913192421721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D-429C-80E8-78AF055F1549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Ratio)'!$C$21,'Total Values (Molar Ratio)'!$C$30)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D-429C-80E8-78AF055F1549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Ratio)'!$C$20,'Total Values (Molar Ratio)'!$C$29)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D-429C-80E8-78AF055F1549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Ratio)'!$C$19,'Total Values (Molar Ratio)'!$C$28)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FD-429C-80E8-78AF055F1549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Ratio)'!$C$18,'Total Values (Molar Ratio)'!$C$27)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FD-429C-80E8-78AF055F1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chemeClr val="accent3">
                  <a:shade val="50000"/>
                </a:schemeClr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3">
                  <a:shade val="50000"/>
                </a:schemeClr>
              </a:solidFill>
              <a:ln w="9525">
                <a:solidFill>
                  <a:schemeClr val="accent3">
                    <a:shade val="50000"/>
                  </a:schemeClr>
                </a:solidFill>
              </a:ln>
              <a:effectLst/>
            </c:spPr>
          </c:marker>
          <c:val>
            <c:numRef>
              <c:f>('Total Values (Molar Ratio)'!$C$17,'Total Values (Molar Ratio)'!$C$26)</c:f>
              <c:numCache>
                <c:formatCode>0.00%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FD-429C-80E8-78AF055F1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 in </a:t>
            </a:r>
            <a:r>
              <a:rPr lang="en-GB" sz="2000" baseline="0"/>
              <a:t>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Ratio)'!$L$27,'Total Values (Molar Ratio)'!$L$36)</c:f>
              <c:numCache>
                <c:formatCode>0.00%</c:formatCode>
                <c:ptCount val="2"/>
                <c:pt idx="0">
                  <c:v>2.5810622331466935E-4</c:v>
                </c:pt>
                <c:pt idx="1">
                  <c:v>5.4306722908238057E-5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ED-4D2D-9399-86AC9C9265F9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Ratio)'!$F$30,'Total Values (Molar Ratio)'!$F$39)</c:f>
              <c:numCache>
                <c:formatCode>0.00%</c:formatCode>
                <c:ptCount val="2"/>
                <c:pt idx="0">
                  <c:v>1.7480795566810137E-2</c:v>
                </c:pt>
                <c:pt idx="1">
                  <c:v>1.5616075081886322E-2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ED-4D2D-9399-86AC9C9265F9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Ratio)'!$F$29,'Total Values (Molar Ratio)'!$F$38)</c:f>
              <c:numCache>
                <c:formatCode>0.00%</c:formatCode>
                <c:ptCount val="2"/>
                <c:pt idx="0">
                  <c:v>2.3895186104244695E-2</c:v>
                </c:pt>
                <c:pt idx="1">
                  <c:v>1.2444199548712211E-2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ED-4D2D-9399-86AC9C9265F9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Ratio)'!$F$28,'Total Values (Molar Ratio)'!$F$37)</c:f>
              <c:numCache>
                <c:formatCode>0.00%</c:formatCode>
                <c:ptCount val="2"/>
                <c:pt idx="0">
                  <c:v>9.537653707212719E-2</c:v>
                </c:pt>
                <c:pt idx="1">
                  <c:v>4.6654857235415778E-2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ED-4D2D-9399-86AC9C9265F9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Ratio)'!$F$27,'Total Values (Molar Ratio)'!$F$36)</c:f>
              <c:numCache>
                <c:formatCode>0.00%</c:formatCode>
                <c:ptCount val="2"/>
                <c:pt idx="0">
                  <c:v>0.1936437227626234</c:v>
                </c:pt>
                <c:pt idx="1">
                  <c:v>0.11655794964415613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ED-4D2D-9399-86AC9C926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chemeClr val="accent3">
                  <a:shade val="50000"/>
                </a:schemeClr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3">
                  <a:shade val="50000"/>
                </a:schemeClr>
              </a:solidFill>
              <a:ln w="9525">
                <a:solidFill>
                  <a:schemeClr val="accent3">
                    <a:shade val="50000"/>
                  </a:schemeClr>
                </a:solidFill>
              </a:ln>
              <a:effectLst/>
            </c:spPr>
          </c:marker>
          <c:val>
            <c:numRef>
              <c:f>('Total Values (Molar Ratio)'!$C$26,'Total Values (Molar Ratio)'!$C$35)</c:f>
              <c:numCache>
                <c:formatCode>0.00%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ED-4D2D-9399-86AC9C926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NTO</a:t>
            </a:r>
            <a:r>
              <a:rPr lang="en-GB" sz="2000" b="1" baseline="0"/>
              <a:t> recovered from sand and water </a:t>
            </a:r>
          </a:p>
          <a:p>
            <a:pPr>
              <a:defRPr sz="2000" b="1"/>
            </a:pPr>
            <a:endParaRPr lang="en-GB" sz="2000" b="1"/>
          </a:p>
        </c:rich>
      </c:tx>
      <c:layout>
        <c:manualLayout>
          <c:xMode val="edge"/>
          <c:yMode val="edge"/>
          <c:x val="0.29975942515591836"/>
          <c:y val="5.534728898519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v>Exp in Water</c:v>
          </c:tx>
          <c:spPr>
            <a:pattFill prst="pct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Ratio)'!$I$18,'Total Values (Molar Ratio)'!$I$27)</c:f>
              <c:numCache>
                <c:formatCode>0.00%</c:formatCode>
                <c:ptCount val="2"/>
                <c:pt idx="0">
                  <c:v>0.34183802948984898</c:v>
                </c:pt>
                <c:pt idx="1">
                  <c:v>0.53087913192421721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A2-424B-AA06-DCDFF7999618}"/>
            </c:ext>
          </c:extLst>
        </c:ser>
        <c:ser>
          <c:idx val="1"/>
          <c:order val="1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Ratio)'!$C$21,'Total Values (Molar Ratio)'!$C$30)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A2-424B-AA06-DCDFF7999618}"/>
            </c:ext>
          </c:extLst>
        </c:ser>
        <c:ser>
          <c:idx val="2"/>
          <c:order val="2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Ratio)'!$C$20,'Total Values (Molar Ratio)'!$C$29)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A2-424B-AA06-DCDFF7999618}"/>
            </c:ext>
          </c:extLst>
        </c:ser>
        <c:ser>
          <c:idx val="3"/>
          <c:order val="3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Ratio)'!$C$19,'Total Values (Molar Ratio)'!$C$28)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A2-424B-AA06-DCDFF7999618}"/>
            </c:ext>
          </c:extLst>
        </c:ser>
        <c:ser>
          <c:idx val="4"/>
          <c:order val="4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Ratio)'!$C$18,'Total Values (Molar Ratio)'!$C$27)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A2-424B-AA06-DCDFF7999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Mass Fraction of NTO recovered (wt.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ACR recovered</a:t>
            </a:r>
            <a:r>
              <a:rPr lang="en-GB" sz="2000" b="1" baseline="0"/>
              <a:t> from sand and water</a:t>
            </a:r>
          </a:p>
          <a:p>
            <a:pPr>
              <a:defRPr sz="2000" b="1"/>
            </a:pPr>
            <a:endParaRPr lang="en-GB" sz="2000" b="1"/>
          </a:p>
        </c:rich>
      </c:tx>
      <c:layout>
        <c:manualLayout>
          <c:xMode val="edge"/>
          <c:yMode val="edge"/>
          <c:x val="0.28565131035815067"/>
          <c:y val="4.65445351096231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Ratio)'!$L$27,'Total Values (Molar Ratio)'!$L$36)</c:f>
              <c:numCache>
                <c:formatCode>0.00%</c:formatCode>
                <c:ptCount val="2"/>
                <c:pt idx="0">
                  <c:v>2.5810622331466935E-4</c:v>
                </c:pt>
                <c:pt idx="1">
                  <c:v>5.4306722908238057E-5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E-4792-A50C-E10376679C6A}"/>
            </c:ext>
          </c:extLst>
        </c:ser>
        <c:ser>
          <c:idx val="1"/>
          <c:order val="1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Ratio)'!$F$30,'Total Values (Molar Ratio)'!$F$39)</c:f>
              <c:numCache>
                <c:formatCode>0.00%</c:formatCode>
                <c:ptCount val="2"/>
                <c:pt idx="0">
                  <c:v>1.7480795566810137E-2</c:v>
                </c:pt>
                <c:pt idx="1">
                  <c:v>1.5616075081886322E-2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0E-4792-A50C-E10376679C6A}"/>
            </c:ext>
          </c:extLst>
        </c:ser>
        <c:ser>
          <c:idx val="2"/>
          <c:order val="2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Ratio)'!$F$29,'Total Values (Molar Ratio)'!$F$38)</c:f>
              <c:numCache>
                <c:formatCode>0.00%</c:formatCode>
                <c:ptCount val="2"/>
                <c:pt idx="0">
                  <c:v>2.3895186104244695E-2</c:v>
                </c:pt>
                <c:pt idx="1">
                  <c:v>1.2444199548712211E-2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0E-4792-A50C-E10376679C6A}"/>
            </c:ext>
          </c:extLst>
        </c:ser>
        <c:ser>
          <c:idx val="3"/>
          <c:order val="3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Ratio)'!$F$28,'Total Values (Molar Ratio)'!$F$37)</c:f>
              <c:numCache>
                <c:formatCode>0.00%</c:formatCode>
                <c:ptCount val="2"/>
                <c:pt idx="0">
                  <c:v>9.537653707212719E-2</c:v>
                </c:pt>
                <c:pt idx="1">
                  <c:v>4.6654857235415778E-2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0E-4792-A50C-E10376679C6A}"/>
            </c:ext>
          </c:extLst>
        </c:ser>
        <c:ser>
          <c:idx val="4"/>
          <c:order val="4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Ratio)'!$F$27,'Total Values (Molar Ratio)'!$F$36)</c:f>
              <c:numCache>
                <c:formatCode>0.00%</c:formatCode>
                <c:ptCount val="2"/>
                <c:pt idx="0">
                  <c:v>0.1936437227626234</c:v>
                </c:pt>
                <c:pt idx="1">
                  <c:v>0.11655794964415613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0E-4792-A50C-E10376679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Mass</a:t>
                </a:r>
                <a:r>
                  <a:rPr lang="en-GB" sz="2000" baseline="0"/>
                  <a:t> Fraction of ACR recovered (wt. %)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837531989863868E-3"/>
              <c:y val="0.133274264065803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 in </a:t>
            </a:r>
            <a:r>
              <a:rPr lang="en-GB" sz="2000" baseline="0"/>
              <a:t>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(2)'!$K$27,'Total Values (Molar Ratio) (2)'!$K$36)</c:f>
              <c:numCache>
                <c:formatCode>0.00000</c:formatCode>
                <c:ptCount val="2"/>
                <c:pt idx="0">
                  <c:v>8.7742957570505163E-5</c:v>
                </c:pt>
                <c:pt idx="1">
                  <c:v>5.4980126272300205E-5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16-4F14-BFC0-A908FE805BAE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(2)'!$E$30,'Total Values (Molar Ratio) (2)'!$E$39)</c:f>
              <c:numCache>
                <c:formatCode>0.000000</c:formatCode>
                <c:ptCount val="2"/>
                <c:pt idx="0">
                  <c:v>5.942579314902257E-3</c:v>
                </c:pt>
                <c:pt idx="1">
                  <c:v>1.5809714412901712E-2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16-4F14-BFC0-A908FE805BAE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(2)'!$E$29,'Total Values (Molar Ratio) (2)'!$E$38)</c:f>
              <c:numCache>
                <c:formatCode>0.000000</c:formatCode>
                <c:ptCount val="2"/>
                <c:pt idx="0">
                  <c:v>8.1231450894849681E-3</c:v>
                </c:pt>
                <c:pt idx="1">
                  <c:v>1.2598507623116241E-2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16-4F14-BFC0-A908FE805BAE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(2)'!$E$28,'Total Values (Molar Ratio) (2)'!$E$37)</c:f>
              <c:numCache>
                <c:formatCode>0.000000</c:formatCode>
                <c:ptCount val="2"/>
                <c:pt idx="0">
                  <c:v>3.2423160271260854E-2</c:v>
                </c:pt>
                <c:pt idx="1">
                  <c:v>4.7233377465134931E-2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16-4F14-BFC0-A908FE805BAE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(2)'!$E$27,'Total Values (Molar Ratio) (2)'!$E$36)</c:f>
              <c:numCache>
                <c:formatCode>0.000000</c:formatCode>
                <c:ptCount val="2"/>
                <c:pt idx="0">
                  <c:v>6.5828993706367023E-2</c:v>
                </c:pt>
                <c:pt idx="1">
                  <c:v>0.11800326821974366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16-4F14-BFC0-A908FE805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'Total Values (Molar Ratio) (2)'!$B$48:$B$49</c:f>
              <c:numCache>
                <c:formatCode>General</c:formatCode>
                <c:ptCount val="2"/>
                <c:pt idx="0" formatCode="0.000000">
                  <c:v>1.0050666666666701</c:v>
                </c:pt>
                <c:pt idx="1">
                  <c:v>1.0124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16-4F14-BFC0-A908FE805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NTO</a:t>
            </a:r>
            <a:r>
              <a:rPr lang="en-GB" sz="2000" b="1" baseline="0"/>
              <a:t> recovered within Sand </a:t>
            </a:r>
          </a:p>
          <a:p>
            <a:pPr>
              <a:defRPr sz="2000" b="1"/>
            </a:pPr>
            <a:endParaRPr lang="en-GB" sz="2000" b="1"/>
          </a:p>
        </c:rich>
      </c:tx>
      <c:layout>
        <c:manualLayout>
          <c:xMode val="edge"/>
          <c:yMode val="edge"/>
          <c:x val="0.33493731916447711"/>
          <c:y val="5.30981313743235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Ratio)'!$D$21,'Total Values (Molar Ratio)'!$D$30)</c:f>
                <c:numCache>
                  <c:formatCode>General</c:formatCode>
                  <c:ptCount val="2"/>
                  <c:pt idx="0">
                    <c:v>3.4231798160119289E-6</c:v>
                  </c:pt>
                  <c:pt idx="1">
                    <c:v>1.504696513744878E-3</c:v>
                  </c:pt>
                </c:numCache>
              </c:numRef>
            </c:plus>
            <c:minus>
              <c:numRef>
                <c:f>('Total Values (Molar Ratio)'!$D$21,'Total Values (Molar Ratio)'!$D$30)</c:f>
                <c:numCache>
                  <c:formatCode>General</c:formatCode>
                  <c:ptCount val="2"/>
                  <c:pt idx="0">
                    <c:v>3.4231798160119289E-6</c:v>
                  </c:pt>
                  <c:pt idx="1">
                    <c:v>1.504696513744878E-3</c:v>
                  </c:pt>
                </c:numCache>
              </c:numRef>
            </c:minus>
            <c:spPr>
              <a:noFill/>
              <a:ln w="25400" cap="sq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Ratio)'!$C$21,'Total Values (Molar Ratio)'!$C$30)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9A-48B7-BA31-AB2C7884E8C2}"/>
            </c:ext>
          </c:extLst>
        </c:ser>
        <c:ser>
          <c:idx val="2"/>
          <c:order val="1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Ratio)'!$C$20,'Total Values (Molar Ratio)'!$C$29)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9A-48B7-BA31-AB2C7884E8C2}"/>
            </c:ext>
          </c:extLst>
        </c:ser>
        <c:ser>
          <c:idx val="3"/>
          <c:order val="2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Ratio)'!$D$19,'Total Values (Molar Ratio)'!$D$28)</c:f>
                <c:numCache>
                  <c:formatCode>General</c:formatCode>
                  <c:ptCount val="2"/>
                  <c:pt idx="0">
                    <c:v>1.4349595071599857E-6</c:v>
                  </c:pt>
                  <c:pt idx="1">
                    <c:v>4.0533851266787738E-4</c:v>
                  </c:pt>
                </c:numCache>
              </c:numRef>
            </c:plus>
            <c:minus>
              <c:numRef>
                <c:f>('Total Values (Molar Ratio)'!$D$19,'Total Values (Molar Ratio)'!$D$28)</c:f>
                <c:numCache>
                  <c:formatCode>General</c:formatCode>
                  <c:ptCount val="2"/>
                  <c:pt idx="0">
                    <c:v>1.4349595071599857E-6</c:v>
                  </c:pt>
                  <c:pt idx="1">
                    <c:v>4.0533851266787738E-4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Ratio)'!$C$19,'Total Values (Molar Ratio)'!$C$28)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9A-48B7-BA31-AB2C7884E8C2}"/>
            </c:ext>
          </c:extLst>
        </c:ser>
        <c:ser>
          <c:idx val="4"/>
          <c:order val="3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Ratio)'!$D$18,'Total Values (Molar Ratio)'!$D$27)</c:f>
                <c:numCache>
                  <c:formatCode>General</c:formatCode>
                  <c:ptCount val="2"/>
                  <c:pt idx="0">
                    <c:v>1.0711945030685871E-3</c:v>
                  </c:pt>
                  <c:pt idx="1">
                    <c:v>6.5640540473884115E-3</c:v>
                  </c:pt>
                </c:numCache>
              </c:numRef>
            </c:plus>
            <c:minus>
              <c:numRef>
                <c:f>('Total Values (Molar Ratio)'!$D$18,'Total Values (Molar Ratio)'!$D$27)</c:f>
                <c:numCache>
                  <c:formatCode>General</c:formatCode>
                  <c:ptCount val="2"/>
                  <c:pt idx="0">
                    <c:v>1.0711945030685871E-3</c:v>
                  </c:pt>
                  <c:pt idx="1">
                    <c:v>6.5640540473884115E-3</c:v>
                  </c:pt>
                </c:numCache>
              </c:numRef>
            </c:minus>
            <c:spPr>
              <a:noFill/>
              <a:ln w="25400" cap="sq" cmpd="sng" algn="ctr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Ratio)'!$C$18,'Total Values (Molar Ratio)'!$C$27)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9A-48B7-BA31-AB2C7884E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  <c:max val="2.0000000000000004E-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Mass Fraction of NTO recovered (wt. %)</a:t>
                </a:r>
              </a:p>
            </c:rich>
          </c:tx>
          <c:layout>
            <c:manualLayout>
              <c:xMode val="edge"/>
              <c:yMode val="edge"/>
              <c:x val="1.6041369011537594E-2"/>
              <c:y val="0.10965495795962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38100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ACR recovered</a:t>
            </a:r>
            <a:r>
              <a:rPr lang="en-GB" sz="2000" b="1" baseline="0"/>
              <a:t> within sand</a:t>
            </a:r>
            <a:r>
              <a:rPr lang="en-GB" sz="2000" b="1"/>
              <a:t> </a:t>
            </a:r>
            <a:endParaRPr lang="en-GB" sz="2000" b="1" baseline="0"/>
          </a:p>
          <a:p>
            <a:pPr>
              <a:defRPr sz="2000" b="1"/>
            </a:pPr>
            <a:endParaRPr lang="en-GB" sz="2000" b="1"/>
          </a:p>
        </c:rich>
      </c:tx>
      <c:layout>
        <c:manualLayout>
          <c:xMode val="edge"/>
          <c:yMode val="edge"/>
          <c:x val="0.31897082564662665"/>
          <c:y val="5.09773479772062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Ratio)'!$L$27,'Total Values (Molar Ratio)'!$L$36)</c:f>
              <c:numCache>
                <c:formatCode>0.00%</c:formatCode>
                <c:ptCount val="2"/>
                <c:pt idx="0">
                  <c:v>2.5810622331466935E-4</c:v>
                </c:pt>
                <c:pt idx="1">
                  <c:v>5.4306722908238057E-5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3B-4F2A-AD90-D0B4C9F46A0D}"/>
            </c:ext>
          </c:extLst>
        </c:ser>
        <c:ser>
          <c:idx val="1"/>
          <c:order val="1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Ratio)'!$F$30,'Total Values (Molar Ratio)'!$F$39)</c:f>
              <c:numCache>
                <c:formatCode>0.00%</c:formatCode>
                <c:ptCount val="2"/>
                <c:pt idx="0">
                  <c:v>1.7480795566810137E-2</c:v>
                </c:pt>
                <c:pt idx="1">
                  <c:v>1.5616075081886322E-2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3B-4F2A-AD90-D0B4C9F46A0D}"/>
            </c:ext>
          </c:extLst>
        </c:ser>
        <c:ser>
          <c:idx val="2"/>
          <c:order val="2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Ratio)'!$F$29,'Total Values (Molar Ratio)'!$F$38)</c:f>
              <c:numCache>
                <c:formatCode>0.00%</c:formatCode>
                <c:ptCount val="2"/>
                <c:pt idx="0">
                  <c:v>2.3895186104244695E-2</c:v>
                </c:pt>
                <c:pt idx="1">
                  <c:v>1.2444199548712211E-2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3B-4F2A-AD90-D0B4C9F46A0D}"/>
            </c:ext>
          </c:extLst>
        </c:ser>
        <c:ser>
          <c:idx val="3"/>
          <c:order val="3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Ratio)'!$G$28,'Total Values (Molar Ratio)'!$G$37)</c:f>
                <c:numCache>
                  <c:formatCode>General</c:formatCode>
                  <c:ptCount val="2"/>
                  <c:pt idx="0">
                    <c:v>3.3269298042191225E-2</c:v>
                  </c:pt>
                  <c:pt idx="1">
                    <c:v>3.3269298042191225E-2</c:v>
                  </c:pt>
                </c:numCache>
              </c:numRef>
            </c:plus>
            <c:minus>
              <c:numRef>
                <c:f>('Total Values (Molar Ratio)'!$G$28,'Total Values (Molar Ratio)'!$G$37)</c:f>
                <c:numCache>
                  <c:formatCode>General</c:formatCode>
                  <c:ptCount val="2"/>
                  <c:pt idx="0">
                    <c:v>3.3269298042191225E-2</c:v>
                  </c:pt>
                  <c:pt idx="1">
                    <c:v>3.3269298042191225E-2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Ratio)'!$F$28,'Total Values (Molar Ratio)'!$F$37)</c:f>
              <c:numCache>
                <c:formatCode>0.00%</c:formatCode>
                <c:ptCount val="2"/>
                <c:pt idx="0">
                  <c:v>9.537653707212719E-2</c:v>
                </c:pt>
                <c:pt idx="1">
                  <c:v>4.6654857235415778E-2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3B-4F2A-AD90-D0B4C9F46A0D}"/>
            </c:ext>
          </c:extLst>
        </c:ser>
        <c:ser>
          <c:idx val="4"/>
          <c:order val="4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('Total Values (Molar Ratio)'!$G$27,'Total Values (Molar Ratio)'!$G$36)</c:f>
                <c:numCache>
                  <c:formatCode>General</c:formatCode>
                  <c:ptCount val="2"/>
                  <c:pt idx="0">
                    <c:v>3.6038722599184496E-2</c:v>
                  </c:pt>
                  <c:pt idx="1">
                    <c:v>3.6038722599184496E-2</c:v>
                  </c:pt>
                </c:numCache>
              </c:numRef>
            </c:plus>
            <c:minus>
              <c:numRef>
                <c:f>('Total Values (Molar Ratio)'!$G$27,'Total Values (Molar Ratio)'!$G$36)</c:f>
                <c:numCache>
                  <c:formatCode>General</c:formatCode>
                  <c:ptCount val="2"/>
                  <c:pt idx="0">
                    <c:v>3.6038722599184496E-2</c:v>
                  </c:pt>
                  <c:pt idx="1">
                    <c:v>3.6038722599184496E-2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'Total Values (Molar Ratio)'!$A$52:$A$53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Ratio)'!$F$27,'Total Values (Molar Ratio)'!$F$36)</c:f>
              <c:numCache>
                <c:formatCode>0.00%</c:formatCode>
                <c:ptCount val="2"/>
                <c:pt idx="0">
                  <c:v>0.1936437227626234</c:v>
                </c:pt>
                <c:pt idx="1">
                  <c:v>0.11655794964415613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3B-4F2A-AD90-D0B4C9F46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Mass</a:t>
                </a:r>
                <a:r>
                  <a:rPr lang="en-GB" sz="2000" baseline="0"/>
                  <a:t> Fraction of ACR recovered (wt. %)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4375629798479578E-2"/>
              <c:y val="0.128841451198220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38100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NTO</a:t>
            </a:r>
            <a:r>
              <a:rPr lang="en-GB" sz="2000" b="1" baseline="0"/>
              <a:t> recovered within Sand </a:t>
            </a:r>
          </a:p>
          <a:p>
            <a:pPr>
              <a:defRPr sz="2000" b="1"/>
            </a:pPr>
            <a:endParaRPr lang="en-GB" sz="2000" b="1"/>
          </a:p>
        </c:rich>
      </c:tx>
      <c:layout>
        <c:manualLayout>
          <c:xMode val="edge"/>
          <c:yMode val="edge"/>
          <c:x val="0.33493731916447711"/>
          <c:y val="5.30981313743235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882813104870155"/>
          <c:y val="0.13211578077441127"/>
          <c:w val="0.77033090752664779"/>
          <c:h val="0.70907671354888258"/>
        </c:manualLayout>
      </c:layout>
      <c:bar3DChart>
        <c:barDir val="col"/>
        <c:grouping val="standard"/>
        <c:varyColors val="0"/>
        <c:ser>
          <c:idx val="1"/>
          <c:order val="0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Ratio)'!$C$21,'Total Values (Molar Ratio)'!$C$30)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8-44F0-B449-0C6D3EF2CC1D}"/>
            </c:ext>
          </c:extLst>
        </c:ser>
        <c:ser>
          <c:idx val="2"/>
          <c:order val="1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Ratio)'!$C$20,'Total Values (Molar Ratio)'!$C$29)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38-44F0-B449-0C6D3EF2CC1D}"/>
            </c:ext>
          </c:extLst>
        </c:ser>
        <c:ser>
          <c:idx val="3"/>
          <c:order val="2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Ratio)'!$C$19,'Total Values (Molar Ratio)'!$C$28)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38-44F0-B449-0C6D3EF2CC1D}"/>
            </c:ext>
          </c:extLst>
        </c:ser>
        <c:ser>
          <c:idx val="4"/>
          <c:order val="3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Ratio)'!$C$18,'Total Values (Molar Ratio)'!$C$27)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38-44F0-B449-0C6D3EF2C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shape val="box"/>
        <c:axId val="249047456"/>
        <c:axId val="395836848"/>
        <c:axId val="1096980176"/>
      </c:bar3D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  <c:max val="2.0000000000000004E-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Mass Fraction of NTO recovered (wt. %)</a:t>
                </a:r>
              </a:p>
            </c:rich>
          </c:tx>
          <c:layout>
            <c:manualLayout>
              <c:xMode val="edge"/>
              <c:yMode val="edge"/>
              <c:x val="1.6041369011537594E-2"/>
              <c:y val="0.10965495795962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38100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erAx>
        <c:axId val="109698017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NTO Calibration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 </c:v>
          </c:tx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xVal>
            <c:numRef>
              <c:f>'Solubility tests'!$B$3:$B$6</c:f>
              <c:numCache>
                <c:formatCode>General</c:formatCode>
                <c:ptCount val="4"/>
                <c:pt idx="0">
                  <c:v>27.22</c:v>
                </c:pt>
                <c:pt idx="1">
                  <c:v>54.45</c:v>
                </c:pt>
                <c:pt idx="2">
                  <c:v>81.680000000000007</c:v>
                </c:pt>
                <c:pt idx="3">
                  <c:v>108.9</c:v>
                </c:pt>
              </c:numCache>
            </c:numRef>
          </c:xVal>
          <c:yVal>
            <c:numRef>
              <c:f>'Solubility tests'!$C$3:$C$6</c:f>
              <c:numCache>
                <c:formatCode>General</c:formatCode>
                <c:ptCount val="4"/>
                <c:pt idx="0">
                  <c:v>4945</c:v>
                </c:pt>
                <c:pt idx="1">
                  <c:v>7528</c:v>
                </c:pt>
                <c:pt idx="2">
                  <c:v>17476</c:v>
                </c:pt>
                <c:pt idx="3">
                  <c:v>12571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C45-4702-B530-A28442728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3289712"/>
        <c:axId val="1283268592"/>
      </c:scatterChart>
      <c:valAx>
        <c:axId val="1283289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268592"/>
        <c:crosses val="autoZero"/>
        <c:crossBetween val="midCat"/>
      </c:valAx>
      <c:valAx>
        <c:axId val="128326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289712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ACR Calibration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ACR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'Solubility tests'!$B$9:$B$12</c:f>
              <c:numCache>
                <c:formatCode>General</c:formatCode>
                <c:ptCount val="4"/>
                <c:pt idx="0">
                  <c:v>25.12</c:v>
                </c:pt>
                <c:pt idx="1">
                  <c:v>50.24</c:v>
                </c:pt>
                <c:pt idx="2">
                  <c:v>75.36</c:v>
                </c:pt>
                <c:pt idx="3">
                  <c:v>100.48</c:v>
                </c:pt>
              </c:numCache>
            </c:numRef>
          </c:xVal>
          <c:yVal>
            <c:numRef>
              <c:f>'Solubility tests'!$C$9:$C$12</c:f>
              <c:numCache>
                <c:formatCode>General</c:formatCode>
                <c:ptCount val="4"/>
                <c:pt idx="0">
                  <c:v>8946</c:v>
                </c:pt>
                <c:pt idx="1">
                  <c:v>13807</c:v>
                </c:pt>
                <c:pt idx="2">
                  <c:v>14198</c:v>
                </c:pt>
                <c:pt idx="3">
                  <c:v>17628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55-4A6C-B45F-31A7A0CD2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3289712"/>
        <c:axId val="1283268592"/>
      </c:scatterChart>
      <c:valAx>
        <c:axId val="1283289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268592"/>
        <c:crosses val="autoZero"/>
        <c:crossBetween val="midCat"/>
      </c:valAx>
      <c:valAx>
        <c:axId val="128326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289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in 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(2)'!$I$18,'Total Values (Molar Ratio) (2)'!$I$27)</c:f>
              <c:numCache>
                <c:formatCode>0.00%</c:formatCode>
                <c:ptCount val="2"/>
                <c:pt idx="0">
                  <c:v>0.34183802948984898</c:v>
                </c:pt>
                <c:pt idx="1">
                  <c:v>0.53087913192421721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0-4A46-98B2-C9CFA8059CC2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(2)'!$C$21,'Total Values (Molar Ratio) (2)'!$C$30)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0-4A46-98B2-C9CFA8059CC2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(2)'!$C$20,'Total Values (Molar Ratio) (2)'!$C$29)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C0-4A46-98B2-C9CFA8059CC2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(2)'!$C$19,'Total Values (Molar Ratio) (2)'!$C$28)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C0-4A46-98B2-C9CFA8059CC2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(2)'!$C$18,'Total Values (Molar Ratio) (2)'!$C$27)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C0-4A46-98B2-C9CFA805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chemeClr val="accent3">
                  <a:shade val="50000"/>
                </a:schemeClr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3">
                  <a:shade val="50000"/>
                </a:schemeClr>
              </a:solidFill>
              <a:ln w="9525">
                <a:solidFill>
                  <a:schemeClr val="accent3">
                    <a:shade val="50000"/>
                  </a:schemeClr>
                </a:solidFill>
              </a:ln>
              <a:effectLst/>
            </c:spPr>
          </c:marker>
          <c:val>
            <c:numRef>
              <c:f>('Total Values (Molar Ratio) (2)'!$C$17,'Total Values (Molar Ratio) (2)'!$C$26)</c:f>
              <c:numCache>
                <c:formatCode>0.00%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4C0-4A46-98B2-C9CFA805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 in </a:t>
            </a:r>
            <a:r>
              <a:rPr lang="en-GB" sz="2000" baseline="0"/>
              <a:t>g of explosive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1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(2)'!$L$27,'Total Values (Molar Ratio) (2)'!$L$36)</c:f>
              <c:numCache>
                <c:formatCode>0.00%</c:formatCode>
                <c:ptCount val="2"/>
                <c:pt idx="0">
                  <c:v>2.5810622331466935E-4</c:v>
                </c:pt>
                <c:pt idx="1">
                  <c:v>5.4306722908238057E-5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50-4A8B-B94B-813AFC774755}"/>
            </c:ext>
          </c:extLst>
        </c:ser>
        <c:ser>
          <c:idx val="1"/>
          <c:order val="2"/>
          <c:tx>
            <c:v>Section 4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(2)'!$F$30,'Total Values (Molar Ratio) (2)'!$F$39)</c:f>
              <c:numCache>
                <c:formatCode>0.00%</c:formatCode>
                <c:ptCount val="2"/>
                <c:pt idx="0">
                  <c:v>1.7480795566810137E-2</c:v>
                </c:pt>
                <c:pt idx="1">
                  <c:v>1.5616075081886322E-2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50-4A8B-B94B-813AFC774755}"/>
            </c:ext>
          </c:extLst>
        </c:ser>
        <c:ser>
          <c:idx val="2"/>
          <c:order val="3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(2)'!$F$29,'Total Values (Molar Ratio) (2)'!$F$38)</c:f>
              <c:numCache>
                <c:formatCode>0.00%</c:formatCode>
                <c:ptCount val="2"/>
                <c:pt idx="0">
                  <c:v>2.3895186104244695E-2</c:v>
                </c:pt>
                <c:pt idx="1">
                  <c:v>1.2444199548712211E-2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50-4A8B-B94B-813AFC774755}"/>
            </c:ext>
          </c:extLst>
        </c:ser>
        <c:ser>
          <c:idx val="3"/>
          <c:order val="4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(2)'!$F$28,'Total Values (Molar Ratio) (2)'!$F$37)</c:f>
              <c:numCache>
                <c:formatCode>0.00%</c:formatCode>
                <c:ptCount val="2"/>
                <c:pt idx="0">
                  <c:v>9.537653707212719E-2</c:v>
                </c:pt>
                <c:pt idx="1">
                  <c:v>4.6654857235415778E-2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50-4A8B-B94B-813AFC774755}"/>
            </c:ext>
          </c:extLst>
        </c:ser>
        <c:ser>
          <c:idx val="4"/>
          <c:order val="5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(2)'!$F$27,'Total Values (Molar Ratio) (2)'!$F$36)</c:f>
              <c:numCache>
                <c:formatCode>0.00%</c:formatCode>
                <c:ptCount val="2"/>
                <c:pt idx="0">
                  <c:v>0.1936437227626234</c:v>
                </c:pt>
                <c:pt idx="1">
                  <c:v>0.11655794964415613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50-4A8B-B94B-813AFC774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047456"/>
        <c:axId val="395836848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chemeClr val="accent3">
                  <a:shade val="50000"/>
                </a:schemeClr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3">
                  <a:shade val="50000"/>
                </a:schemeClr>
              </a:solidFill>
              <a:ln w="9525">
                <a:solidFill>
                  <a:schemeClr val="accent3">
                    <a:shade val="50000"/>
                  </a:schemeClr>
                </a:solidFill>
              </a:ln>
              <a:effectLst/>
            </c:spPr>
          </c:marker>
          <c:val>
            <c:numRef>
              <c:f>('Total Values (Molar Ratio) (2)'!$C$26,'Total Values (Molar Ratio) (2)'!$C$35)</c:f>
              <c:numCache>
                <c:formatCode>0.00%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50-4A8B-B94B-813AFC774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047456"/>
        <c:axId val="395836848"/>
      </c:line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 (g)</a:t>
                </a:r>
              </a:p>
            </c:rich>
          </c:tx>
          <c:layout>
            <c:manualLayout>
              <c:xMode val="edge"/>
              <c:yMode val="edge"/>
              <c:x val="1.7560664112388252E-2"/>
              <c:y val="0.42038794689834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NTO</a:t>
            </a:r>
            <a:r>
              <a:rPr lang="en-GB" sz="2000" baseline="0"/>
              <a:t> recovered from sand and water 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(2)'!$I$18,'Total Values (Molar Ratio) (2)'!$I$27)</c:f>
              <c:numCache>
                <c:formatCode>0.00%</c:formatCode>
                <c:ptCount val="2"/>
                <c:pt idx="0">
                  <c:v>0.34183802948984898</c:v>
                </c:pt>
                <c:pt idx="1">
                  <c:v>0.53087913192421721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80-41F4-8FB0-ADE215EBFE22}"/>
            </c:ext>
          </c:extLst>
        </c:ser>
        <c:ser>
          <c:idx val="1"/>
          <c:order val="1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(2)'!$C$21,'Total Values (Molar Ratio) (2)'!$C$30)</c:f>
              <c:numCache>
                <c:formatCode>0.00%</c:formatCode>
                <c:ptCount val="2"/>
                <c:pt idx="0">
                  <c:v>0</c:v>
                </c:pt>
                <c:pt idx="1">
                  <c:v>6.8482123342822278E-4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80-41F4-8FB0-ADE215EBFE22}"/>
            </c:ext>
          </c:extLst>
        </c:ser>
        <c:ser>
          <c:idx val="2"/>
          <c:order val="2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(2)'!$C$20,'Total Values (Molar Ratio) (2)'!$C$29)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80-41F4-8FB0-ADE215EBFE22}"/>
            </c:ext>
          </c:extLst>
        </c:ser>
        <c:ser>
          <c:idx val="3"/>
          <c:order val="3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(2)'!$C$19,'Total Values (Molar Ratio) (2)'!$C$28)</c:f>
              <c:numCache>
                <c:formatCode>0.00%</c:formatCode>
                <c:ptCount val="2"/>
                <c:pt idx="0">
                  <c:v>0</c:v>
                </c:pt>
                <c:pt idx="1">
                  <c:v>5.7491576979188156E-4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80-41F4-8FB0-ADE215EBFE22}"/>
            </c:ext>
          </c:extLst>
        </c:ser>
        <c:ser>
          <c:idx val="4"/>
          <c:order val="4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"/>
              <c:pt idx="0">
                <c:v>NTO</c:v>
              </c:pt>
              <c:pt idx="1">
                <c:v> NTO:ACR</c:v>
              </c:pt>
              <c:pt idx="2">
                <c:v> ACR</c:v>
              </c:pt>
            </c:strLit>
          </c:cat>
          <c:val>
            <c:numRef>
              <c:f>('Total Values (Molar Ratio) (2)'!$C$18,'Total Values (Molar Ratio) (2)'!$C$27)</c:f>
              <c:numCache>
                <c:formatCode>0.00%</c:formatCode>
                <c:ptCount val="2"/>
                <c:pt idx="0">
                  <c:v>6.2015079642250258E-4</c:v>
                </c:pt>
                <c:pt idx="1">
                  <c:v>1.151134007708271E-2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80-41F4-8FB0-ADE215EBF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Mass Fraction of NTO recovered (wt.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ACR recovered</a:t>
            </a:r>
            <a:r>
              <a:rPr lang="en-GB" sz="2000" baseline="0"/>
              <a:t> from sand and water</a:t>
            </a:r>
          </a:p>
          <a:p>
            <a:pPr>
              <a:defRPr sz="2000"/>
            </a:pPr>
            <a:endParaRPr lang="en-GB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v>Exp in Water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(2)'!$L$27,'Total Values (Molar Ratio) (2)'!$L$36)</c:f>
              <c:numCache>
                <c:formatCode>0.00%</c:formatCode>
                <c:ptCount val="2"/>
                <c:pt idx="0">
                  <c:v>2.5810622331466935E-4</c:v>
                </c:pt>
                <c:pt idx="1">
                  <c:v>5.4306722908238057E-5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1-42BC-A5AE-34D589434747}"/>
            </c:ext>
          </c:extLst>
        </c:ser>
        <c:ser>
          <c:idx val="1"/>
          <c:order val="1"/>
          <c:tx>
            <c:v>Section 4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(2)'!$F$30,'Total Values (Molar Ratio) (2)'!$F$39)</c:f>
              <c:numCache>
                <c:formatCode>0.00%</c:formatCode>
                <c:ptCount val="2"/>
                <c:pt idx="0">
                  <c:v>1.7480795566810137E-2</c:v>
                </c:pt>
                <c:pt idx="1">
                  <c:v>1.5616075081886322E-2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11-42BC-A5AE-34D589434747}"/>
            </c:ext>
          </c:extLst>
        </c:ser>
        <c:ser>
          <c:idx val="2"/>
          <c:order val="2"/>
          <c:tx>
            <c:v>Section 3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(2)'!$F$29,'Total Values (Molar Ratio) (2)'!$F$38)</c:f>
              <c:numCache>
                <c:formatCode>0.00%</c:formatCode>
                <c:ptCount val="2"/>
                <c:pt idx="0">
                  <c:v>2.3895186104244695E-2</c:v>
                </c:pt>
                <c:pt idx="1">
                  <c:v>1.2444199548712211E-2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11-42BC-A5AE-34D589434747}"/>
            </c:ext>
          </c:extLst>
        </c:ser>
        <c:ser>
          <c:idx val="3"/>
          <c:order val="3"/>
          <c:tx>
            <c:v>Section 2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(2)'!$F$28,'Total Values (Molar Ratio) (2)'!$F$37)</c:f>
              <c:numCache>
                <c:formatCode>0.00%</c:formatCode>
                <c:ptCount val="2"/>
                <c:pt idx="0">
                  <c:v>9.537653707212719E-2</c:v>
                </c:pt>
                <c:pt idx="1">
                  <c:v>4.6654857235415778E-2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11-42BC-A5AE-34D589434747}"/>
            </c:ext>
          </c:extLst>
        </c:ser>
        <c:ser>
          <c:idx val="4"/>
          <c:order val="4"/>
          <c:tx>
            <c:v>Section 1</c:v>
          </c:tx>
          <c:spPr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'Total Values (Molar Ratio) (2)'!$A$52:$A$53</c:f>
              <c:strCache>
                <c:ptCount val="2"/>
                <c:pt idx="0">
                  <c:v>NTO:ACR</c:v>
                </c:pt>
                <c:pt idx="1">
                  <c:v>ACR</c:v>
                </c:pt>
              </c:strCache>
            </c:strRef>
          </c:cat>
          <c:val>
            <c:numRef>
              <c:f>('Total Values (Molar Ratio) (2)'!$F$27,'Total Values (Molar Ratio) (2)'!$F$36)</c:f>
              <c:numCache>
                <c:formatCode>0.00%</c:formatCode>
                <c:ptCount val="2"/>
                <c:pt idx="0">
                  <c:v>0.1936437227626234</c:v>
                </c:pt>
                <c:pt idx="1">
                  <c:v>0.11655794964415613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11-42BC-A5AE-34D5894347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49047456"/>
        <c:axId val="395836848"/>
      </c:barChart>
      <c:catAx>
        <c:axId val="2490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36848"/>
        <c:crosses val="autoZero"/>
        <c:auto val="1"/>
        <c:lblAlgn val="ctr"/>
        <c:lblOffset val="100"/>
        <c:noMultiLvlLbl val="0"/>
      </c:catAx>
      <c:valAx>
        <c:axId val="39583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</a:t>
                </a:r>
                <a:r>
                  <a:rPr lang="en-GB" baseline="0"/>
                  <a:t> Fraction of ACR recovered (wt. %)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1.4375629798479578E-2"/>
              <c:y val="0.328577591134253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0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13" Type="http://schemas.openxmlformats.org/officeDocument/2006/relationships/chart" Target="../charts/chart26.xml"/><Relationship Id="rId18" Type="http://schemas.openxmlformats.org/officeDocument/2006/relationships/chart" Target="../charts/chart3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12" Type="http://schemas.openxmlformats.org/officeDocument/2006/relationships/chart" Target="../charts/chart25.xml"/><Relationship Id="rId17" Type="http://schemas.openxmlformats.org/officeDocument/2006/relationships/chart" Target="../charts/chart30.xml"/><Relationship Id="rId2" Type="http://schemas.openxmlformats.org/officeDocument/2006/relationships/chart" Target="../charts/chart15.xml"/><Relationship Id="rId16" Type="http://schemas.openxmlformats.org/officeDocument/2006/relationships/chart" Target="../charts/chart29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11" Type="http://schemas.openxmlformats.org/officeDocument/2006/relationships/chart" Target="../charts/chart24.xml"/><Relationship Id="rId5" Type="http://schemas.openxmlformats.org/officeDocument/2006/relationships/chart" Target="../charts/chart18.xml"/><Relationship Id="rId15" Type="http://schemas.openxmlformats.org/officeDocument/2006/relationships/chart" Target="../charts/chart28.xml"/><Relationship Id="rId10" Type="http://schemas.openxmlformats.org/officeDocument/2006/relationships/chart" Target="../charts/chart23.xml"/><Relationship Id="rId19" Type="http://schemas.openxmlformats.org/officeDocument/2006/relationships/chart" Target="../charts/chart32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Relationship Id="rId14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8.xml"/><Relationship Id="rId3" Type="http://schemas.openxmlformats.org/officeDocument/2006/relationships/chart" Target="../charts/chart43.xml"/><Relationship Id="rId7" Type="http://schemas.openxmlformats.org/officeDocument/2006/relationships/chart" Target="../charts/chart47.xml"/><Relationship Id="rId12" Type="http://schemas.openxmlformats.org/officeDocument/2006/relationships/chart" Target="../charts/chart52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6.xml"/><Relationship Id="rId11" Type="http://schemas.openxmlformats.org/officeDocument/2006/relationships/chart" Target="../charts/chart51.xml"/><Relationship Id="rId5" Type="http://schemas.openxmlformats.org/officeDocument/2006/relationships/chart" Target="../charts/chart45.xml"/><Relationship Id="rId10" Type="http://schemas.openxmlformats.org/officeDocument/2006/relationships/chart" Target="../charts/chart50.xml"/><Relationship Id="rId4" Type="http://schemas.openxmlformats.org/officeDocument/2006/relationships/chart" Target="../charts/chart44.xml"/><Relationship Id="rId9" Type="http://schemas.openxmlformats.org/officeDocument/2006/relationships/chart" Target="../charts/chart4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165735</xdr:colOff>
      <xdr:row>0</xdr:row>
      <xdr:rowOff>36195</xdr:rowOff>
    </xdr:from>
    <xdr:to>
      <xdr:col>23</xdr:col>
      <xdr:colOff>470535</xdr:colOff>
      <xdr:row>15</xdr:row>
      <xdr:rowOff>36195</xdr:rowOff>
    </xdr:to>
    <xdr:graphicFrame macro="">
      <xdr:nvGraphicFramePr>
        <xdr:cNvPr id="23" name="Chart 1">
          <a:extLst>
            <a:ext uri="{FF2B5EF4-FFF2-40B4-BE49-F238E27FC236}">
              <a16:creationId xmlns:a16="http://schemas.microsoft.com/office/drawing/2014/main" id="{5BAB908E-5924-4C04-AD0A-DA5293276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38100</xdr:colOff>
      <xdr:row>0</xdr:row>
      <xdr:rowOff>22860</xdr:rowOff>
    </xdr:from>
    <xdr:to>
      <xdr:col>31</xdr:col>
      <xdr:colOff>342900</xdr:colOff>
      <xdr:row>15</xdr:row>
      <xdr:rowOff>22860</xdr:rowOff>
    </xdr:to>
    <xdr:graphicFrame macro="">
      <xdr:nvGraphicFramePr>
        <xdr:cNvPr id="27" name="Chart 2">
          <a:extLst>
            <a:ext uri="{FF2B5EF4-FFF2-40B4-BE49-F238E27FC236}">
              <a16:creationId xmlns:a16="http://schemas.microsoft.com/office/drawing/2014/main" id="{E0238147-93AC-4D00-B26F-678DD0C951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706483</xdr:colOff>
      <xdr:row>17</xdr:row>
      <xdr:rowOff>132805</xdr:rowOff>
    </xdr:from>
    <xdr:to>
      <xdr:col>27</xdr:col>
      <xdr:colOff>500743</xdr:colOff>
      <xdr:row>48</xdr:row>
      <xdr:rowOff>189956</xdr:rowOff>
    </xdr:to>
    <xdr:graphicFrame macro="">
      <xdr:nvGraphicFramePr>
        <xdr:cNvPr id="33" name="Chart 3">
          <a:extLst>
            <a:ext uri="{FF2B5EF4-FFF2-40B4-BE49-F238E27FC236}">
              <a16:creationId xmlns:a16="http://schemas.microsoft.com/office/drawing/2014/main" id="{F288E2B7-A5CB-4219-B1F3-A4B5D45E9E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547687</xdr:colOff>
      <xdr:row>18</xdr:row>
      <xdr:rowOff>166687</xdr:rowOff>
    </xdr:from>
    <xdr:to>
      <xdr:col>41</xdr:col>
      <xdr:colOff>585788</xdr:colOff>
      <xdr:row>50</xdr:row>
      <xdr:rowOff>27624</xdr:rowOff>
    </xdr:to>
    <xdr:graphicFrame macro="">
      <xdr:nvGraphicFramePr>
        <xdr:cNvPr id="39" name="Chart 4">
          <a:extLst>
            <a:ext uri="{FF2B5EF4-FFF2-40B4-BE49-F238E27FC236}">
              <a16:creationId xmlns:a16="http://schemas.microsoft.com/office/drawing/2014/main" id="{1329CA50-C04A-4D36-8418-58E0C85F7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43</xdr:col>
      <xdr:colOff>0</xdr:colOff>
      <xdr:row>19</xdr:row>
      <xdr:rowOff>0</xdr:rowOff>
    </xdr:from>
    <xdr:to>
      <xdr:col>56</xdr:col>
      <xdr:colOff>38100</xdr:colOff>
      <xdr:row>50</xdr:row>
      <xdr:rowOff>41434</xdr:rowOff>
    </xdr:to>
    <xdr:graphicFrame macro="">
      <xdr:nvGraphicFramePr>
        <xdr:cNvPr id="45" name="Chart 5">
          <a:extLst>
            <a:ext uri="{FF2B5EF4-FFF2-40B4-BE49-F238E27FC236}">
              <a16:creationId xmlns:a16="http://schemas.microsoft.com/office/drawing/2014/main" id="{A237183C-62A5-48B5-97F5-1D405EB5B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523874</xdr:colOff>
      <xdr:row>51</xdr:row>
      <xdr:rowOff>154781</xdr:rowOff>
    </xdr:from>
    <xdr:to>
      <xdr:col>41</xdr:col>
      <xdr:colOff>561975</xdr:colOff>
      <xdr:row>84</xdr:row>
      <xdr:rowOff>93348</xdr:rowOff>
    </xdr:to>
    <xdr:graphicFrame macro="">
      <xdr:nvGraphicFramePr>
        <xdr:cNvPr id="51" name="Chart 6">
          <a:extLst>
            <a:ext uri="{FF2B5EF4-FFF2-40B4-BE49-F238E27FC236}">
              <a16:creationId xmlns:a16="http://schemas.microsoft.com/office/drawing/2014/main" id="{DA55FAAA-0649-49B4-AB10-9FF182EC5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42</xdr:col>
      <xdr:colOff>392907</xdr:colOff>
      <xdr:row>51</xdr:row>
      <xdr:rowOff>107155</xdr:rowOff>
    </xdr:from>
    <xdr:to>
      <xdr:col>55</xdr:col>
      <xdr:colOff>431007</xdr:colOff>
      <xdr:row>84</xdr:row>
      <xdr:rowOff>55245</xdr:rowOff>
    </xdr:to>
    <xdr:graphicFrame macro="">
      <xdr:nvGraphicFramePr>
        <xdr:cNvPr id="57" name="Chart 7">
          <a:extLst>
            <a:ext uri="{FF2B5EF4-FFF2-40B4-BE49-F238E27FC236}">
              <a16:creationId xmlns:a16="http://schemas.microsoft.com/office/drawing/2014/main" id="{07C81B67-42DE-469E-B26B-3F700DED4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571500</xdr:colOff>
      <xdr:row>85</xdr:row>
      <xdr:rowOff>103346</xdr:rowOff>
    </xdr:from>
    <xdr:to>
      <xdr:col>41</xdr:col>
      <xdr:colOff>597656</xdr:colOff>
      <xdr:row>117</xdr:row>
      <xdr:rowOff>150251</xdr:rowOff>
    </xdr:to>
    <xdr:graphicFrame macro="">
      <xdr:nvGraphicFramePr>
        <xdr:cNvPr id="121" name="Chart 8">
          <a:extLst>
            <a:ext uri="{FF2B5EF4-FFF2-40B4-BE49-F238E27FC236}">
              <a16:creationId xmlns:a16="http://schemas.microsoft.com/office/drawing/2014/main" id="{6A565F3F-6402-48C1-9E0E-01C62E526B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42</xdr:col>
      <xdr:colOff>416719</xdr:colOff>
      <xdr:row>85</xdr:row>
      <xdr:rowOff>154782</xdr:rowOff>
    </xdr:from>
    <xdr:to>
      <xdr:col>55</xdr:col>
      <xdr:colOff>442875</xdr:colOff>
      <xdr:row>118</xdr:row>
      <xdr:rowOff>17378</xdr:rowOff>
    </xdr:to>
    <xdr:graphicFrame macro="">
      <xdr:nvGraphicFramePr>
        <xdr:cNvPr id="122" name="Chart 9">
          <a:extLst>
            <a:ext uri="{FF2B5EF4-FFF2-40B4-BE49-F238E27FC236}">
              <a16:creationId xmlns:a16="http://schemas.microsoft.com/office/drawing/2014/main" id="{E9BF6F83-8CE1-496B-ADD8-FDF5030B09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29</xdr:col>
      <xdr:colOff>0</xdr:colOff>
      <xdr:row>120</xdr:row>
      <xdr:rowOff>47625</xdr:rowOff>
    </xdr:from>
    <xdr:to>
      <xdr:col>42</xdr:col>
      <xdr:colOff>18537</xdr:colOff>
      <xdr:row>152</xdr:row>
      <xdr:rowOff>98340</xdr:rowOff>
    </xdr:to>
    <xdr:graphicFrame macro="">
      <xdr:nvGraphicFramePr>
        <xdr:cNvPr id="119" name="Chart 10">
          <a:extLst>
            <a:ext uri="{FF2B5EF4-FFF2-40B4-BE49-F238E27FC236}">
              <a16:creationId xmlns:a16="http://schemas.microsoft.com/office/drawing/2014/main" id="{E28E292D-A6EE-43EA-91D4-8E53813F67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42</xdr:col>
      <xdr:colOff>266700</xdr:colOff>
      <xdr:row>120</xdr:row>
      <xdr:rowOff>38100</xdr:rowOff>
    </xdr:from>
    <xdr:to>
      <xdr:col>55</xdr:col>
      <xdr:colOff>292856</xdr:colOff>
      <xdr:row>152</xdr:row>
      <xdr:rowOff>78496</xdr:rowOff>
    </xdr:to>
    <xdr:graphicFrame macro="">
      <xdr:nvGraphicFramePr>
        <xdr:cNvPr id="120" name="Chart 11">
          <a:extLst>
            <a:ext uri="{FF2B5EF4-FFF2-40B4-BE49-F238E27FC236}">
              <a16:creationId xmlns:a16="http://schemas.microsoft.com/office/drawing/2014/main" id="{FA69C36B-E7AA-4A02-98DE-0D71078F1C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</xdr:colOff>
      <xdr:row>0</xdr:row>
      <xdr:rowOff>156210</xdr:rowOff>
    </xdr:from>
    <xdr:to>
      <xdr:col>16</xdr:col>
      <xdr:colOff>327660</xdr:colOff>
      <xdr:row>17</xdr:row>
      <xdr:rowOff>156210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672B57-031D-286B-1241-D321294941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525780</xdr:colOff>
      <xdr:row>1</xdr:row>
      <xdr:rowOff>15240</xdr:rowOff>
    </xdr:from>
    <xdr:to>
      <xdr:col>24</xdr:col>
      <xdr:colOff>220980</xdr:colOff>
      <xdr:row>18</xdr:row>
      <xdr:rowOff>15240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559D4FB-F5DF-43A2-985D-7D57CEEF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479611</xdr:colOff>
      <xdr:row>22</xdr:row>
      <xdr:rowOff>71717</xdr:rowOff>
    </xdr:from>
    <xdr:to>
      <xdr:col>20</xdr:col>
      <xdr:colOff>49305</xdr:colOff>
      <xdr:row>37</xdr:row>
      <xdr:rowOff>125505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8E2699C-C109-2294-99DA-426622CE28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106232</xdr:colOff>
      <xdr:row>15</xdr:row>
      <xdr:rowOff>41461</xdr:rowOff>
    </xdr:from>
    <xdr:to>
      <xdr:col>70</xdr:col>
      <xdr:colOff>406550</xdr:colOff>
      <xdr:row>30</xdr:row>
      <xdr:rowOff>108361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789937-2EF2-4D56-A8D4-73730507B4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672689</xdr:colOff>
      <xdr:row>22</xdr:row>
      <xdr:rowOff>28462</xdr:rowOff>
    </xdr:from>
    <xdr:to>
      <xdr:col>22</xdr:col>
      <xdr:colOff>450813</xdr:colOff>
      <xdr:row>37</xdr:row>
      <xdr:rowOff>80345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93C8949-53EF-4E8E-AC95-447404F52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63</xdr:col>
      <xdr:colOff>8965</xdr:colOff>
      <xdr:row>2</xdr:row>
      <xdr:rowOff>116541</xdr:rowOff>
    </xdr:from>
    <xdr:to>
      <xdr:col>70</xdr:col>
      <xdr:colOff>313765</xdr:colOff>
      <xdr:row>14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CD0FE4F-02BE-4EE1-80D7-133AC201FD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0</xdr:colOff>
      <xdr:row>40</xdr:row>
      <xdr:rowOff>0</xdr:rowOff>
    </xdr:from>
    <xdr:to>
      <xdr:col>24</xdr:col>
      <xdr:colOff>304800</xdr:colOff>
      <xdr:row>55</xdr:row>
      <xdr:rowOff>53788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1DEBBA-5302-4E13-A460-97E350E854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70</xdr:col>
      <xdr:colOff>444425</xdr:colOff>
      <xdr:row>2</xdr:row>
      <xdr:rowOff>111387</xdr:rowOff>
    </xdr:from>
    <xdr:to>
      <xdr:col>78</xdr:col>
      <xdr:colOff>183104</xdr:colOff>
      <xdr:row>14</xdr:row>
      <xdr:rowOff>150159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73D222-579A-F940-CC5E-30EE9A0FB5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78</xdr:col>
      <xdr:colOff>392207</xdr:colOff>
      <xdr:row>2</xdr:row>
      <xdr:rowOff>112059</xdr:rowOff>
    </xdr:from>
    <xdr:to>
      <xdr:col>86</xdr:col>
      <xdr:colOff>132791</xdr:colOff>
      <xdr:row>14</xdr:row>
      <xdr:rowOff>150831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F8C7889-2C93-4BF8-A187-3D4AC775D5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70</xdr:col>
      <xdr:colOff>493058</xdr:colOff>
      <xdr:row>16</xdr:row>
      <xdr:rowOff>1905</xdr:rowOff>
    </xdr:from>
    <xdr:to>
      <xdr:col>78</xdr:col>
      <xdr:colOff>235547</xdr:colOff>
      <xdr:row>31</xdr:row>
      <xdr:rowOff>51883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9D7336F-63CD-4F12-9CB9-8B331E4A5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78</xdr:col>
      <xdr:colOff>461347</xdr:colOff>
      <xdr:row>15</xdr:row>
      <xdr:rowOff>136375</xdr:rowOff>
    </xdr:from>
    <xdr:to>
      <xdr:col>86</xdr:col>
      <xdr:colOff>200026</xdr:colOff>
      <xdr:row>31</xdr:row>
      <xdr:rowOff>5154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82E70AC-D4B2-4DAD-96A5-037E327E9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52</xdr:col>
      <xdr:colOff>313765</xdr:colOff>
      <xdr:row>36</xdr:row>
      <xdr:rowOff>11206</xdr:rowOff>
    </xdr:from>
    <xdr:to>
      <xdr:col>60</xdr:col>
      <xdr:colOff>7060</xdr:colOff>
      <xdr:row>51</xdr:row>
      <xdr:rowOff>64995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C8F7881-9AE8-402B-B0EC-F1AFD27CA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86</xdr:col>
      <xdr:colOff>224118</xdr:colOff>
      <xdr:row>2</xdr:row>
      <xdr:rowOff>112059</xdr:rowOff>
    </xdr:from>
    <xdr:to>
      <xdr:col>93</xdr:col>
      <xdr:colOff>573629</xdr:colOff>
      <xdr:row>14</xdr:row>
      <xdr:rowOff>150831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9AEF6DA-945F-4FC0-A88C-20B04F662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86</xdr:col>
      <xdr:colOff>291353</xdr:colOff>
      <xdr:row>15</xdr:row>
      <xdr:rowOff>145676</xdr:rowOff>
    </xdr:from>
    <xdr:to>
      <xdr:col>94</xdr:col>
      <xdr:colOff>30032</xdr:colOff>
      <xdr:row>31</xdr:row>
      <xdr:rowOff>23980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B42E6F6A-B9B8-4C01-84C2-6F2EAB0D8D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70</xdr:col>
      <xdr:colOff>504265</xdr:colOff>
      <xdr:row>33</xdr:row>
      <xdr:rowOff>56029</xdr:rowOff>
    </xdr:from>
    <xdr:to>
      <xdr:col>78</xdr:col>
      <xdr:colOff>244849</xdr:colOff>
      <xdr:row>50</xdr:row>
      <xdr:rowOff>113403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36B970D8-09AE-4C8A-8B3E-DD1DB437FD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78</xdr:col>
      <xdr:colOff>526676</xdr:colOff>
      <xdr:row>33</xdr:row>
      <xdr:rowOff>33617</xdr:rowOff>
    </xdr:from>
    <xdr:to>
      <xdr:col>86</xdr:col>
      <xdr:colOff>271070</xdr:colOff>
      <xdr:row>50</xdr:row>
      <xdr:rowOff>90991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9D23CB82-A9DF-4DCA-A13B-1C155D7AD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86</xdr:col>
      <xdr:colOff>414618</xdr:colOff>
      <xdr:row>33</xdr:row>
      <xdr:rowOff>22411</xdr:rowOff>
    </xdr:from>
    <xdr:to>
      <xdr:col>94</xdr:col>
      <xdr:colOff>164727</xdr:colOff>
      <xdr:row>50</xdr:row>
      <xdr:rowOff>81690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13295A3C-E069-4545-8F39-852838F1BC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70</xdr:col>
      <xdr:colOff>518584</xdr:colOff>
      <xdr:row>52</xdr:row>
      <xdr:rowOff>31750</xdr:rowOff>
    </xdr:from>
    <xdr:to>
      <xdr:col>78</xdr:col>
      <xdr:colOff>264883</xdr:colOff>
      <xdr:row>69</xdr:row>
      <xdr:rowOff>89124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1D624065-C98F-43B1-8C06-6BA6A3DA0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79</xdr:col>
      <xdr:colOff>19050</xdr:colOff>
      <xdr:row>52</xdr:row>
      <xdr:rowOff>9525</xdr:rowOff>
    </xdr:from>
    <xdr:to>
      <xdr:col>86</xdr:col>
      <xdr:colOff>382569</xdr:colOff>
      <xdr:row>69</xdr:row>
      <xdr:rowOff>68804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C6EAEAE6-E2D4-493A-A4A1-A6DAA47B9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86</xdr:col>
      <xdr:colOff>600075</xdr:colOff>
      <xdr:row>52</xdr:row>
      <xdr:rowOff>9525</xdr:rowOff>
    </xdr:from>
    <xdr:to>
      <xdr:col>94</xdr:col>
      <xdr:colOff>353994</xdr:colOff>
      <xdr:row>69</xdr:row>
      <xdr:rowOff>68804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8E458D6C-0DD4-4919-874B-F7CA050D74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63</xdr:col>
      <xdr:colOff>9525</xdr:colOff>
      <xdr:row>32</xdr:row>
      <xdr:rowOff>49530</xdr:rowOff>
    </xdr:from>
    <xdr:to>
      <xdr:col>70</xdr:col>
      <xdr:colOff>304128</xdr:colOff>
      <xdr:row>52</xdr:row>
      <xdr:rowOff>124050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443A13CC-BD2E-4A58-94DC-9A14FCB455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165735</xdr:colOff>
      <xdr:row>0</xdr:row>
      <xdr:rowOff>36195</xdr:rowOff>
    </xdr:from>
    <xdr:to>
      <xdr:col>15</xdr:col>
      <xdr:colOff>470535</xdr:colOff>
      <xdr:row>15</xdr:row>
      <xdr:rowOff>36195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5439F82-0675-6EC1-861A-C2228AD859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38100</xdr:colOff>
      <xdr:row>0</xdr:row>
      <xdr:rowOff>22860</xdr:rowOff>
    </xdr:from>
    <xdr:to>
      <xdr:col>23</xdr:col>
      <xdr:colOff>342900</xdr:colOff>
      <xdr:row>15</xdr:row>
      <xdr:rowOff>22860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7B1883-E929-4DD1-935D-D2BD8370A2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706483</xdr:colOff>
      <xdr:row>17</xdr:row>
      <xdr:rowOff>132805</xdr:rowOff>
    </xdr:from>
    <xdr:to>
      <xdr:col>19</xdr:col>
      <xdr:colOff>500743</xdr:colOff>
      <xdr:row>48</xdr:row>
      <xdr:rowOff>189956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1943062-645C-C5BA-9D92-A7FF9CC866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547687</xdr:colOff>
      <xdr:row>18</xdr:row>
      <xdr:rowOff>166687</xdr:rowOff>
    </xdr:from>
    <xdr:to>
      <xdr:col>33</xdr:col>
      <xdr:colOff>585788</xdr:colOff>
      <xdr:row>50</xdr:row>
      <xdr:rowOff>27624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BBCD05-4A9B-47AD-A5A8-E53361A71A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35</xdr:col>
      <xdr:colOff>0</xdr:colOff>
      <xdr:row>19</xdr:row>
      <xdr:rowOff>0</xdr:rowOff>
    </xdr:from>
    <xdr:to>
      <xdr:col>48</xdr:col>
      <xdr:colOff>38100</xdr:colOff>
      <xdr:row>50</xdr:row>
      <xdr:rowOff>41434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6007C13-4C5C-471E-BBE4-90D6369AAB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165735</xdr:colOff>
      <xdr:row>0</xdr:row>
      <xdr:rowOff>36195</xdr:rowOff>
    </xdr:from>
    <xdr:to>
      <xdr:col>15</xdr:col>
      <xdr:colOff>470535</xdr:colOff>
      <xdr:row>15</xdr:row>
      <xdr:rowOff>36195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159C31-6EE8-4478-BC92-D8E204FD9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38100</xdr:colOff>
      <xdr:row>0</xdr:row>
      <xdr:rowOff>22860</xdr:rowOff>
    </xdr:from>
    <xdr:to>
      <xdr:col>23</xdr:col>
      <xdr:colOff>342900</xdr:colOff>
      <xdr:row>15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6ED4BB-A722-469E-8192-D271116E72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706483</xdr:colOff>
      <xdr:row>17</xdr:row>
      <xdr:rowOff>132805</xdr:rowOff>
    </xdr:from>
    <xdr:to>
      <xdr:col>19</xdr:col>
      <xdr:colOff>500743</xdr:colOff>
      <xdr:row>48</xdr:row>
      <xdr:rowOff>189956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268E61D-E760-4395-A305-4AC603401E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165735</xdr:colOff>
      <xdr:row>0</xdr:row>
      <xdr:rowOff>36195</xdr:rowOff>
    </xdr:from>
    <xdr:to>
      <xdr:col>23</xdr:col>
      <xdr:colOff>470535</xdr:colOff>
      <xdr:row>15</xdr:row>
      <xdr:rowOff>36195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887382-F1E1-4FB4-851E-A73893FB8C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38100</xdr:colOff>
      <xdr:row>0</xdr:row>
      <xdr:rowOff>22860</xdr:rowOff>
    </xdr:from>
    <xdr:to>
      <xdr:col>31</xdr:col>
      <xdr:colOff>342900</xdr:colOff>
      <xdr:row>15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C4D91CF-3D55-4339-892B-05D09D1FB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706483</xdr:colOff>
      <xdr:row>17</xdr:row>
      <xdr:rowOff>132805</xdr:rowOff>
    </xdr:from>
    <xdr:to>
      <xdr:col>27</xdr:col>
      <xdr:colOff>500743</xdr:colOff>
      <xdr:row>48</xdr:row>
      <xdr:rowOff>189956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197FCAF-9628-48FE-9678-77E6423DB7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547687</xdr:colOff>
      <xdr:row>18</xdr:row>
      <xdr:rowOff>166687</xdr:rowOff>
    </xdr:from>
    <xdr:to>
      <xdr:col>41</xdr:col>
      <xdr:colOff>585788</xdr:colOff>
      <xdr:row>50</xdr:row>
      <xdr:rowOff>27624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39026D-6DC0-47CC-8AFD-DC9ABFC1F3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43</xdr:col>
      <xdr:colOff>0</xdr:colOff>
      <xdr:row>19</xdr:row>
      <xdr:rowOff>0</xdr:rowOff>
    </xdr:from>
    <xdr:to>
      <xdr:col>56</xdr:col>
      <xdr:colOff>38100</xdr:colOff>
      <xdr:row>50</xdr:row>
      <xdr:rowOff>41434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438948C-FCA8-4B6B-9B8F-5B57009058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523874</xdr:colOff>
      <xdr:row>51</xdr:row>
      <xdr:rowOff>154781</xdr:rowOff>
    </xdr:from>
    <xdr:to>
      <xdr:col>41</xdr:col>
      <xdr:colOff>561975</xdr:colOff>
      <xdr:row>84</xdr:row>
      <xdr:rowOff>93348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A86AF6C-00A7-44BB-AFAC-3EA3EA617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42</xdr:col>
      <xdr:colOff>392907</xdr:colOff>
      <xdr:row>51</xdr:row>
      <xdr:rowOff>107155</xdr:rowOff>
    </xdr:from>
    <xdr:to>
      <xdr:col>55</xdr:col>
      <xdr:colOff>431007</xdr:colOff>
      <xdr:row>84</xdr:row>
      <xdr:rowOff>55245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5B04232-5CC5-4A78-B9FA-7946568AA8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571500</xdr:colOff>
      <xdr:row>85</xdr:row>
      <xdr:rowOff>103346</xdr:rowOff>
    </xdr:from>
    <xdr:to>
      <xdr:col>41</xdr:col>
      <xdr:colOff>597656</xdr:colOff>
      <xdr:row>117</xdr:row>
      <xdr:rowOff>150251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70BDBDE-768E-491C-A40B-811886FF42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42</xdr:col>
      <xdr:colOff>416719</xdr:colOff>
      <xdr:row>85</xdr:row>
      <xdr:rowOff>154782</xdr:rowOff>
    </xdr:from>
    <xdr:to>
      <xdr:col>55</xdr:col>
      <xdr:colOff>442875</xdr:colOff>
      <xdr:row>118</xdr:row>
      <xdr:rowOff>17378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96447F7-9FE6-461D-BD9E-746CFDF69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28</xdr:col>
      <xdr:colOff>215900</xdr:colOff>
      <xdr:row>119</xdr:row>
      <xdr:rowOff>101600</xdr:rowOff>
    </xdr:from>
    <xdr:to>
      <xdr:col>41</xdr:col>
      <xdr:colOff>234437</xdr:colOff>
      <xdr:row>152</xdr:row>
      <xdr:rowOff>101599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64D572B-C033-45B2-BD3A-B87E7B7AA1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42</xdr:col>
      <xdr:colOff>177800</xdr:colOff>
      <xdr:row>120</xdr:row>
      <xdr:rowOff>88900</xdr:rowOff>
    </xdr:from>
    <xdr:to>
      <xdr:col>55</xdr:col>
      <xdr:colOff>203956</xdr:colOff>
      <xdr:row>152</xdr:row>
      <xdr:rowOff>129296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28BE70D5-509B-45D1-8411-E43E433AB1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11</xdr:col>
      <xdr:colOff>495300</xdr:colOff>
      <xdr:row>112</xdr:row>
      <xdr:rowOff>139700</xdr:rowOff>
    </xdr:from>
    <xdr:to>
      <xdr:col>23</xdr:col>
      <xdr:colOff>450337</xdr:colOff>
      <xdr:row>145</xdr:row>
      <xdr:rowOff>139699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9B363C5C-A923-489A-A89B-910BB784B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158115</xdr:colOff>
      <xdr:row>1</xdr:row>
      <xdr:rowOff>20954</xdr:rowOff>
    </xdr:from>
    <xdr:to>
      <xdr:col>13</xdr:col>
      <xdr:colOff>398146</xdr:colOff>
      <xdr:row>12</xdr:row>
      <xdr:rowOff>135255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E88DE7-93D2-46C1-A18D-2BADCAE472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483870</xdr:colOff>
      <xdr:row>0</xdr:row>
      <xdr:rowOff>177165</xdr:rowOff>
    </xdr:from>
    <xdr:to>
      <xdr:col>21</xdr:col>
      <xdr:colOff>112395</xdr:colOff>
      <xdr:row>12</xdr:row>
      <xdr:rowOff>112395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0E4F84E-3E92-4C4E-B9E4-1BEBD24438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34533-5BCF-4DA2-A401-7BA50D8999FF}">
  <dimension ref="A1:BS89"/>
  <sheetViews>
    <sheetView topLeftCell="AD114" zoomScale="60" zoomScaleNormal="60" workbookViewId="0">
      <selection activeCell="G16" sqref="G16"/>
    </sheetView>
  </sheetViews>
  <sheetFormatPr defaultRowHeight="14.5" x14ac:dyDescent="0.35"/>
  <cols>
    <col min="1" max="1" width="18.1796875" customWidth="1"/>
    <col min="2" max="4" width="12.453125" customWidth="1"/>
    <col min="5" max="5" width="11.7265625" customWidth="1"/>
    <col min="14" max="14" width="15.1796875" customWidth="1"/>
    <col min="15" max="15" width="12.26953125" customWidth="1"/>
    <col min="63" max="63" width="10.54296875" bestFit="1" customWidth="1"/>
  </cols>
  <sheetData>
    <row r="1" spans="1:71" ht="43.5" x14ac:dyDescent="0.35">
      <c r="A1" s="19" t="s">
        <v>0</v>
      </c>
      <c r="B1" s="19" t="s">
        <v>1</v>
      </c>
      <c r="C1" s="19"/>
      <c r="D1" s="19"/>
      <c r="E1" s="19" t="s">
        <v>2</v>
      </c>
      <c r="F1" s="19"/>
      <c r="G1" s="19"/>
      <c r="H1" s="19" t="s">
        <v>3</v>
      </c>
      <c r="I1" s="19"/>
      <c r="J1" s="19"/>
      <c r="K1" s="19" t="s">
        <v>2</v>
      </c>
      <c r="L1" s="19"/>
      <c r="M1" s="19"/>
      <c r="N1" s="19" t="s">
        <v>4</v>
      </c>
      <c r="O1" s="19" t="s">
        <v>5</v>
      </c>
    </row>
    <row r="2" spans="1:71" x14ac:dyDescent="0.35">
      <c r="A2" s="17" t="s">
        <v>6</v>
      </c>
      <c r="B2" s="18">
        <f>AVERAGE('Sand Columns'!T2:T4,'Sand Columns'!T14:T16,'Sand Columns'!T26:T28)</f>
        <v>1.2362786344901544</v>
      </c>
      <c r="C2" s="18"/>
      <c r="D2" s="18"/>
      <c r="E2" s="18">
        <f>AVERAGE('Sand Columns'!U2:U4,'Sand Columns'!U14:U16,'Sand Columns'!U26:U28)/SQRT(3)</f>
        <v>6.8149545790210445E-2</v>
      </c>
      <c r="F2" s="18"/>
      <c r="G2" s="18"/>
      <c r="H2" s="20"/>
      <c r="I2" s="20"/>
      <c r="J2" s="20"/>
      <c r="K2" s="21"/>
      <c r="L2" s="21"/>
      <c r="M2" s="21"/>
      <c r="N2" s="18">
        <f>'Water leachate'!R5</f>
        <v>138.55700787401571</v>
      </c>
      <c r="O2" s="21"/>
    </row>
    <row r="3" spans="1:71" x14ac:dyDescent="0.35">
      <c r="A3" s="17" t="s">
        <v>7</v>
      </c>
      <c r="B3" s="18">
        <f>AVERAGE('Sand Columns'!T5:T7,'Sand Columns'!T17:T19,'Sand Columns'!T29:T31)</f>
        <v>-7.3013023574624858E-2</v>
      </c>
      <c r="C3" s="18"/>
      <c r="D3" s="18"/>
      <c r="E3" s="18">
        <f>AVERAGE('Sand Columns'!U5:U7,'Sand Columns'!U17:U19,'Sand Columns'!U29:U31)/SQRT(3)</f>
        <v>9.7125269080155412E-4</v>
      </c>
      <c r="F3" s="18"/>
      <c r="G3" s="18"/>
      <c r="H3" s="21"/>
      <c r="I3" s="21"/>
      <c r="J3" s="21"/>
      <c r="K3" s="21"/>
      <c r="L3" s="21"/>
      <c r="M3" s="21"/>
      <c r="N3" s="21"/>
      <c r="O3" s="21"/>
      <c r="BL3" s="88"/>
      <c r="BM3" s="88"/>
      <c r="BN3" s="88"/>
      <c r="BO3" s="88"/>
      <c r="BP3" s="88"/>
      <c r="BQ3" s="88"/>
      <c r="BR3" s="88"/>
      <c r="BS3" s="88"/>
    </row>
    <row r="4" spans="1:71" x14ac:dyDescent="0.35">
      <c r="A4" s="17" t="s">
        <v>8</v>
      </c>
      <c r="B4" s="18">
        <f>AVERAGE('Sand Columns'!T8:T10,'Sand Columns'!T20:T22,'Sand Columns'!T32:T34)</f>
        <v>-7.279374205102275E-2</v>
      </c>
      <c r="C4" s="18"/>
      <c r="D4" s="18"/>
      <c r="E4" s="18">
        <f>AVERAGE('Sand Columns'!U8:U10,'Sand Columns'!U20:U22,'Sand Columns'!U32:U34)/SQRT(3)</f>
        <v>5.36758602495604E-4</v>
      </c>
      <c r="F4" s="18"/>
      <c r="G4" s="18"/>
      <c r="H4" s="21"/>
      <c r="I4" s="21"/>
      <c r="J4" s="21"/>
      <c r="K4" s="21"/>
      <c r="L4" s="21"/>
      <c r="M4" s="21"/>
      <c r="N4" s="21"/>
      <c r="O4" s="21"/>
    </row>
    <row r="5" spans="1:71" x14ac:dyDescent="0.35">
      <c r="A5" s="17" t="s">
        <v>9</v>
      </c>
      <c r="B5" s="18">
        <f>AVERAGE('Sand Columns'!T11:T13,'Sand Columns'!T23:T25,'Sand Columns'!T35:T37)</f>
        <v>-7.3182171182410827E-2</v>
      </c>
      <c r="C5" s="18"/>
      <c r="D5" s="18"/>
      <c r="E5" s="18">
        <f>AVERAGE('Sand Columns'!U11:U13,'Sand Columns'!U23:U25,'Sand Columns'!U35:U37)/SQRT(3)</f>
        <v>5.9126187847408204E-4</v>
      </c>
      <c r="F5" s="18"/>
      <c r="G5" s="18"/>
      <c r="H5" s="21"/>
      <c r="I5" s="21"/>
      <c r="J5" s="21"/>
      <c r="K5" s="21"/>
      <c r="L5" s="21"/>
      <c r="M5" s="21"/>
      <c r="N5" s="21"/>
      <c r="O5" s="21"/>
      <c r="BI5" s="88" t="s">
        <v>10</v>
      </c>
      <c r="BJ5" s="88"/>
      <c r="BK5" s="88" t="s">
        <v>11</v>
      </c>
      <c r="BL5" s="88"/>
      <c r="BM5" s="88"/>
      <c r="BN5" s="88"/>
      <c r="BO5" s="88" t="s">
        <v>12</v>
      </c>
      <c r="BP5" s="88"/>
    </row>
    <row r="6" spans="1:71" x14ac:dyDescent="0.35">
      <c r="A6" s="17" t="s">
        <v>13</v>
      </c>
      <c r="B6" s="18">
        <f>AVERAGE('Sand Columns'!T38:T40,'Sand Columns'!T50:T52,'Sand Columns'!T62:T64)</f>
        <v>20.146784866634352</v>
      </c>
      <c r="C6" s="18"/>
      <c r="D6" s="18"/>
      <c r="E6" s="18">
        <f>AVERAGE('Sand Columns'!U38:U40,'Sand Columns'!U50:U52,'Sand Columns'!U62:U64)/SQRT(3)</f>
        <v>2.6430339171238448</v>
      </c>
      <c r="F6" s="18"/>
      <c r="G6" s="18"/>
      <c r="H6" s="18">
        <f>AVERAGE('Sand Columns'!V38:V40,'Sand Columns'!V50:V52,'Sand Columns'!V62:V64)</f>
        <v>151.17036318114435</v>
      </c>
      <c r="I6" s="18"/>
      <c r="J6" s="18"/>
      <c r="K6" s="18">
        <f>AVERAGE('Sand Columns'!W38:W40,'Sand Columns'!W50:W52,'Sand Columns'!W62:W64)/SQRT(3)</f>
        <v>16.821079472723355</v>
      </c>
      <c r="L6" s="18"/>
      <c r="M6" s="18"/>
      <c r="N6" s="18">
        <f>'Water leachate'!R11</f>
        <v>148.75493557623477</v>
      </c>
      <c r="O6" s="18">
        <f>'Water leachate'!S11</f>
        <v>3.0715154342067157E-2</v>
      </c>
      <c r="BI6" t="s">
        <v>14</v>
      </c>
      <c r="BJ6" t="s">
        <v>15</v>
      </c>
      <c r="BK6" t="s">
        <v>14</v>
      </c>
      <c r="BL6" t="s">
        <v>16</v>
      </c>
      <c r="BM6" t="s">
        <v>17</v>
      </c>
      <c r="BN6" t="s">
        <v>16</v>
      </c>
      <c r="BO6" t="s">
        <v>17</v>
      </c>
      <c r="BP6" t="s">
        <v>16</v>
      </c>
    </row>
    <row r="7" spans="1:71" x14ac:dyDescent="0.35">
      <c r="A7" s="17" t="s">
        <v>18</v>
      </c>
      <c r="B7" s="18">
        <f>AVERAGE('Sand Columns'!T41:T43,'Sand Columns'!T53:T55,'Sand Columns'!T65:T67)</f>
        <v>0.75807640588832925</v>
      </c>
      <c r="C7" s="18"/>
      <c r="D7" s="18"/>
      <c r="E7" s="18">
        <f>AVERAGE('Sand Columns'!U41:U43,'Sand Columns'!U53:U55,'Sand Columns'!U65:U67)/SQRT(3)</f>
        <v>0.21438409042338624</v>
      </c>
      <c r="F7" s="18"/>
      <c r="G7" s="18"/>
      <c r="H7" s="18">
        <f>AVERAGE('Sand Columns'!V41:V43,'Sand Columns'!V53:V55,'Sand Columns'!V65:V67)</f>
        <v>51.959518210702157</v>
      </c>
      <c r="I7" s="18"/>
      <c r="J7" s="18"/>
      <c r="K7" s="18">
        <f>AVERAGE('Sand Columns'!W41:W43,'Sand Columns'!W53:W55,'Sand Columns'!W65:W67)/SQRT(3)</f>
        <v>8.5761604291608613</v>
      </c>
      <c r="L7" s="18"/>
      <c r="M7" s="18"/>
      <c r="N7" s="21"/>
      <c r="O7" s="21"/>
      <c r="BF7" s="89" t="s">
        <v>19</v>
      </c>
      <c r="BG7" s="88" t="s">
        <v>20</v>
      </c>
      <c r="BH7" s="88"/>
      <c r="BI7" s="51">
        <f>C18</f>
        <v>6.2015079642250258E-4</v>
      </c>
      <c r="BJ7" s="22">
        <f>((E2/B2)/($B$47*1000))*100</f>
        <v>5.4870512688214588E-3</v>
      </c>
      <c r="BK7" s="51">
        <f>C27</f>
        <v>1.151134007708271E-2</v>
      </c>
      <c r="BL7" s="22">
        <f>(E6/($B$48*1000))*100</f>
        <v>0.26297100528560319</v>
      </c>
      <c r="BM7" s="51">
        <f>F27</f>
        <v>0.1936437227626234</v>
      </c>
      <c r="BN7" s="22">
        <f>(K6/($B$48*1000))*100</f>
        <v>1.6736282309024242</v>
      </c>
      <c r="BO7" s="51">
        <f>F36</f>
        <v>0.11655794964415613</v>
      </c>
      <c r="BP7" s="22">
        <f>(K10/($B$49*1000))*100</f>
        <v>7.1025988530296109</v>
      </c>
    </row>
    <row r="8" spans="1:71" x14ac:dyDescent="0.35">
      <c r="A8" s="17" t="s">
        <v>21</v>
      </c>
      <c r="B8" s="18">
        <f>AVERAGE('Sand Columns'!T44:T46,'Sand Columns'!T56:T58,'Sand Columns'!T68:T70)</f>
        <v>-7.2421437315661905E-2</v>
      </c>
      <c r="C8" s="18"/>
      <c r="D8" s="18"/>
      <c r="E8" s="18">
        <f>AVERAGE('Sand Columns'!U44:U46,'Sand Columns'!U56:U58,'Sand Columns'!U68:U70)/SQRT(3)</f>
        <v>8.2689851141838405E-4</v>
      </c>
      <c r="F8" s="18"/>
      <c r="G8" s="18"/>
      <c r="H8" s="18">
        <f>AVERAGE('Sand Columns'!V44:V46,'Sand Columns'!V56:V58,'Sand Columns'!V68:V70)</f>
        <v>11.620832223673995</v>
      </c>
      <c r="I8" s="18"/>
      <c r="J8" s="18"/>
      <c r="K8" s="18">
        <f>AVERAGE('Sand Columns'!W44:W46,'Sand Columns'!W56:W58,'Sand Columns'!W68:W70)/SQRT(3)</f>
        <v>4.4635061343609053</v>
      </c>
      <c r="L8" s="18"/>
      <c r="M8" s="18"/>
      <c r="N8" s="21"/>
      <c r="O8" s="21"/>
      <c r="BF8" s="89"/>
      <c r="BG8" s="88" t="s">
        <v>22</v>
      </c>
      <c r="BH8" s="88"/>
      <c r="BI8" s="51">
        <f>C19</f>
        <v>0</v>
      </c>
      <c r="BJ8" s="22">
        <f>((E3/B3)/($B$47*1000))*100</f>
        <v>-1.3241107688419329E-3</v>
      </c>
      <c r="BK8" s="51">
        <f>C28</f>
        <v>5.7491576979188156E-4</v>
      </c>
      <c r="BL8" s="22">
        <f>(E7/($B$48*1000))*100</f>
        <v>2.1330335343266005E-2</v>
      </c>
      <c r="BM8" s="51">
        <f>F28</f>
        <v>9.537653707212719E-2</v>
      </c>
      <c r="BN8" s="22">
        <f>(K7/($B$48*1000))*100</f>
        <v>0.85329269327018098</v>
      </c>
      <c r="BO8" s="51">
        <f>F37</f>
        <v>4.6654857235415778E-2</v>
      </c>
      <c r="BP8" s="22">
        <f>(K11/($B$49*1000))*100</f>
        <v>1.5590193603111142</v>
      </c>
    </row>
    <row r="9" spans="1:71" x14ac:dyDescent="0.35">
      <c r="A9" s="17" t="s">
        <v>23</v>
      </c>
      <c r="B9" s="18">
        <f>AVERAGE('Sand Columns'!T47:T49,'Sand Columns'!T59:T61,'Sand Columns'!T71:T73)</f>
        <v>0.60411566324490873</v>
      </c>
      <c r="C9" s="18"/>
      <c r="D9" s="18"/>
      <c r="E9" s="18">
        <f>AVERAGE('Sand Columns'!U47:U49,'Sand Columns'!U59:U61,'Sand Columns'!U71:U73)/SQRT(3)</f>
        <v>0.6778372100670208</v>
      </c>
      <c r="F9" s="18"/>
      <c r="G9" s="18"/>
      <c r="H9" s="18">
        <f>AVERAGE('Sand Columns'!V47:V49,'Sand Columns'!V59:V61,'Sand Columns'!V71:V73)</f>
        <v>9.9150578874952942</v>
      </c>
      <c r="I9" s="18"/>
      <c r="J9" s="18"/>
      <c r="K9" s="18">
        <f>AVERAGE('Sand Columns'!W47:W49,'Sand Columns'!W59:W61,'Sand Columns'!W71:W73)/SQRT(3)</f>
        <v>0.64500159802983636</v>
      </c>
      <c r="L9" s="18"/>
      <c r="M9" s="18"/>
      <c r="N9" s="21"/>
      <c r="O9" s="21"/>
      <c r="BF9" s="89"/>
      <c r="BG9" s="88" t="s">
        <v>24</v>
      </c>
      <c r="BH9" s="88"/>
      <c r="BI9" s="51">
        <f>C20</f>
        <v>0</v>
      </c>
      <c r="BJ9" s="22">
        <f>((E4/B4)/($B$47*1000))*100</f>
        <v>-7.339684371039496E-4</v>
      </c>
      <c r="BK9" s="51">
        <f>C29</f>
        <v>0</v>
      </c>
      <c r="BL9" s="22">
        <f>(E8/($B$48*1000))*100</f>
        <v>8.2273001268743157E-5</v>
      </c>
      <c r="BM9" s="51">
        <f>F29</f>
        <v>2.3895186104244695E-2</v>
      </c>
      <c r="BN9" s="22">
        <f>(K8/($B$48*1000))*100</f>
        <v>0.44410050421473435</v>
      </c>
      <c r="BO9" s="51">
        <f>F38</f>
        <v>1.2444199548712211E-2</v>
      </c>
      <c r="BP9" s="22">
        <f>(K12/($B$49*1000))*100</f>
        <v>5.3027983074014823E-2</v>
      </c>
    </row>
    <row r="10" spans="1:71" x14ac:dyDescent="0.35">
      <c r="A10" s="17" t="s">
        <v>25</v>
      </c>
      <c r="B10" s="21"/>
      <c r="C10" s="21"/>
      <c r="D10" s="21"/>
      <c r="E10" s="21"/>
      <c r="F10" s="21"/>
      <c r="G10" s="21"/>
      <c r="H10" s="18">
        <f>AVERAGE('Sand Columns'!V74:V76,'Sand Columns'!V86:V88,'Sand Columns'!V98:V100)</f>
        <v>217.86876469159753</v>
      </c>
      <c r="I10" s="18"/>
      <c r="J10" s="18"/>
      <c r="K10" s="18">
        <f>AVERAGE('Sand Columns'!W74:W76,'Sand Columns'!W86:W88,'Sand Columns'!W98:W100)/SQRT(3)</f>
        <v>71.906710788071777</v>
      </c>
      <c r="L10" s="18"/>
      <c r="M10" s="18"/>
      <c r="N10" s="21"/>
      <c r="O10" s="18">
        <f>'Water leachate'!S17</f>
        <v>3.0715154342067157E-2</v>
      </c>
      <c r="BF10" s="89"/>
      <c r="BG10" s="88" t="s">
        <v>26</v>
      </c>
      <c r="BH10" s="88"/>
      <c r="BI10" s="51">
        <f>C21</f>
        <v>0</v>
      </c>
      <c r="BJ10" s="22">
        <f>((E5/B5)/($B$47*1000))*100</f>
        <v>-8.0420543710769087E-4</v>
      </c>
      <c r="BK10" s="51">
        <f>C30</f>
        <v>6.8482123342822278E-4</v>
      </c>
      <c r="BL10" s="22">
        <f>(E9/($B$48*1000))*100</f>
        <v>6.7442014798390001E-2</v>
      </c>
      <c r="BM10" s="51">
        <f>F30</f>
        <v>1.7480795566810137E-2</v>
      </c>
      <c r="BN10" s="22">
        <f>(K9/($B$48*1000))*100</f>
        <v>6.4175006437035761E-2</v>
      </c>
      <c r="BO10" s="51">
        <f>F39</f>
        <v>1.5616075081886322E-2</v>
      </c>
      <c r="BP10" s="22">
        <f>(K13/($B$49*1000))*100</f>
        <v>0.45416971343638241</v>
      </c>
    </row>
    <row r="11" spans="1:71" x14ac:dyDescent="0.35">
      <c r="A11" s="17" t="s">
        <v>27</v>
      </c>
      <c r="B11" s="21"/>
      <c r="C11" s="21"/>
      <c r="D11" s="21"/>
      <c r="E11" s="21"/>
      <c r="F11" s="21"/>
      <c r="G11" s="21"/>
      <c r="H11" s="18">
        <f>AVERAGE('Sand Columns'!V89:V91,'Sand Columns'!V101:V103,'Sand Columns'!V77:V79)</f>
        <v>90.325535779178423</v>
      </c>
      <c r="I11" s="18"/>
      <c r="J11" s="18"/>
      <c r="K11" s="18">
        <f>AVERAGE('Sand Columns'!W89:W91,'Sand Columns'!W101:W103,'Sand Columns'!W77:W79)/SQRT(3)</f>
        <v>15.783512003789719</v>
      </c>
      <c r="L11" s="18"/>
      <c r="M11" s="18"/>
      <c r="N11" s="21"/>
      <c r="O11" s="21"/>
      <c r="BF11" s="9" t="s">
        <v>28</v>
      </c>
      <c r="BG11" s="88" t="s">
        <v>29</v>
      </c>
      <c r="BH11" s="88"/>
      <c r="BI11" s="51">
        <f>I18</f>
        <v>0.34183802948984898</v>
      </c>
      <c r="BJ11" s="22">
        <f>((STDEV('Water leachate'!K4:K18))/(AVERAGE('Water leachate'!K4:K18)))/((B47*1000))</f>
        <v>1.2745186389156189E-3</v>
      </c>
      <c r="BK11" s="51">
        <f>I27</f>
        <v>0.53087913192421721</v>
      </c>
      <c r="BL11" s="22">
        <f>(((STDEV('Water leachate'!K19:K33))*(SQRT(3)))/(B47*1000))*100</f>
        <v>10.920778224716395</v>
      </c>
      <c r="BM11" s="51">
        <f>L27</f>
        <v>2.5810622331466935E-4</v>
      </c>
      <c r="BN11" s="22">
        <f>(((STDEV('Water leachate'!M19:M33))/SQRT(3))/(B48*1000)*100)</f>
        <v>2.2610044302311294E-3</v>
      </c>
      <c r="BO11" s="51">
        <f>L36</f>
        <v>5.4306722908238057E-5</v>
      </c>
      <c r="BP11" s="22">
        <f>(STDEV('Water leachate'!M34:M48))</f>
        <v>5.3307387005149018E-2</v>
      </c>
    </row>
    <row r="12" spans="1:71" x14ac:dyDescent="0.35">
      <c r="A12" s="17" t="s">
        <v>30</v>
      </c>
      <c r="B12" s="21"/>
      <c r="C12" s="21"/>
      <c r="D12" s="21"/>
      <c r="E12" s="21"/>
      <c r="F12" s="21"/>
      <c r="G12" s="21"/>
      <c r="H12" s="18">
        <f>AVERAGE('Sand Columns'!V80:V82,'Sand Columns'!V92:V94,'Sand Columns'!V104:V106)</f>
        <v>14.780975703659772</v>
      </c>
      <c r="I12" s="18"/>
      <c r="J12" s="18"/>
      <c r="K12" s="18">
        <f>AVERAGE('Sand Columns'!W80:W82,'Sand Columns'!W92:W94,'Sand Columns'!W104:W106)/SQRT(3)</f>
        <v>0.53685530064132614</v>
      </c>
      <c r="L12" s="18"/>
      <c r="M12" s="18"/>
      <c r="N12" s="21"/>
      <c r="O12" s="21"/>
      <c r="BF12" s="88" t="s">
        <v>31</v>
      </c>
      <c r="BG12" s="88"/>
      <c r="BH12" s="88"/>
      <c r="BI12" s="51">
        <f>1-SUM(BI7:BI11)</f>
        <v>0.65754181971372849</v>
      </c>
      <c r="BJ12" s="22"/>
      <c r="BK12" s="51">
        <f>1-SUM(BK7:BK11)</f>
        <v>0.45634979099548001</v>
      </c>
      <c r="BL12" s="22"/>
      <c r="BM12" s="51">
        <f>1-SUM(BM7:BM11)</f>
        <v>0.66934565227087983</v>
      </c>
      <c r="BN12" s="22"/>
      <c r="BO12" s="51">
        <f>1-SUM(BO7:BO11)</f>
        <v>0.8086726117669214</v>
      </c>
      <c r="BP12" s="22"/>
    </row>
    <row r="13" spans="1:71" x14ac:dyDescent="0.35">
      <c r="A13" s="17" t="s">
        <v>32</v>
      </c>
      <c r="B13" s="21"/>
      <c r="C13" s="21"/>
      <c r="D13" s="21"/>
      <c r="E13" s="21"/>
      <c r="F13" s="21"/>
      <c r="G13" s="21"/>
      <c r="H13" s="18">
        <f>AVERAGE('Sand Columns'!V107:V109,'Sand Columns'!V95:V97)</f>
        <v>33.434300033939358</v>
      </c>
      <c r="I13" s="18"/>
      <c r="J13" s="18"/>
      <c r="K13" s="18">
        <f>AVERAGE('Sand Columns'!W107:W109,'Sand Columns'!W95:W97)/SQRT(3)</f>
        <v>4.5980141788299349</v>
      </c>
      <c r="L13" s="18"/>
      <c r="M13" s="18"/>
      <c r="N13" s="21"/>
      <c r="O13" s="21"/>
    </row>
    <row r="16" spans="1:71" ht="29.5" thickBot="1" x14ac:dyDescent="0.4">
      <c r="A16" s="19" t="s">
        <v>0</v>
      </c>
      <c r="B16" s="19" t="s">
        <v>33</v>
      </c>
      <c r="C16" s="19" t="s">
        <v>34</v>
      </c>
      <c r="D16" s="19" t="s">
        <v>35</v>
      </c>
      <c r="E16" s="19" t="s">
        <v>36</v>
      </c>
      <c r="F16" s="19" t="s">
        <v>34</v>
      </c>
      <c r="G16" s="8" t="s">
        <v>35</v>
      </c>
      <c r="H16" s="19" t="s">
        <v>37</v>
      </c>
      <c r="I16" s="19" t="s">
        <v>34</v>
      </c>
      <c r="J16" s="8" t="s">
        <v>35</v>
      </c>
      <c r="K16" s="19" t="s">
        <v>38</v>
      </c>
      <c r="L16" s="19" t="s">
        <v>34</v>
      </c>
      <c r="M16" s="8" t="s">
        <v>35</v>
      </c>
      <c r="BI16" s="88" t="s">
        <v>10</v>
      </c>
      <c r="BJ16" s="88"/>
      <c r="BK16" s="88" t="s">
        <v>11</v>
      </c>
      <c r="BL16" s="88"/>
      <c r="BM16" s="88"/>
      <c r="BN16" s="88"/>
      <c r="BO16" s="88" t="s">
        <v>12</v>
      </c>
      <c r="BP16" s="88"/>
    </row>
    <row r="17" spans="1:68" x14ac:dyDescent="0.35">
      <c r="A17" s="26" t="s">
        <v>39</v>
      </c>
      <c r="B17" s="53">
        <f>AVERAGE('Sand Columns'!C2,'Sand Columns'!C14,'Sand Columns'!C26)</f>
        <v>1.0046333333333335</v>
      </c>
      <c r="C17" s="57">
        <f>B17/$B$17</f>
        <v>1</v>
      </c>
      <c r="D17" s="57"/>
      <c r="E17" s="37"/>
      <c r="F17" s="37"/>
      <c r="G17" s="37"/>
      <c r="H17" s="37"/>
      <c r="I17" s="37"/>
      <c r="J17" s="37"/>
      <c r="K17" s="37"/>
      <c r="L17" s="37"/>
      <c r="M17" s="37"/>
      <c r="N17" s="38"/>
      <c r="BI17" t="s">
        <v>40</v>
      </c>
      <c r="BK17" t="s">
        <v>40</v>
      </c>
      <c r="BM17" t="s">
        <v>41</v>
      </c>
      <c r="BO17" t="s">
        <v>41</v>
      </c>
    </row>
    <row r="18" spans="1:68" x14ac:dyDescent="0.35">
      <c r="A18" s="29" t="s">
        <v>6</v>
      </c>
      <c r="B18" s="25">
        <f>('Error Values'!F5)/1000</f>
        <v>6.2302416177926025E-4</v>
      </c>
      <c r="C18" s="67">
        <f>B18/$B$17</f>
        <v>6.2015079642250258E-4</v>
      </c>
      <c r="D18" s="67">
        <f>'Error Values'!I5</f>
        <v>1.0711945030685871E-3</v>
      </c>
      <c r="E18" s="20"/>
      <c r="F18" s="20"/>
      <c r="G18" s="20"/>
      <c r="H18" s="18">
        <f>'Error Values'!F9/1000</f>
        <v>0.34342187902648535</v>
      </c>
      <c r="I18" s="67">
        <f>H18/$B$17</f>
        <v>0.34183802948984898</v>
      </c>
      <c r="J18" s="67">
        <f>'Error Values'!I9</f>
        <v>0.4376975858306803</v>
      </c>
      <c r="K18" s="21"/>
      <c r="L18" s="21"/>
      <c r="M18" s="21"/>
      <c r="N18" s="30"/>
      <c r="BF18" s="89" t="s">
        <v>19</v>
      </c>
      <c r="BG18" s="88" t="s">
        <v>20</v>
      </c>
      <c r="BH18" s="88"/>
      <c r="BI18" s="18">
        <f>B2</f>
        <v>1.2362786344901544</v>
      </c>
      <c r="BJ18" s="22"/>
      <c r="BK18" s="18">
        <f>B6</f>
        <v>20.146784866634352</v>
      </c>
      <c r="BL18" s="22"/>
      <c r="BM18" s="18">
        <f>H6</f>
        <v>151.17036318114435</v>
      </c>
      <c r="BN18" s="22"/>
      <c r="BO18" s="18">
        <f>H10</f>
        <v>217.86876469159753</v>
      </c>
      <c r="BP18" s="22"/>
    </row>
    <row r="19" spans="1:68" x14ac:dyDescent="0.35">
      <c r="A19" s="29" t="s">
        <v>7</v>
      </c>
      <c r="B19" s="42">
        <v>0</v>
      </c>
      <c r="C19" s="67">
        <f>B19/$B$17</f>
        <v>0</v>
      </c>
      <c r="D19" s="67">
        <f>'Error Values'!I6</f>
        <v>1.4349595071599857E-6</v>
      </c>
      <c r="E19" s="21"/>
      <c r="F19" s="21"/>
      <c r="G19" s="21"/>
      <c r="H19" s="21"/>
      <c r="I19" s="21"/>
      <c r="J19" s="21"/>
      <c r="K19" s="21"/>
      <c r="L19" s="21"/>
      <c r="M19" s="21"/>
      <c r="N19" s="30"/>
      <c r="BF19" s="89"/>
      <c r="BG19" s="88" t="s">
        <v>22</v>
      </c>
      <c r="BH19" s="88"/>
      <c r="BI19" s="18">
        <f>B3</f>
        <v>-7.3013023574624858E-2</v>
      </c>
      <c r="BJ19" s="22"/>
      <c r="BK19" s="18">
        <f>B7</f>
        <v>0.75807640588832925</v>
      </c>
      <c r="BL19" s="22"/>
      <c r="BM19" s="18">
        <f>H7</f>
        <v>51.959518210702157</v>
      </c>
      <c r="BN19" s="22"/>
      <c r="BO19" s="18">
        <f>H11</f>
        <v>90.325535779178423</v>
      </c>
      <c r="BP19" s="22"/>
    </row>
    <row r="20" spans="1:68" x14ac:dyDescent="0.35">
      <c r="A20" s="29" t="s">
        <v>8</v>
      </c>
      <c r="B20" s="42">
        <v>0</v>
      </c>
      <c r="C20" s="67">
        <f>B20/$B$17</f>
        <v>0</v>
      </c>
      <c r="D20" s="67">
        <f>'Error Values'!I7</f>
        <v>6.8091548495746618E-6</v>
      </c>
      <c r="E20" s="21"/>
      <c r="F20" s="21"/>
      <c r="G20" s="21"/>
      <c r="H20" s="21"/>
      <c r="I20" s="21"/>
      <c r="J20" s="21"/>
      <c r="K20" s="21"/>
      <c r="L20" s="21"/>
      <c r="M20" s="21"/>
      <c r="N20" s="30"/>
      <c r="BF20" s="89"/>
      <c r="BG20" s="88" t="s">
        <v>24</v>
      </c>
      <c r="BH20" s="88"/>
      <c r="BI20" s="18">
        <f>B4</f>
        <v>-7.279374205102275E-2</v>
      </c>
      <c r="BJ20" s="22"/>
      <c r="BK20" s="18">
        <f>B8</f>
        <v>-7.2421437315661905E-2</v>
      </c>
      <c r="BL20" s="22"/>
      <c r="BM20" s="18">
        <f>H8</f>
        <v>11.620832223673995</v>
      </c>
      <c r="BN20" s="22"/>
      <c r="BO20" s="18">
        <f>H12</f>
        <v>14.780975703659772</v>
      </c>
      <c r="BP20" s="22"/>
    </row>
    <row r="21" spans="1:68" ht="15" thickBot="1" x14ac:dyDescent="0.4">
      <c r="A21" s="31" t="s">
        <v>9</v>
      </c>
      <c r="B21" s="43">
        <v>0</v>
      </c>
      <c r="C21" s="58">
        <f>B21/$B$17</f>
        <v>0</v>
      </c>
      <c r="D21" s="58">
        <f>'Error Values'!I8</f>
        <v>3.4231798160119289E-6</v>
      </c>
      <c r="E21" s="34"/>
      <c r="F21" s="34"/>
      <c r="G21" s="34"/>
      <c r="H21" s="34"/>
      <c r="I21" s="34"/>
      <c r="J21" s="34"/>
      <c r="K21" s="34"/>
      <c r="L21" s="34"/>
      <c r="M21" s="34"/>
      <c r="N21" s="35"/>
      <c r="BF21" s="89"/>
      <c r="BG21" s="88" t="s">
        <v>26</v>
      </c>
      <c r="BH21" s="88"/>
      <c r="BI21" s="18">
        <f>B5</f>
        <v>-7.3182171182410827E-2</v>
      </c>
      <c r="BJ21" s="22"/>
      <c r="BK21" s="18">
        <f>B9</f>
        <v>0.60411566324490873</v>
      </c>
      <c r="BL21" s="22"/>
      <c r="BM21" s="18">
        <f>H9</f>
        <v>9.9150578874952942</v>
      </c>
      <c r="BN21" s="22"/>
      <c r="BO21" s="18">
        <f>H13</f>
        <v>33.434300033939358</v>
      </c>
      <c r="BP21" s="22"/>
    </row>
    <row r="22" spans="1:68" x14ac:dyDescent="0.35">
      <c r="A22" s="17" t="s">
        <v>42</v>
      </c>
      <c r="B22" s="87">
        <f>SUM(B18:B21)</f>
        <v>6.2302416177926025E-4</v>
      </c>
      <c r="C22" s="87"/>
      <c r="D22" s="87"/>
      <c r="E22" s="87"/>
      <c r="F22" s="24"/>
      <c r="G22" s="24"/>
      <c r="BF22" s="9" t="s">
        <v>28</v>
      </c>
      <c r="BG22" s="88" t="s">
        <v>29</v>
      </c>
      <c r="BH22" s="88"/>
      <c r="BI22" s="18">
        <f>N2</f>
        <v>138.55700787401571</v>
      </c>
      <c r="BJ22" s="22"/>
      <c r="BK22" s="18">
        <f>N6</f>
        <v>148.75493557623477</v>
      </c>
      <c r="BL22" s="18"/>
      <c r="BM22" s="18">
        <f>O6</f>
        <v>3.0715154342067157E-2</v>
      </c>
      <c r="BN22" s="18"/>
      <c r="BO22" s="18">
        <f>O10</f>
        <v>3.0715154342067157E-2</v>
      </c>
      <c r="BP22" s="22"/>
    </row>
    <row r="23" spans="1:68" x14ac:dyDescent="0.35">
      <c r="A23" s="17" t="s">
        <v>43</v>
      </c>
      <c r="B23" s="24">
        <f>B22+H18</f>
        <v>0.34404490318826464</v>
      </c>
      <c r="C23" s="24"/>
      <c r="D23" s="24"/>
      <c r="E23" s="24"/>
      <c r="F23" s="24"/>
      <c r="G23" s="24"/>
      <c r="BF23" s="88" t="s">
        <v>31</v>
      </c>
      <c r="BG23" s="88"/>
      <c r="BH23" s="88"/>
      <c r="BI23" s="18">
        <f>(BI25*1000)-(SUM(BI18:BI22))</f>
        <v>865.05903576163564</v>
      </c>
      <c r="BJ23" s="22"/>
      <c r="BK23" s="18">
        <f>(BK25*1000)-(SUM(BK18:BK22))</f>
        <v>834.87517559198341</v>
      </c>
      <c r="BL23" s="18"/>
      <c r="BM23" s="18">
        <f>(BM25*1000)-(SUM(BM18:BM22))</f>
        <v>780.37018000931221</v>
      </c>
      <c r="BN23" s="18"/>
      <c r="BO23" s="18">
        <f>(BO25*1000)-(SUM(BO18:BO22))</f>
        <v>655.9597086372828</v>
      </c>
      <c r="BP23" s="22"/>
    </row>
    <row r="24" spans="1:68" x14ac:dyDescent="0.35">
      <c r="A24" s="17" t="s">
        <v>44</v>
      </c>
      <c r="B24" s="11">
        <f>B17-B23</f>
        <v>0.66058843014506885</v>
      </c>
      <c r="C24" s="11"/>
      <c r="D24" s="11"/>
      <c r="E24" s="24"/>
      <c r="F24" s="24"/>
      <c r="G24" s="24"/>
    </row>
    <row r="25" spans="1:68" ht="15" thickBot="1" x14ac:dyDescent="0.4">
      <c r="A25" s="17"/>
      <c r="B25" s="24"/>
      <c r="C25" s="24"/>
      <c r="D25" s="24"/>
      <c r="BF25" s="88" t="s">
        <v>45</v>
      </c>
      <c r="BG25" s="88"/>
      <c r="BH25" s="88"/>
      <c r="BI25" s="22">
        <f>B47</f>
        <v>1.0046333333333335</v>
      </c>
      <c r="BK25" s="23">
        <f>B48</f>
        <v>1.0050666666666701</v>
      </c>
      <c r="BM25" s="23">
        <f>B48</f>
        <v>1.0050666666666701</v>
      </c>
      <c r="BO25">
        <f>B49</f>
        <v>1.0124</v>
      </c>
    </row>
    <row r="26" spans="1:68" x14ac:dyDescent="0.35">
      <c r="A26" s="26" t="s">
        <v>39</v>
      </c>
      <c r="B26" s="56">
        <f>C48</f>
        <v>0.66511764705882581</v>
      </c>
      <c r="C26" s="57">
        <f>B26/$B$26</f>
        <v>1</v>
      </c>
      <c r="D26" s="57"/>
      <c r="E26" s="56">
        <f>E48</f>
        <v>0.33994901960784429</v>
      </c>
      <c r="F26" s="54"/>
      <c r="G26" s="54"/>
      <c r="H26" s="27"/>
      <c r="I26" s="27"/>
      <c r="J26" s="27"/>
      <c r="K26" s="27"/>
      <c r="L26" s="27"/>
      <c r="M26" s="28"/>
      <c r="N26" s="1" t="s">
        <v>46</v>
      </c>
    </row>
    <row r="27" spans="1:68" x14ac:dyDescent="0.35">
      <c r="A27" s="29" t="s">
        <v>13</v>
      </c>
      <c r="B27" s="24">
        <f>('Error Values'!J5)/1000</f>
        <v>7.6563954265632143E-3</v>
      </c>
      <c r="C27" s="67">
        <f>B27/$B$26</f>
        <v>1.151134007708271E-2</v>
      </c>
      <c r="D27" s="67">
        <f>'Error Values'!M5</f>
        <v>6.5640540473884115E-3</v>
      </c>
      <c r="E27" s="24">
        <f>('Error Values'!N5)/1000</f>
        <v>6.5828993706367023E-2</v>
      </c>
      <c r="F27" s="67">
        <f>E27/$E$26</f>
        <v>0.1936437227626234</v>
      </c>
      <c r="G27" s="67">
        <f>'Error Values'!Q5</f>
        <v>3.6038722599184496E-2</v>
      </c>
      <c r="H27" s="18">
        <f>'Error Values'!J24/1000</f>
        <v>0.35309707909806731</v>
      </c>
      <c r="I27" s="67">
        <f>H27/$B$26</f>
        <v>0.53087913192421721</v>
      </c>
      <c r="J27" s="67">
        <f>'Error Values'!M9</f>
        <v>9.5236203276603051E-2</v>
      </c>
      <c r="K27" s="68">
        <f>'Error Values'!N9/1000</f>
        <v>8.7742957570505163E-5</v>
      </c>
      <c r="L27" s="51">
        <f>K27/E26</f>
        <v>2.5810622331466935E-4</v>
      </c>
      <c r="M27" s="59">
        <f>'Error Values'!Q9</f>
        <v>1.1578255189230735E-4</v>
      </c>
      <c r="N27" s="23">
        <f>SUM(B27:E27)</f>
        <v>9.1560783257401357E-2</v>
      </c>
    </row>
    <row r="28" spans="1:68" x14ac:dyDescent="0.35">
      <c r="A28" s="29" t="s">
        <v>18</v>
      </c>
      <c r="B28" s="24">
        <f>('Error Values'!J6)/1000</f>
        <v>3.8238662406098981E-4</v>
      </c>
      <c r="C28" s="67">
        <f>B28/$B$26</f>
        <v>5.7491576979188156E-4</v>
      </c>
      <c r="D28" s="67">
        <f>'Error Values'!M6</f>
        <v>4.0533851266787738E-4</v>
      </c>
      <c r="E28" s="24">
        <f>('Error Values'!N6)/1000</f>
        <v>3.2423160271260854E-2</v>
      </c>
      <c r="F28" s="67">
        <f>E28/$E$26</f>
        <v>9.537653707212719E-2</v>
      </c>
      <c r="G28" s="67">
        <f>'Error Values'!Q6</f>
        <v>3.3269298042191225E-2</v>
      </c>
      <c r="H28" s="21"/>
      <c r="I28" s="21"/>
      <c r="J28" s="21"/>
      <c r="K28" s="21"/>
      <c r="L28" s="21"/>
      <c r="M28" s="30"/>
      <c r="N28" s="23">
        <f>SUM(B28:E28)</f>
        <v>3.3785801177781599E-2</v>
      </c>
    </row>
    <row r="29" spans="1:68" x14ac:dyDescent="0.35">
      <c r="A29" s="29" t="s">
        <v>21</v>
      </c>
      <c r="B29" s="49">
        <v>0</v>
      </c>
      <c r="C29" s="67">
        <f>B29/$B$26</f>
        <v>0</v>
      </c>
      <c r="D29" s="67">
        <f>'Error Values'!M7</f>
        <v>8.0149731767158636E-6</v>
      </c>
      <c r="E29" s="24">
        <f>('Error Values'!N7)/1000</f>
        <v>8.1231450894849681E-3</v>
      </c>
      <c r="F29" s="67">
        <f>E29/$E$26</f>
        <v>2.3895186104244695E-2</v>
      </c>
      <c r="G29" s="67">
        <f>'Error Values'!Q7</f>
        <v>1.2868600118527529E-2</v>
      </c>
      <c r="H29" s="21"/>
      <c r="I29" s="21"/>
      <c r="J29" s="21"/>
      <c r="K29" s="21"/>
      <c r="L29" s="21"/>
      <c r="M29" s="30"/>
      <c r="N29" s="23">
        <f>SUM(B29:E29)</f>
        <v>8.1311600626616833E-3</v>
      </c>
    </row>
    <row r="30" spans="1:68" ht="15" thickBot="1" x14ac:dyDescent="0.4">
      <c r="A30" s="31" t="s">
        <v>23</v>
      </c>
      <c r="B30" s="32">
        <f>('Error Values'!J8)/1000</f>
        <v>4.5548668743370247E-4</v>
      </c>
      <c r="C30" s="58">
        <f>B30/$B$26</f>
        <v>6.8482123342822278E-4</v>
      </c>
      <c r="D30" s="58">
        <f>'Error Values'!M8</f>
        <v>1.504696513744878E-3</v>
      </c>
      <c r="E30" s="32">
        <f>('Error Values'!N8)/1000</f>
        <v>5.942579314902257E-3</v>
      </c>
      <c r="F30" s="58">
        <f>E30/$E$26</f>
        <v>1.7480795566810137E-2</v>
      </c>
      <c r="G30" s="58">
        <f>'Error Values'!Q8</f>
        <v>1.0170227686285302E-2</v>
      </c>
      <c r="H30" s="34"/>
      <c r="I30" s="34"/>
      <c r="J30" s="34"/>
      <c r="K30" s="34"/>
      <c r="L30" s="34"/>
      <c r="M30" s="35"/>
      <c r="N30" s="23">
        <f>SUM(B30:E30)</f>
        <v>8.58758374950906E-3</v>
      </c>
    </row>
    <row r="31" spans="1:68" x14ac:dyDescent="0.35">
      <c r="A31" s="17" t="s">
        <v>42</v>
      </c>
      <c r="B31" s="87">
        <f>SUM(B27:E30)</f>
        <v>0.14206532824735368</v>
      </c>
      <c r="C31" s="87"/>
      <c r="D31" s="87"/>
      <c r="E31" s="87"/>
      <c r="F31" s="24"/>
      <c r="G31" s="24"/>
      <c r="N31" s="18">
        <f>SUM(H27:K27)</f>
        <v>0.97930015725645814</v>
      </c>
    </row>
    <row r="32" spans="1:68" x14ac:dyDescent="0.35">
      <c r="A32" s="17" t="s">
        <v>43</v>
      </c>
      <c r="B32" s="24">
        <f>B31+H27+K27</f>
        <v>0.49525015030299152</v>
      </c>
      <c r="C32" s="24"/>
      <c r="D32" s="24"/>
      <c r="E32" s="24"/>
      <c r="F32" s="24"/>
      <c r="G32" s="24"/>
    </row>
    <row r="33" spans="1:13" x14ac:dyDescent="0.35">
      <c r="A33" s="17" t="s">
        <v>44</v>
      </c>
      <c r="B33" s="11">
        <f>B26-B32</f>
        <v>0.16986749675583429</v>
      </c>
      <c r="C33" s="11"/>
      <c r="D33" s="11"/>
      <c r="E33" s="24"/>
      <c r="F33" s="24"/>
      <c r="G33" s="24"/>
    </row>
    <row r="34" spans="1:13" ht="15" thickBot="1" x14ac:dyDescent="0.4">
      <c r="A34" s="17"/>
      <c r="B34" s="24"/>
      <c r="C34" s="24"/>
      <c r="D34" s="24"/>
      <c r="E34" s="22"/>
      <c r="F34" s="22"/>
      <c r="G34" s="22"/>
    </row>
    <row r="35" spans="1:13" x14ac:dyDescent="0.35">
      <c r="A35" s="26" t="s">
        <v>39</v>
      </c>
      <c r="B35" s="54">
        <f>AVERAGE('Sand Columns'!C74,'Sand Columns'!C86,'Sand Columns'!C98)</f>
        <v>1.0124</v>
      </c>
      <c r="C35" s="60">
        <f>B35/$B$35</f>
        <v>1</v>
      </c>
      <c r="D35" s="60"/>
      <c r="E35" s="36"/>
      <c r="F35" s="36"/>
      <c r="G35" s="36"/>
      <c r="H35" s="27"/>
      <c r="I35" s="27"/>
      <c r="J35" s="27"/>
      <c r="K35" s="27"/>
      <c r="L35" s="27"/>
      <c r="M35" s="28"/>
    </row>
    <row r="36" spans="1:13" x14ac:dyDescent="0.35">
      <c r="A36" s="29" t="s">
        <v>25</v>
      </c>
      <c r="B36" s="21">
        <v>0</v>
      </c>
      <c r="C36" s="21"/>
      <c r="D36" s="21"/>
      <c r="E36" s="24">
        <f>('Error Values'!R5)/1000</f>
        <v>0.11800326821974366</v>
      </c>
      <c r="F36" s="51">
        <f>E36/$B$35</f>
        <v>0.11655794964415613</v>
      </c>
      <c r="G36" s="51">
        <f>'Error Values'!Q5</f>
        <v>3.6038722599184496E-2</v>
      </c>
      <c r="H36" s="21"/>
      <c r="I36" s="21"/>
      <c r="J36" s="21"/>
      <c r="K36" s="68">
        <f>'Error Values'!R9/1000</f>
        <v>5.4980126272300205E-5</v>
      </c>
      <c r="L36" s="51">
        <f>K36/B35</f>
        <v>5.4306722908238057E-5</v>
      </c>
      <c r="M36" s="59">
        <f>'Error Values'!U9</f>
        <v>5.26544715578319E-5</v>
      </c>
    </row>
    <row r="37" spans="1:13" x14ac:dyDescent="0.35">
      <c r="A37" s="29" t="s">
        <v>27</v>
      </c>
      <c r="B37" s="21">
        <v>0</v>
      </c>
      <c r="C37" s="21"/>
      <c r="D37" s="21"/>
      <c r="E37" s="24">
        <f>('Error Values'!R6)/1000</f>
        <v>4.7233377465134931E-2</v>
      </c>
      <c r="F37" s="51">
        <f>E37/$B$35</f>
        <v>4.6654857235415778E-2</v>
      </c>
      <c r="G37" s="51">
        <f>'Error Values'!Q6</f>
        <v>3.3269298042191225E-2</v>
      </c>
      <c r="H37" s="21"/>
      <c r="I37" s="21"/>
      <c r="J37" s="21"/>
      <c r="K37" s="21"/>
      <c r="L37" s="21"/>
      <c r="M37" s="30"/>
    </row>
    <row r="38" spans="1:13" x14ac:dyDescent="0.35">
      <c r="A38" s="29" t="s">
        <v>30</v>
      </c>
      <c r="B38" s="21">
        <v>0</v>
      </c>
      <c r="C38" s="21"/>
      <c r="D38" s="21"/>
      <c r="E38" s="24">
        <f>('Error Values'!R7)/1000</f>
        <v>1.2598507623116241E-2</v>
      </c>
      <c r="F38" s="51">
        <f>E38/$B$35</f>
        <v>1.2444199548712211E-2</v>
      </c>
      <c r="G38" s="51">
        <f>'Error Values'!Q7</f>
        <v>1.2868600118527529E-2</v>
      </c>
      <c r="H38" s="21"/>
      <c r="I38" s="21"/>
      <c r="J38" s="21"/>
      <c r="K38" s="21"/>
      <c r="L38" s="21"/>
      <c r="M38" s="30"/>
    </row>
    <row r="39" spans="1:13" ht="15" thickBot="1" x14ac:dyDescent="0.4">
      <c r="A39" s="31" t="s">
        <v>32</v>
      </c>
      <c r="B39" s="34">
        <v>0</v>
      </c>
      <c r="C39" s="34"/>
      <c r="D39" s="34"/>
      <c r="E39" s="32">
        <f>('Error Values'!R8)/1000</f>
        <v>1.5809714412901712E-2</v>
      </c>
      <c r="F39" s="61">
        <f>E39/$B$35</f>
        <v>1.5616075081886322E-2</v>
      </c>
      <c r="G39" s="61">
        <f>'Error Values'!Q8</f>
        <v>1.0170227686285302E-2</v>
      </c>
      <c r="H39" s="34"/>
      <c r="I39" s="34"/>
      <c r="J39" s="34"/>
      <c r="K39" s="34"/>
      <c r="L39" s="34"/>
      <c r="M39" s="35"/>
    </row>
    <row r="40" spans="1:13" x14ac:dyDescent="0.35">
      <c r="A40" s="17" t="s">
        <v>42</v>
      </c>
      <c r="B40" s="87">
        <f>SUM(E36:E39)</f>
        <v>0.19364486772089654</v>
      </c>
      <c r="C40" s="87"/>
      <c r="D40" s="87"/>
      <c r="E40" s="87"/>
      <c r="F40" s="24"/>
      <c r="G40" s="24"/>
    </row>
    <row r="41" spans="1:13" x14ac:dyDescent="0.35">
      <c r="A41" s="17" t="s">
        <v>43</v>
      </c>
      <c r="B41" s="23">
        <f>B40+K36</f>
        <v>0.19369984784716884</v>
      </c>
      <c r="C41" s="23"/>
      <c r="D41" s="23"/>
    </row>
    <row r="42" spans="1:13" x14ac:dyDescent="0.35">
      <c r="A42" s="17" t="s">
        <v>44</v>
      </c>
      <c r="B42" s="11">
        <f>B35-B41</f>
        <v>0.8187001521528311</v>
      </c>
      <c r="C42" s="11"/>
      <c r="D42" s="11"/>
    </row>
    <row r="46" spans="1:13" ht="15" thickBot="1" x14ac:dyDescent="0.4">
      <c r="A46" s="19" t="s">
        <v>0</v>
      </c>
      <c r="B46" s="19" t="s">
        <v>33</v>
      </c>
      <c r="C46" s="19" t="s">
        <v>10</v>
      </c>
      <c r="D46" s="19"/>
      <c r="E46" s="19" t="s">
        <v>12</v>
      </c>
    </row>
    <row r="47" spans="1:13" x14ac:dyDescent="0.35">
      <c r="A47" s="26" t="s">
        <v>47</v>
      </c>
      <c r="B47" s="44">
        <v>1.0046333333333335</v>
      </c>
      <c r="C47" s="55">
        <f>B47</f>
        <v>1.0046333333333335</v>
      </c>
      <c r="D47" s="55"/>
      <c r="E47">
        <v>0</v>
      </c>
    </row>
    <row r="48" spans="1:13" ht="29" x14ac:dyDescent="0.35">
      <c r="A48" s="45" t="s">
        <v>48</v>
      </c>
      <c r="B48" s="46">
        <f>1.00506666666667</f>
        <v>1.0050666666666701</v>
      </c>
      <c r="C48" s="66">
        <f>($B48/136)*90</f>
        <v>0.66511764705882581</v>
      </c>
      <c r="D48" s="66"/>
      <c r="E48" s="23">
        <f>($B48/136)*46</f>
        <v>0.33994901960784429</v>
      </c>
      <c r="F48">
        <f>90+46</f>
        <v>136</v>
      </c>
    </row>
    <row r="49" spans="1:19" ht="15" thickBot="1" x14ac:dyDescent="0.4">
      <c r="A49" s="47" t="s">
        <v>49</v>
      </c>
      <c r="B49" s="48">
        <v>1.0124</v>
      </c>
      <c r="C49">
        <v>0</v>
      </c>
      <c r="E49">
        <f>B49</f>
        <v>1.0124</v>
      </c>
    </row>
    <row r="51" spans="1:19" x14ac:dyDescent="0.35">
      <c r="A51" s="19" t="s">
        <v>10</v>
      </c>
    </row>
    <row r="52" spans="1:19" x14ac:dyDescent="0.35">
      <c r="A52" s="19" t="s">
        <v>11</v>
      </c>
    </row>
    <row r="53" spans="1:19" x14ac:dyDescent="0.35">
      <c r="A53" s="19" t="s">
        <v>12</v>
      </c>
    </row>
    <row r="59" spans="1:19" x14ac:dyDescent="0.35">
      <c r="A59" s="1"/>
      <c r="B59" s="1"/>
    </row>
    <row r="60" spans="1:19" x14ac:dyDescent="0.35">
      <c r="A60" s="1"/>
      <c r="B60" s="1"/>
    </row>
    <row r="61" spans="1:19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35">
      <c r="A63" s="1"/>
      <c r="B63" s="1"/>
    </row>
    <row r="64" spans="1:19" x14ac:dyDescent="0.35">
      <c r="A64" s="1"/>
      <c r="B64" s="1"/>
    </row>
    <row r="65" spans="1:20" x14ac:dyDescent="0.35">
      <c r="A65" s="1"/>
      <c r="B65" s="1"/>
    </row>
    <row r="66" spans="1:20" x14ac:dyDescent="0.35">
      <c r="A66" s="1"/>
      <c r="B66" s="1"/>
    </row>
    <row r="67" spans="1:20" x14ac:dyDescent="0.35">
      <c r="A67" s="1"/>
      <c r="B67" s="1"/>
    </row>
    <row r="68" spans="1:20" x14ac:dyDescent="0.35">
      <c r="A68" s="1"/>
      <c r="B68" s="1"/>
    </row>
    <row r="69" spans="1:20" x14ac:dyDescent="0.35">
      <c r="A69" s="1"/>
      <c r="B69" s="1"/>
    </row>
    <row r="70" spans="1:20" x14ac:dyDescent="0.35">
      <c r="A70" s="1"/>
      <c r="B70" s="1"/>
    </row>
    <row r="75" spans="1:20" x14ac:dyDescent="0.35">
      <c r="A75" s="1"/>
      <c r="B75" s="1"/>
      <c r="C75" s="1"/>
    </row>
    <row r="76" spans="1:20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x14ac:dyDescent="0.35">
      <c r="A78" s="1"/>
      <c r="B78" s="1"/>
      <c r="C78" s="1"/>
    </row>
    <row r="79" spans="1:20" x14ac:dyDescent="0.35">
      <c r="A79" s="1"/>
      <c r="B79" s="1"/>
      <c r="C79" s="1"/>
    </row>
    <row r="80" spans="1:20" x14ac:dyDescent="0.35">
      <c r="A80" s="1"/>
      <c r="B80" s="1"/>
      <c r="C80" s="1"/>
    </row>
    <row r="81" spans="1:3" x14ac:dyDescent="0.35">
      <c r="A81" s="1"/>
      <c r="B81" s="1"/>
      <c r="C81" s="1"/>
    </row>
    <row r="82" spans="1:3" x14ac:dyDescent="0.35">
      <c r="A82" s="1"/>
      <c r="B82" s="1"/>
      <c r="C82" s="1"/>
    </row>
    <row r="83" spans="1:3" x14ac:dyDescent="0.35">
      <c r="A83" s="1"/>
      <c r="B83" s="1"/>
      <c r="C83" s="1"/>
    </row>
    <row r="84" spans="1:3" x14ac:dyDescent="0.35">
      <c r="A84" s="1"/>
      <c r="B84" s="1"/>
      <c r="C84" s="1"/>
    </row>
    <row r="85" spans="1:3" x14ac:dyDescent="0.35">
      <c r="A85" s="1"/>
      <c r="B85" s="1"/>
      <c r="C85" s="1"/>
    </row>
    <row r="86" spans="1:3" x14ac:dyDescent="0.35">
      <c r="A86" s="1"/>
      <c r="B86" s="1"/>
      <c r="C86" s="1"/>
    </row>
    <row r="87" spans="1:3" x14ac:dyDescent="0.35">
      <c r="A87" s="1"/>
      <c r="B87" s="1"/>
      <c r="C87" s="1"/>
    </row>
    <row r="88" spans="1:3" x14ac:dyDescent="0.35">
      <c r="A88" s="1"/>
      <c r="B88" s="1"/>
      <c r="C88" s="1"/>
    </row>
    <row r="89" spans="1:3" x14ac:dyDescent="0.35">
      <c r="A89" s="1"/>
      <c r="B89" s="1"/>
      <c r="C89" s="1"/>
    </row>
  </sheetData>
  <mergeCells count="28">
    <mergeCell ref="BG11:BH11"/>
    <mergeCell ref="BL3:BM3"/>
    <mergeCell ref="BN3:BO3"/>
    <mergeCell ref="BP3:BQ3"/>
    <mergeCell ref="BR3:BS3"/>
    <mergeCell ref="BI5:BJ5"/>
    <mergeCell ref="BK5:BN5"/>
    <mergeCell ref="BO5:BP5"/>
    <mergeCell ref="BF7:BF10"/>
    <mergeCell ref="BG7:BH7"/>
    <mergeCell ref="BG8:BH8"/>
    <mergeCell ref="BG9:BH9"/>
    <mergeCell ref="BG10:BH10"/>
    <mergeCell ref="B40:E40"/>
    <mergeCell ref="BF12:BH12"/>
    <mergeCell ref="BI16:BJ16"/>
    <mergeCell ref="BK16:BN16"/>
    <mergeCell ref="BO16:BP16"/>
    <mergeCell ref="BF18:BF21"/>
    <mergeCell ref="BG18:BH18"/>
    <mergeCell ref="BG19:BH19"/>
    <mergeCell ref="BG20:BH20"/>
    <mergeCell ref="BG21:BH21"/>
    <mergeCell ref="B22:E22"/>
    <mergeCell ref="BG22:BH22"/>
    <mergeCell ref="BF23:BH23"/>
    <mergeCell ref="BF25:BH25"/>
    <mergeCell ref="B31:E31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AFD37-DA59-4049-A1DB-6D259BD0A66B}">
  <dimension ref="A1:L46"/>
  <sheetViews>
    <sheetView tabSelected="1" workbookViewId="0">
      <selection activeCell="K22" sqref="K22"/>
    </sheetView>
  </sheetViews>
  <sheetFormatPr defaultRowHeight="14.5" x14ac:dyDescent="0.35"/>
  <cols>
    <col min="1" max="1" width="14.7265625" customWidth="1"/>
    <col min="2" max="2" width="17.81640625" customWidth="1"/>
    <col min="3" max="4" width="12" customWidth="1"/>
    <col min="5" max="5" width="11.54296875" customWidth="1"/>
    <col min="6" max="6" width="11.1796875" customWidth="1"/>
    <col min="7" max="7" width="10.54296875" customWidth="1"/>
    <col min="10" max="10" width="18.453125" customWidth="1"/>
    <col min="11" max="11" width="11" bestFit="1" customWidth="1"/>
  </cols>
  <sheetData>
    <row r="1" spans="1:11" x14ac:dyDescent="0.35">
      <c r="A1" s="109" t="s">
        <v>334</v>
      </c>
      <c r="B1" s="109"/>
      <c r="C1" s="109"/>
    </row>
    <row r="2" spans="1:11" x14ac:dyDescent="0.35">
      <c r="A2" t="s">
        <v>335</v>
      </c>
      <c r="B2" t="s">
        <v>336</v>
      </c>
      <c r="C2" t="s">
        <v>337</v>
      </c>
    </row>
    <row r="3" spans="1:11" x14ac:dyDescent="0.35">
      <c r="A3" t="s">
        <v>6</v>
      </c>
      <c r="B3">
        <v>27.22</v>
      </c>
      <c r="C3">
        <v>4945</v>
      </c>
      <c r="E3" t="s">
        <v>338</v>
      </c>
      <c r="F3">
        <f>INTERCEPT(C3:C6,B3:B6)</f>
        <v>2423.5551439386254</v>
      </c>
    </row>
    <row r="4" spans="1:11" x14ac:dyDescent="0.35">
      <c r="A4" t="s">
        <v>7</v>
      </c>
      <c r="B4">
        <v>54.45</v>
      </c>
      <c r="C4">
        <v>7528</v>
      </c>
      <c r="E4" t="s">
        <v>339</v>
      </c>
      <c r="F4">
        <f>SLOPE(C3:C6,B3:B6)</f>
        <v>120.57219255921213</v>
      </c>
    </row>
    <row r="5" spans="1:11" x14ac:dyDescent="0.35">
      <c r="A5" t="s">
        <v>8</v>
      </c>
      <c r="B5">
        <v>81.680000000000007</v>
      </c>
      <c r="C5">
        <v>17476</v>
      </c>
    </row>
    <row r="6" spans="1:11" x14ac:dyDescent="0.35">
      <c r="A6" t="s">
        <v>9</v>
      </c>
      <c r="B6">
        <v>108.9</v>
      </c>
      <c r="C6">
        <v>12571</v>
      </c>
    </row>
    <row r="9" spans="1:11" x14ac:dyDescent="0.35">
      <c r="A9" t="s">
        <v>340</v>
      </c>
      <c r="B9">
        <v>25.12</v>
      </c>
      <c r="C9">
        <v>8946</v>
      </c>
      <c r="E9" t="s">
        <v>338</v>
      </c>
      <c r="F9">
        <f>INTERCEPT(C9:C12,B9:B12)</f>
        <v>7035.5</v>
      </c>
    </row>
    <row r="10" spans="1:11" x14ac:dyDescent="0.35">
      <c r="A10" t="s">
        <v>27</v>
      </c>
      <c r="B10">
        <v>50.24</v>
      </c>
      <c r="C10">
        <v>13807</v>
      </c>
      <c r="E10" t="s">
        <v>339</v>
      </c>
      <c r="F10">
        <f>SLOPE(C9:C12,B9:B12)</f>
        <v>105.24283439490446</v>
      </c>
    </row>
    <row r="11" spans="1:11" x14ac:dyDescent="0.35">
      <c r="A11" t="s">
        <v>30</v>
      </c>
      <c r="B11">
        <v>75.36</v>
      </c>
      <c r="C11">
        <v>14198</v>
      </c>
    </row>
    <row r="12" spans="1:11" x14ac:dyDescent="0.35">
      <c r="A12" t="s">
        <v>32</v>
      </c>
      <c r="B12">
        <v>100.48</v>
      </c>
      <c r="C12">
        <v>17628</v>
      </c>
    </row>
    <row r="13" spans="1:11" x14ac:dyDescent="0.35">
      <c r="A13" s="1"/>
    </row>
    <row r="14" spans="1:11" x14ac:dyDescent="0.35">
      <c r="A14" s="110" t="s">
        <v>341</v>
      </c>
      <c r="B14" s="110"/>
      <c r="C14" s="110"/>
      <c r="D14" s="110"/>
      <c r="E14" s="110"/>
      <c r="F14" s="110"/>
      <c r="G14" s="110"/>
      <c r="H14" s="110"/>
    </row>
    <row r="15" spans="1:11" x14ac:dyDescent="0.35">
      <c r="A15" s="1" t="s">
        <v>342</v>
      </c>
      <c r="B15" s="1" t="s">
        <v>343</v>
      </c>
      <c r="C15" s="1" t="s">
        <v>344</v>
      </c>
      <c r="D15" s="1" t="s">
        <v>345</v>
      </c>
      <c r="E15" s="1" t="s">
        <v>346</v>
      </c>
      <c r="F15" s="1" t="s">
        <v>347</v>
      </c>
      <c r="G15" s="1" t="s">
        <v>348</v>
      </c>
      <c r="H15" s="1" t="s">
        <v>349</v>
      </c>
      <c r="J15" s="1" t="s">
        <v>350</v>
      </c>
      <c r="K15" s="1" t="s">
        <v>351</v>
      </c>
    </row>
    <row r="16" spans="1:11" x14ac:dyDescent="0.35">
      <c r="A16" t="s">
        <v>352</v>
      </c>
      <c r="B16">
        <f t="shared" ref="B16:B46" si="0">1.5/1000</f>
        <v>1.5E-3</v>
      </c>
      <c r="C16">
        <v>3018</v>
      </c>
      <c r="D16">
        <f t="shared" ref="D16:D25" si="1">(C16-$F$3)/$F$4</f>
        <v>4.9301986091813585</v>
      </c>
      <c r="E16">
        <f t="shared" ref="E16:E25" si="2">D16*B16</f>
        <v>7.3952979137720384E-3</v>
      </c>
      <c r="F16" s="86"/>
      <c r="G16" s="86"/>
      <c r="H16" s="86"/>
    </row>
    <row r="17" spans="1:12" x14ac:dyDescent="0.35">
      <c r="A17" t="s">
        <v>353</v>
      </c>
      <c r="B17">
        <f t="shared" si="0"/>
        <v>1.5E-3</v>
      </c>
      <c r="C17">
        <v>3960</v>
      </c>
      <c r="D17">
        <f t="shared" si="1"/>
        <v>12.742945313089812</v>
      </c>
      <c r="E17">
        <f t="shared" si="2"/>
        <v>1.9114417969634718E-2</v>
      </c>
      <c r="F17" s="86"/>
      <c r="G17" s="86"/>
      <c r="H17" s="86"/>
    </row>
    <row r="18" spans="1:12" x14ac:dyDescent="0.35">
      <c r="A18" t="s">
        <v>354</v>
      </c>
      <c r="B18">
        <f t="shared" si="0"/>
        <v>1.5E-3</v>
      </c>
      <c r="C18">
        <v>7365</v>
      </c>
      <c r="D18">
        <f t="shared" si="1"/>
        <v>40.983287698236616</v>
      </c>
      <c r="E18">
        <f t="shared" si="2"/>
        <v>6.1474931547354922E-2</v>
      </c>
      <c r="F18" s="86"/>
      <c r="G18" s="86"/>
      <c r="H18" s="86"/>
    </row>
    <row r="19" spans="1:12" x14ac:dyDescent="0.35">
      <c r="A19" t="s">
        <v>355</v>
      </c>
      <c r="B19">
        <f t="shared" si="0"/>
        <v>1.5E-3</v>
      </c>
      <c r="C19">
        <v>6505</v>
      </c>
      <c r="D19">
        <f t="shared" si="1"/>
        <v>33.850631471738453</v>
      </c>
      <c r="E19">
        <f t="shared" si="2"/>
        <v>5.0775947207607683E-2</v>
      </c>
      <c r="F19" s="86"/>
      <c r="G19" s="86"/>
      <c r="H19" s="86"/>
    </row>
    <row r="20" spans="1:12" x14ac:dyDescent="0.35">
      <c r="A20" t="s">
        <v>356</v>
      </c>
      <c r="B20">
        <f t="shared" si="0"/>
        <v>1.5E-3</v>
      </c>
      <c r="C20">
        <v>13401</v>
      </c>
      <c r="D20">
        <f t="shared" si="1"/>
        <v>91.044581864681874</v>
      </c>
      <c r="E20">
        <f t="shared" si="2"/>
        <v>0.13656687279702281</v>
      </c>
      <c r="F20" s="86"/>
      <c r="G20" s="86"/>
      <c r="H20" s="86"/>
    </row>
    <row r="21" spans="1:12" x14ac:dyDescent="0.35">
      <c r="A21" t="s">
        <v>357</v>
      </c>
      <c r="B21">
        <f t="shared" si="0"/>
        <v>1.5E-3</v>
      </c>
      <c r="C21">
        <v>4224</v>
      </c>
      <c r="D21">
        <f t="shared" si="1"/>
        <v>14.932504898898552</v>
      </c>
      <c r="E21">
        <f t="shared" si="2"/>
        <v>2.2398757348347828E-2</v>
      </c>
      <c r="F21" s="86"/>
      <c r="G21" s="86"/>
      <c r="H21" s="86"/>
      <c r="J21">
        <f>1/150</f>
        <v>6.6666666666666671E-3</v>
      </c>
      <c r="K21">
        <f>(D21/J21)/100</f>
        <v>22.398757348347825</v>
      </c>
      <c r="L21" s="88">
        <f>STDEV(K21:K25)</f>
        <v>7.4399559062747596</v>
      </c>
    </row>
    <row r="22" spans="1:12" x14ac:dyDescent="0.35">
      <c r="A22" t="s">
        <v>358</v>
      </c>
      <c r="B22">
        <f t="shared" si="0"/>
        <v>1.5E-3</v>
      </c>
      <c r="C22">
        <v>3831</v>
      </c>
      <c r="D22">
        <f t="shared" si="1"/>
        <v>11.673046879115088</v>
      </c>
      <c r="E22">
        <f t="shared" si="2"/>
        <v>1.7509570318672632E-2</v>
      </c>
      <c r="F22" s="86"/>
      <c r="G22" s="86"/>
      <c r="H22" s="86"/>
      <c r="J22">
        <f>1/150</f>
        <v>6.6666666666666671E-3</v>
      </c>
      <c r="K22">
        <f>(D22/J22)/100</f>
        <v>17.50957031867263</v>
      </c>
      <c r="L22" s="88"/>
    </row>
    <row r="23" spans="1:12" x14ac:dyDescent="0.35">
      <c r="A23" t="s">
        <v>359</v>
      </c>
      <c r="B23">
        <f t="shared" si="0"/>
        <v>1.5E-3</v>
      </c>
      <c r="C23">
        <v>3705</v>
      </c>
      <c r="D23">
        <f t="shared" si="1"/>
        <v>10.628029804070009</v>
      </c>
      <c r="E23">
        <f t="shared" si="2"/>
        <v>1.5942044706105014E-2</v>
      </c>
      <c r="F23" s="86"/>
      <c r="G23" s="86"/>
      <c r="H23" s="86"/>
      <c r="J23">
        <f>1/150</f>
        <v>6.6666666666666671E-3</v>
      </c>
      <c r="K23">
        <f>(D23/J23)/100</f>
        <v>15.942044706105012</v>
      </c>
      <c r="L23" s="88"/>
    </row>
    <row r="24" spans="1:12" x14ac:dyDescent="0.35">
      <c r="A24" t="s">
        <v>360</v>
      </c>
      <c r="B24">
        <f t="shared" si="0"/>
        <v>1.5E-3</v>
      </c>
      <c r="C24">
        <v>3560</v>
      </c>
      <c r="D24">
        <f t="shared" si="1"/>
        <v>9.4254307891371791</v>
      </c>
      <c r="E24">
        <f t="shared" si="2"/>
        <v>1.4138146183705768E-2</v>
      </c>
      <c r="F24" s="86"/>
      <c r="G24" s="86"/>
      <c r="H24" s="86"/>
      <c r="J24">
        <f>1/150</f>
        <v>6.6666666666666671E-3</v>
      </c>
      <c r="K24">
        <f>(D24/J24)/100</f>
        <v>14.138146183705766</v>
      </c>
      <c r="L24" s="88"/>
    </row>
    <row r="25" spans="1:12" x14ac:dyDescent="0.35">
      <c r="A25" t="s">
        <v>361</v>
      </c>
      <c r="B25">
        <f t="shared" si="0"/>
        <v>1.5E-3</v>
      </c>
      <c r="C25">
        <v>5048</v>
      </c>
      <c r="D25">
        <f t="shared" si="1"/>
        <v>21.766584818240979</v>
      </c>
      <c r="E25">
        <f t="shared" si="2"/>
        <v>3.2649877227361471E-2</v>
      </c>
      <c r="F25" s="86"/>
      <c r="G25" s="86"/>
      <c r="H25" s="86"/>
      <c r="J25">
        <f>1/150</f>
        <v>6.6666666666666671E-3</v>
      </c>
      <c r="K25">
        <f>(D25/J25)/100</f>
        <v>32.649877227361465</v>
      </c>
      <c r="L25" s="88"/>
    </row>
    <row r="26" spans="1:12" x14ac:dyDescent="0.35">
      <c r="A26" t="s">
        <v>362</v>
      </c>
      <c r="B26">
        <f t="shared" si="0"/>
        <v>1.5E-3</v>
      </c>
      <c r="C26" s="86"/>
      <c r="D26" s="86"/>
      <c r="E26" s="86"/>
      <c r="F26">
        <v>144</v>
      </c>
      <c r="G26">
        <f t="shared" ref="G26:G46" si="3">(F26-$F$9)/$F$10</f>
        <v>-65.481892801755109</v>
      </c>
      <c r="H26">
        <f t="shared" ref="H26:H46" si="4">G26*B26</f>
        <v>-9.8222839202632667E-2</v>
      </c>
      <c r="J26">
        <f>1/15</f>
        <v>6.6666666666666666E-2</v>
      </c>
    </row>
    <row r="27" spans="1:12" x14ac:dyDescent="0.35">
      <c r="A27" t="s">
        <v>363</v>
      </c>
      <c r="B27">
        <f t="shared" si="0"/>
        <v>1.5E-3</v>
      </c>
      <c r="C27" s="86"/>
      <c r="D27" s="86"/>
      <c r="E27" s="86"/>
      <c r="F27">
        <v>150</v>
      </c>
      <c r="G27">
        <f t="shared" si="3"/>
        <v>-65.424881794454734</v>
      </c>
      <c r="H27">
        <f t="shared" si="4"/>
        <v>-9.81373226916821E-2</v>
      </c>
      <c r="J27">
        <f>1/15</f>
        <v>6.6666666666666666E-2</v>
      </c>
    </row>
    <row r="28" spans="1:12" x14ac:dyDescent="0.35">
      <c r="A28" t="s">
        <v>364</v>
      </c>
      <c r="B28">
        <f t="shared" si="0"/>
        <v>1.5E-3</v>
      </c>
      <c r="C28" s="86"/>
      <c r="D28" s="86"/>
      <c r="E28" s="86"/>
      <c r="F28">
        <v>267</v>
      </c>
      <c r="G28">
        <f t="shared" si="3"/>
        <v>-64.313167152097435</v>
      </c>
      <c r="H28">
        <f t="shared" si="4"/>
        <v>-9.6469750728146161E-2</v>
      </c>
      <c r="J28">
        <f>1/15</f>
        <v>6.6666666666666666E-2</v>
      </c>
    </row>
    <row r="29" spans="1:12" x14ac:dyDescent="0.35">
      <c r="A29" t="s">
        <v>365</v>
      </c>
      <c r="B29">
        <f t="shared" si="0"/>
        <v>1.5E-3</v>
      </c>
      <c r="C29" s="86"/>
      <c r="D29" s="86"/>
      <c r="E29" s="86"/>
      <c r="F29">
        <v>113</v>
      </c>
      <c r="G29">
        <f t="shared" si="3"/>
        <v>-65.776449672807047</v>
      </c>
      <c r="H29">
        <f t="shared" si="4"/>
        <v>-9.866467450921057E-2</v>
      </c>
      <c r="J29">
        <f>1/15</f>
        <v>6.6666666666666666E-2</v>
      </c>
    </row>
    <row r="30" spans="1:12" x14ac:dyDescent="0.35">
      <c r="A30" t="s">
        <v>366</v>
      </c>
      <c r="B30">
        <f t="shared" si="0"/>
        <v>1.5E-3</v>
      </c>
      <c r="C30" s="86"/>
      <c r="D30" s="86"/>
      <c r="E30" s="86"/>
      <c r="F30">
        <v>228</v>
      </c>
      <c r="G30">
        <f t="shared" si="3"/>
        <v>-64.683738699549878</v>
      </c>
      <c r="H30">
        <f t="shared" si="4"/>
        <v>-9.7025608049324821E-2</v>
      </c>
      <c r="J30">
        <f>1/15</f>
        <v>6.6666666666666666E-2</v>
      </c>
    </row>
    <row r="31" spans="1:12" x14ac:dyDescent="0.35">
      <c r="A31" t="s">
        <v>367</v>
      </c>
      <c r="B31">
        <f t="shared" si="0"/>
        <v>1.5E-3</v>
      </c>
      <c r="C31">
        <v>2409</v>
      </c>
      <c r="D31">
        <f t="shared" ref="D31:D46" si="5">(C31-$F$3)/$F$4</f>
        <v>-0.12071725353652735</v>
      </c>
      <c r="E31">
        <f t="shared" ref="E31:E46" si="6">D31*B31</f>
        <v>-1.8107588030479103E-4</v>
      </c>
      <c r="F31">
        <v>5221</v>
      </c>
      <c r="G31">
        <f t="shared" si="3"/>
        <v>-17.241078791088245</v>
      </c>
      <c r="H31">
        <f t="shared" si="4"/>
        <v>-2.5861618186632369E-2</v>
      </c>
    </row>
    <row r="32" spans="1:12" x14ac:dyDescent="0.35">
      <c r="A32" t="s">
        <v>368</v>
      </c>
      <c r="B32">
        <f t="shared" si="0"/>
        <v>1.5E-3</v>
      </c>
      <c r="C32">
        <v>2435</v>
      </c>
      <c r="D32">
        <f t="shared" si="5"/>
        <v>9.4921190520393897E-2</v>
      </c>
      <c r="E32">
        <f t="shared" si="6"/>
        <v>1.4238178578059084E-4</v>
      </c>
      <c r="F32">
        <v>5096</v>
      </c>
      <c r="G32">
        <f t="shared" si="3"/>
        <v>-18.428808109846049</v>
      </c>
      <c r="H32">
        <f t="shared" si="4"/>
        <v>-2.7643212164769074E-2</v>
      </c>
    </row>
    <row r="33" spans="1:12" x14ac:dyDescent="0.35">
      <c r="A33" t="s">
        <v>369</v>
      </c>
      <c r="B33">
        <f t="shared" si="0"/>
        <v>1.5E-3</v>
      </c>
      <c r="C33">
        <v>2665</v>
      </c>
      <c r="D33">
        <f t="shared" si="5"/>
        <v>2.0024920417931589</v>
      </c>
      <c r="E33">
        <f t="shared" si="6"/>
        <v>3.0037380626897385E-3</v>
      </c>
      <c r="F33">
        <v>5646</v>
      </c>
      <c r="G33">
        <f t="shared" si="3"/>
        <v>-13.202799107311721</v>
      </c>
      <c r="H33">
        <f t="shared" si="4"/>
        <v>-1.9804198660967581E-2</v>
      </c>
    </row>
    <row r="34" spans="1:12" x14ac:dyDescent="0.35">
      <c r="A34" t="s">
        <v>370</v>
      </c>
      <c r="B34">
        <f t="shared" si="0"/>
        <v>1.5E-3</v>
      </c>
      <c r="C34">
        <v>4048</v>
      </c>
      <c r="D34">
        <f t="shared" si="5"/>
        <v>13.472798508359393</v>
      </c>
      <c r="E34">
        <f t="shared" si="6"/>
        <v>2.0209197762539089E-2</v>
      </c>
      <c r="F34">
        <v>8622</v>
      </c>
      <c r="G34">
        <f t="shared" si="3"/>
        <v>15.074660513674017</v>
      </c>
      <c r="H34">
        <f t="shared" si="4"/>
        <v>2.2611990770511025E-2</v>
      </c>
    </row>
    <row r="35" spans="1:12" x14ac:dyDescent="0.35">
      <c r="A35" t="s">
        <v>371</v>
      </c>
      <c r="B35">
        <f t="shared" si="0"/>
        <v>1.5E-3</v>
      </c>
      <c r="C35">
        <v>4038</v>
      </c>
      <c r="D35">
        <f t="shared" si="5"/>
        <v>13.389860645260576</v>
      </c>
      <c r="E35">
        <f t="shared" si="6"/>
        <v>2.0084790967890866E-2</v>
      </c>
      <c r="F35">
        <v>8684</v>
      </c>
      <c r="G35">
        <f t="shared" si="3"/>
        <v>15.663774255777886</v>
      </c>
      <c r="H35">
        <f t="shared" si="4"/>
        <v>2.3495661383666828E-2</v>
      </c>
    </row>
    <row r="36" spans="1:12" x14ac:dyDescent="0.35">
      <c r="A36" t="s">
        <v>372</v>
      </c>
      <c r="B36">
        <f t="shared" si="0"/>
        <v>1.5E-3</v>
      </c>
      <c r="C36">
        <v>4572</v>
      </c>
      <c r="D36">
        <f t="shared" si="5"/>
        <v>17.818742534737343</v>
      </c>
      <c r="E36">
        <f t="shared" si="6"/>
        <v>2.6728113802106015E-2</v>
      </c>
      <c r="F36">
        <v>9551</v>
      </c>
      <c r="G36">
        <f t="shared" si="3"/>
        <v>23.901864810681996</v>
      </c>
      <c r="H36">
        <f t="shared" si="4"/>
        <v>3.5852797216022997E-2</v>
      </c>
    </row>
    <row r="37" spans="1:12" x14ac:dyDescent="0.35">
      <c r="A37" t="s">
        <v>373</v>
      </c>
      <c r="B37">
        <f t="shared" si="0"/>
        <v>1.5E-3</v>
      </c>
      <c r="C37">
        <v>659</v>
      </c>
      <c r="D37">
        <f t="shared" si="5"/>
        <v>-14.634843295829304</v>
      </c>
      <c r="E37">
        <f t="shared" si="6"/>
        <v>-2.1952264943743957E-2</v>
      </c>
      <c r="F37">
        <v>347</v>
      </c>
      <c r="G37">
        <f t="shared" si="3"/>
        <v>-63.553020388092442</v>
      </c>
      <c r="H37">
        <f t="shared" si="4"/>
        <v>-9.5329530582138666E-2</v>
      </c>
      <c r="J37">
        <f t="shared" ref="J37:J46" si="7">1/150</f>
        <v>6.6666666666666671E-3</v>
      </c>
      <c r="K37">
        <f t="shared" ref="K37:K44" si="8">(D37/J37)/1000</f>
        <v>-2.1952264943743951</v>
      </c>
    </row>
    <row r="38" spans="1:12" x14ac:dyDescent="0.35">
      <c r="A38" t="s">
        <v>374</v>
      </c>
      <c r="B38">
        <f t="shared" si="0"/>
        <v>1.5E-3</v>
      </c>
      <c r="C38">
        <v>679</v>
      </c>
      <c r="D38">
        <f t="shared" si="5"/>
        <v>-14.468967569631671</v>
      </c>
      <c r="E38">
        <f t="shared" si="6"/>
        <v>-2.1703451354447508E-2</v>
      </c>
      <c r="F38">
        <v>357</v>
      </c>
      <c r="G38">
        <f t="shared" si="3"/>
        <v>-63.458002042591822</v>
      </c>
      <c r="H38">
        <f t="shared" si="4"/>
        <v>-9.5187003063887735E-2</v>
      </c>
      <c r="J38">
        <f t="shared" si="7"/>
        <v>6.6666666666666671E-3</v>
      </c>
      <c r="K38">
        <f t="shared" si="8"/>
        <v>-2.1703451354447507</v>
      </c>
    </row>
    <row r="39" spans="1:12" x14ac:dyDescent="0.35">
      <c r="A39" t="s">
        <v>375</v>
      </c>
      <c r="B39">
        <f t="shared" si="0"/>
        <v>1.5E-3</v>
      </c>
      <c r="C39">
        <v>772</v>
      </c>
      <c r="D39">
        <f t="shared" si="5"/>
        <v>-13.697645442812684</v>
      </c>
      <c r="E39">
        <f t="shared" si="6"/>
        <v>-2.0546468164219026E-2</v>
      </c>
      <c r="F39">
        <v>393</v>
      </c>
      <c r="G39">
        <f t="shared" si="3"/>
        <v>-63.115935998789574</v>
      </c>
      <c r="H39">
        <f t="shared" si="4"/>
        <v>-9.4673903998184358E-2</v>
      </c>
      <c r="J39">
        <f t="shared" si="7"/>
        <v>6.6666666666666671E-3</v>
      </c>
      <c r="K39">
        <f t="shared" si="8"/>
        <v>-2.0546468164219021</v>
      </c>
    </row>
    <row r="40" spans="1:12" x14ac:dyDescent="0.35">
      <c r="A40" t="s">
        <v>376</v>
      </c>
      <c r="B40">
        <f t="shared" si="0"/>
        <v>1.5E-3</v>
      </c>
      <c r="C40">
        <v>3389</v>
      </c>
      <c r="D40">
        <f t="shared" si="5"/>
        <v>8.0071933301474267</v>
      </c>
      <c r="E40">
        <f t="shared" si="6"/>
        <v>1.2010789995221141E-2</v>
      </c>
      <c r="F40">
        <v>1804</v>
      </c>
      <c r="G40">
        <f t="shared" si="3"/>
        <v>-49.708847448651511</v>
      </c>
      <c r="H40">
        <f t="shared" si="4"/>
        <v>-7.4563271172977272E-2</v>
      </c>
      <c r="J40">
        <f t="shared" si="7"/>
        <v>6.6666666666666671E-3</v>
      </c>
      <c r="K40">
        <f t="shared" si="8"/>
        <v>1.2010789995221138</v>
      </c>
    </row>
    <row r="41" spans="1:12" x14ac:dyDescent="0.35">
      <c r="A41" t="s">
        <v>377</v>
      </c>
      <c r="B41">
        <f t="shared" si="0"/>
        <v>1.5E-3</v>
      </c>
      <c r="C41">
        <v>991</v>
      </c>
      <c r="D41">
        <f t="shared" si="5"/>
        <v>-11.881306240948616</v>
      </c>
      <c r="E41">
        <f t="shared" si="6"/>
        <v>-1.7821959361422925E-2</v>
      </c>
      <c r="F41">
        <v>509</v>
      </c>
      <c r="G41">
        <f t="shared" si="3"/>
        <v>-62.013723190982333</v>
      </c>
      <c r="H41">
        <f t="shared" si="4"/>
        <v>-9.3020584786473501E-2</v>
      </c>
      <c r="J41">
        <f t="shared" si="7"/>
        <v>6.6666666666666671E-3</v>
      </c>
      <c r="K41">
        <f t="shared" si="8"/>
        <v>-1.7821959361422923</v>
      </c>
    </row>
    <row r="42" spans="1:12" x14ac:dyDescent="0.35">
      <c r="A42" t="s">
        <v>378</v>
      </c>
      <c r="B42">
        <f t="shared" si="0"/>
        <v>1.5E-3</v>
      </c>
      <c r="C42">
        <v>3130</v>
      </c>
      <c r="D42">
        <f t="shared" si="5"/>
        <v>5.8591026758880966</v>
      </c>
      <c r="E42">
        <f t="shared" si="6"/>
        <v>8.7886540138321454E-3</v>
      </c>
      <c r="F42">
        <v>1634</v>
      </c>
      <c r="G42">
        <f t="shared" si="3"/>
        <v>-51.324159322162117</v>
      </c>
      <c r="H42">
        <f t="shared" si="4"/>
        <v>-7.698623898324318E-2</v>
      </c>
      <c r="J42">
        <f t="shared" si="7"/>
        <v>6.6666666666666671E-3</v>
      </c>
      <c r="K42">
        <f t="shared" si="8"/>
        <v>0.87886540138321445</v>
      </c>
      <c r="L42" s="88">
        <f>STDEV(K42:K46)</f>
        <v>0.56331452940435167</v>
      </c>
    </row>
    <row r="43" spans="1:12" x14ac:dyDescent="0.35">
      <c r="A43" t="s">
        <v>379</v>
      </c>
      <c r="B43">
        <f t="shared" si="0"/>
        <v>1.5E-3</v>
      </c>
      <c r="C43">
        <v>3043</v>
      </c>
      <c r="D43">
        <f t="shared" si="5"/>
        <v>5.1375432669283985</v>
      </c>
      <c r="E43">
        <f t="shared" si="6"/>
        <v>7.7063149003925979E-3</v>
      </c>
      <c r="F43">
        <v>1694</v>
      </c>
      <c r="G43">
        <f t="shared" si="3"/>
        <v>-50.754049249158378</v>
      </c>
      <c r="H43">
        <f t="shared" si="4"/>
        <v>-7.6131073873737562E-2</v>
      </c>
      <c r="J43">
        <f t="shared" si="7"/>
        <v>6.6666666666666671E-3</v>
      </c>
      <c r="K43">
        <f t="shared" si="8"/>
        <v>0.77063149003925968</v>
      </c>
      <c r="L43" s="88"/>
    </row>
    <row r="44" spans="1:12" x14ac:dyDescent="0.35">
      <c r="A44" t="s">
        <v>380</v>
      </c>
      <c r="B44">
        <f t="shared" si="0"/>
        <v>1.5E-3</v>
      </c>
      <c r="C44">
        <v>3201</v>
      </c>
      <c r="D44">
        <f t="shared" si="5"/>
        <v>6.4479615038896894</v>
      </c>
      <c r="E44">
        <f t="shared" si="6"/>
        <v>9.6719422558345335E-3</v>
      </c>
      <c r="F44">
        <v>1720</v>
      </c>
      <c r="G44">
        <f t="shared" si="3"/>
        <v>-50.507001550856749</v>
      </c>
      <c r="H44">
        <f t="shared" si="4"/>
        <v>-7.5760502326285131E-2</v>
      </c>
      <c r="J44">
        <f t="shared" si="7"/>
        <v>6.6666666666666671E-3</v>
      </c>
      <c r="K44">
        <f t="shared" si="8"/>
        <v>0.96719422558345336</v>
      </c>
      <c r="L44" s="88"/>
    </row>
    <row r="45" spans="1:12" x14ac:dyDescent="0.35">
      <c r="A45" t="s">
        <v>381</v>
      </c>
      <c r="B45">
        <f t="shared" si="0"/>
        <v>1.5E-3</v>
      </c>
      <c r="C45">
        <v>11377</v>
      </c>
      <c r="D45">
        <f t="shared" si="5"/>
        <v>74.257958373481543</v>
      </c>
      <c r="E45">
        <f t="shared" si="6"/>
        <v>0.11138693756022232</v>
      </c>
      <c r="F45">
        <v>5729</v>
      </c>
      <c r="G45">
        <f t="shared" si="3"/>
        <v>-12.414146839656542</v>
      </c>
      <c r="H45">
        <f t="shared" si="4"/>
        <v>-1.8621220259484813E-2</v>
      </c>
      <c r="J45">
        <f t="shared" si="7"/>
        <v>6.6666666666666671E-3</v>
      </c>
      <c r="L45" s="88"/>
    </row>
    <row r="46" spans="1:12" x14ac:dyDescent="0.35">
      <c r="A46" t="s">
        <v>382</v>
      </c>
      <c r="B46">
        <f t="shared" si="0"/>
        <v>1.5E-3</v>
      </c>
      <c r="C46">
        <v>4021</v>
      </c>
      <c r="D46">
        <f t="shared" si="5"/>
        <v>13.24886627799259</v>
      </c>
      <c r="E46">
        <f t="shared" si="6"/>
        <v>1.9873299416988885E-2</v>
      </c>
      <c r="F46">
        <v>2129</v>
      </c>
      <c r="G46">
        <f t="shared" si="3"/>
        <v>-46.620751219881228</v>
      </c>
      <c r="H46">
        <f t="shared" si="4"/>
        <v>-6.9931126829821846E-2</v>
      </c>
      <c r="J46">
        <f t="shared" si="7"/>
        <v>6.6666666666666671E-3</v>
      </c>
      <c r="K46">
        <f>(D46/J46)/1000</f>
        <v>1.9873299416988883</v>
      </c>
      <c r="L46" s="88"/>
    </row>
  </sheetData>
  <mergeCells count="4">
    <mergeCell ref="A1:C1"/>
    <mergeCell ref="A14:H14"/>
    <mergeCell ref="L42:L46"/>
    <mergeCell ref="L21:L2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FF296-CD48-4B88-A518-876FA3A62B4D}">
  <dimension ref="A1:K4"/>
  <sheetViews>
    <sheetView workbookViewId="0">
      <selection activeCell="K14" sqref="K14"/>
    </sheetView>
  </sheetViews>
  <sheetFormatPr defaultRowHeight="14.5" x14ac:dyDescent="0.35"/>
  <cols>
    <col min="1" max="1" width="16.7265625" customWidth="1"/>
    <col min="2" max="2" width="17.81640625" customWidth="1"/>
    <col min="11" max="11" width="61.54296875" customWidth="1"/>
  </cols>
  <sheetData>
    <row r="1" spans="1:11" x14ac:dyDescent="0.35">
      <c r="A1" s="3" t="s">
        <v>50</v>
      </c>
      <c r="K1" s="2" t="s">
        <v>51</v>
      </c>
    </row>
    <row r="2" spans="1:11" ht="29" x14ac:dyDescent="0.35">
      <c r="A2" s="1" t="s">
        <v>52</v>
      </c>
      <c r="B2" t="s">
        <v>53</v>
      </c>
      <c r="K2" s="4" t="s">
        <v>54</v>
      </c>
    </row>
    <row r="3" spans="1:11" ht="29" x14ac:dyDescent="0.35">
      <c r="A3" s="1" t="s">
        <v>55</v>
      </c>
      <c r="B3" t="s">
        <v>56</v>
      </c>
      <c r="K3" s="4" t="s">
        <v>57</v>
      </c>
    </row>
    <row r="4" spans="1:11" x14ac:dyDescent="0.35">
      <c r="A4" s="1" t="s">
        <v>58</v>
      </c>
      <c r="B4" t="s">
        <v>59</v>
      </c>
      <c r="K4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31A6C-8470-4786-9DF9-779F67E12FF1}">
  <dimension ref="A1:F22"/>
  <sheetViews>
    <sheetView workbookViewId="0">
      <selection activeCell="C17" sqref="C17"/>
    </sheetView>
  </sheetViews>
  <sheetFormatPr defaultRowHeight="14.5" x14ac:dyDescent="0.35"/>
  <cols>
    <col min="1" max="1" width="14.26953125" customWidth="1"/>
    <col min="2" max="2" width="11.26953125" customWidth="1"/>
  </cols>
  <sheetData>
    <row r="1" spans="1:6" x14ac:dyDescent="0.35">
      <c r="A1" s="9"/>
      <c r="B1" s="7" t="s">
        <v>60</v>
      </c>
      <c r="C1" s="1" t="s">
        <v>61</v>
      </c>
      <c r="D1" s="7" t="s">
        <v>62</v>
      </c>
      <c r="E1" s="1" t="s">
        <v>63</v>
      </c>
      <c r="F1" s="7" t="s">
        <v>64</v>
      </c>
    </row>
    <row r="2" spans="1:6" x14ac:dyDescent="0.35">
      <c r="A2" s="7" t="s">
        <v>13</v>
      </c>
      <c r="B2" s="9">
        <v>52.5</v>
      </c>
      <c r="C2">
        <f>B2*0.5</f>
        <v>26.25</v>
      </c>
      <c r="D2" s="9">
        <v>23.8</v>
      </c>
      <c r="E2">
        <f>B2*0.5</f>
        <v>26.25</v>
      </c>
      <c r="F2" s="9">
        <v>565.79999999999995</v>
      </c>
    </row>
    <row r="3" spans="1:6" x14ac:dyDescent="0.35">
      <c r="A3" s="7" t="s">
        <v>18</v>
      </c>
      <c r="B3" s="9">
        <v>21</v>
      </c>
      <c r="C3">
        <f t="shared" ref="C3:C5" si="0">B3*0.5</f>
        <v>10.5</v>
      </c>
      <c r="D3" s="9">
        <v>9.6</v>
      </c>
      <c r="E3">
        <f t="shared" ref="E3:E5" si="1">B3*0.5</f>
        <v>10.5</v>
      </c>
      <c r="F3" s="9">
        <v>229</v>
      </c>
    </row>
    <row r="4" spans="1:6" x14ac:dyDescent="0.35">
      <c r="A4" s="7" t="s">
        <v>21</v>
      </c>
      <c r="B4" s="9">
        <v>10.5</v>
      </c>
      <c r="C4">
        <f t="shared" si="0"/>
        <v>5.25</v>
      </c>
      <c r="D4" s="9">
        <v>4.5999999999999996</v>
      </c>
      <c r="E4">
        <f t="shared" si="1"/>
        <v>5.25</v>
      </c>
      <c r="F4" s="9">
        <v>110.7</v>
      </c>
    </row>
    <row r="5" spans="1:6" x14ac:dyDescent="0.35">
      <c r="A5" s="7" t="s">
        <v>23</v>
      </c>
      <c r="B5" s="9">
        <v>2.1</v>
      </c>
      <c r="C5">
        <f t="shared" si="0"/>
        <v>1.05</v>
      </c>
      <c r="D5" s="9">
        <v>1.1000000000000001</v>
      </c>
      <c r="E5">
        <f t="shared" si="1"/>
        <v>1.05</v>
      </c>
      <c r="F5" s="9">
        <v>22</v>
      </c>
    </row>
    <row r="6" spans="1:6" x14ac:dyDescent="0.35">
      <c r="A6" s="7"/>
      <c r="B6" s="9"/>
      <c r="C6" s="9"/>
      <c r="D6" s="9"/>
      <c r="F6" s="9"/>
    </row>
    <row r="7" spans="1:6" x14ac:dyDescent="0.35">
      <c r="A7" s="7" t="s">
        <v>65</v>
      </c>
      <c r="B7" s="10">
        <f>INTERCEPT(D2:D5,C2:C5)</f>
        <v>3.4013605442176242E-2</v>
      </c>
      <c r="C7" s="9"/>
      <c r="D7" s="9"/>
      <c r="F7" s="9"/>
    </row>
    <row r="8" spans="1:6" x14ac:dyDescent="0.35">
      <c r="A8" s="7" t="s">
        <v>66</v>
      </c>
      <c r="B8" s="10">
        <f>SLOPE(D2:D5,C2:C5)</f>
        <v>0.90508584386135416</v>
      </c>
      <c r="C8" s="9"/>
      <c r="D8" s="9"/>
      <c r="F8" s="9"/>
    </row>
    <row r="9" spans="1:6" x14ac:dyDescent="0.35">
      <c r="A9" s="7" t="s">
        <v>67</v>
      </c>
      <c r="B9" s="10">
        <f>STEYX(D2:D5,C2:C5)</f>
        <v>0.16099182385123328</v>
      </c>
      <c r="C9" s="9"/>
      <c r="D9" s="9"/>
      <c r="F9" s="9"/>
    </row>
    <row r="10" spans="1:6" x14ac:dyDescent="0.35">
      <c r="A10" s="7" t="s">
        <v>68</v>
      </c>
      <c r="B10" s="10">
        <f>(B9/B8)*3.3</f>
        <v>0.58698633097884689</v>
      </c>
      <c r="C10" s="9"/>
      <c r="D10" s="9"/>
      <c r="F10" s="9"/>
    </row>
    <row r="11" spans="1:6" x14ac:dyDescent="0.35">
      <c r="A11" s="7" t="s">
        <v>69</v>
      </c>
      <c r="B11" s="10">
        <f>(B9/B8)*10</f>
        <v>1.7787464575116574</v>
      </c>
      <c r="C11" s="9"/>
      <c r="D11" s="9"/>
      <c r="F11" s="9"/>
    </row>
    <row r="12" spans="1:6" x14ac:dyDescent="0.35">
      <c r="A12" s="7"/>
      <c r="B12" s="10"/>
      <c r="C12" s="9"/>
      <c r="D12" s="9"/>
      <c r="F12" s="9"/>
    </row>
    <row r="13" spans="1:6" x14ac:dyDescent="0.35">
      <c r="A13" s="7" t="s">
        <v>70</v>
      </c>
      <c r="B13" s="10">
        <f>INTERCEPT(F2:F5,E2:E5)</f>
        <v>-0.66364323507178824</v>
      </c>
      <c r="C13" s="9"/>
      <c r="D13" s="9"/>
      <c r="F13" s="9"/>
    </row>
    <row r="14" spans="1:6" x14ac:dyDescent="0.35">
      <c r="A14" s="7" t="s">
        <v>71</v>
      </c>
      <c r="B14" s="10">
        <f>SLOPE(F2:F5,E2:E5)</f>
        <v>21.606378000935823</v>
      </c>
      <c r="C14" s="9"/>
      <c r="D14" s="9"/>
      <c r="F14" s="9"/>
    </row>
    <row r="15" spans="1:6" x14ac:dyDescent="0.35">
      <c r="A15" s="7" t="s">
        <v>72</v>
      </c>
      <c r="B15" s="10">
        <f>STEYX(F2:F5,E2:E5)</f>
        <v>2.5101261287348238</v>
      </c>
      <c r="C15" s="9"/>
      <c r="D15" s="9"/>
      <c r="F15" s="9"/>
    </row>
    <row r="16" spans="1:6" x14ac:dyDescent="0.35">
      <c r="A16" s="7" t="s">
        <v>73</v>
      </c>
      <c r="B16" s="10">
        <f>(B15/B14)*3.3</f>
        <v>0.3833782887842721</v>
      </c>
      <c r="C16" s="9"/>
      <c r="D16" s="9"/>
      <c r="F16" s="9"/>
    </row>
    <row r="17" spans="1:6" x14ac:dyDescent="0.35">
      <c r="A17" s="7" t="s">
        <v>74</v>
      </c>
      <c r="B17" s="10">
        <f>(B15/B14)*10</f>
        <v>1.1617523902553701</v>
      </c>
      <c r="C17" s="9"/>
      <c r="D17" s="9"/>
      <c r="F17" s="9"/>
    </row>
    <row r="18" spans="1:6" x14ac:dyDescent="0.35">
      <c r="A18" s="9"/>
      <c r="B18" s="9"/>
      <c r="C18" s="9"/>
      <c r="D18" s="9"/>
      <c r="F18" s="9"/>
    </row>
    <row r="19" spans="1:6" x14ac:dyDescent="0.35">
      <c r="A19" s="9"/>
      <c r="B19" s="9"/>
      <c r="C19" s="9"/>
      <c r="D19" s="9"/>
      <c r="F19" s="9"/>
    </row>
    <row r="20" spans="1:6" x14ac:dyDescent="0.35">
      <c r="A20" s="9"/>
      <c r="B20" s="9"/>
      <c r="C20" s="9"/>
      <c r="D20" s="9"/>
      <c r="F20" s="9"/>
    </row>
    <row r="21" spans="1:6" x14ac:dyDescent="0.35">
      <c r="A21" s="9"/>
      <c r="B21" s="9"/>
      <c r="C21" s="9"/>
      <c r="D21" s="9"/>
      <c r="F21" s="9"/>
    </row>
    <row r="22" spans="1:6" x14ac:dyDescent="0.35">
      <c r="A22" s="9"/>
      <c r="B22" s="9"/>
      <c r="C22" s="9"/>
      <c r="D22" s="9"/>
      <c r="F22" s="9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21"/>
  <sheetViews>
    <sheetView topLeftCell="K1" zoomScale="55" zoomScaleNormal="55" workbookViewId="0">
      <selection activeCell="AH13" sqref="AH13"/>
    </sheetView>
  </sheetViews>
  <sheetFormatPr defaultColWidth="8.81640625" defaultRowHeight="14.5" x14ac:dyDescent="0.35"/>
  <cols>
    <col min="1" max="1" width="19.81640625" style="9" customWidth="1"/>
    <col min="2" max="2" width="21.81640625" style="9" customWidth="1"/>
    <col min="3" max="3" width="34.26953125" style="9" customWidth="1"/>
    <col min="4" max="4" width="21" style="9" hidden="1" customWidth="1"/>
    <col min="5" max="5" width="13.7265625" style="9" hidden="1" customWidth="1"/>
    <col min="6" max="6" width="17" style="9" hidden="1" customWidth="1"/>
    <col min="7" max="7" width="15.7265625" style="9" hidden="1" customWidth="1"/>
    <col min="8" max="8" width="23.81640625" style="9" hidden="1" customWidth="1"/>
    <col min="9" max="9" width="10.26953125" style="9" customWidth="1"/>
    <col min="10" max="10" width="7.26953125" style="9" customWidth="1"/>
    <col min="11" max="11" width="31" style="9" customWidth="1"/>
    <col min="12" max="12" width="17.7265625" style="9" hidden="1" customWidth="1"/>
    <col min="13" max="13" width="14.26953125" style="9" hidden="1" customWidth="1"/>
    <col min="14" max="14" width="9.26953125" style="9" customWidth="1"/>
    <col min="15" max="15" width="7.54296875" style="9" customWidth="1"/>
    <col min="16" max="17" width="7.7265625" style="9" customWidth="1"/>
    <col min="18" max="18" width="8.1796875" style="9" customWidth="1"/>
    <col min="19" max="19" width="18.7265625" style="9" customWidth="1"/>
    <col min="20" max="20" width="28.1796875" style="9" customWidth="1"/>
    <col min="21" max="21" width="13.7265625" style="9" customWidth="1"/>
    <col min="22" max="22" width="23.453125" style="9" customWidth="1"/>
    <col min="23" max="23" width="9" style="9" customWidth="1"/>
    <col min="24" max="24" width="31.1796875" style="9" customWidth="1"/>
    <col min="25" max="25" width="27.54296875" style="9" customWidth="1"/>
    <col min="26" max="26" width="12.81640625" style="9" customWidth="1"/>
    <col min="27" max="27" width="15.453125" style="9" customWidth="1"/>
    <col min="28" max="16384" width="8.81640625" style="9"/>
  </cols>
  <sheetData>
    <row r="1" spans="1:33" s="8" customFormat="1" ht="58" x14ac:dyDescent="0.35">
      <c r="A1" s="8" t="s">
        <v>75</v>
      </c>
      <c r="B1" s="8" t="s">
        <v>76</v>
      </c>
      <c r="C1" s="8" t="s">
        <v>77</v>
      </c>
      <c r="D1" s="8" t="s">
        <v>78</v>
      </c>
      <c r="E1" s="8" t="s">
        <v>79</v>
      </c>
      <c r="F1" s="8" t="s">
        <v>80</v>
      </c>
      <c r="G1" s="8" t="s">
        <v>81</v>
      </c>
      <c r="H1" s="8" t="s">
        <v>82</v>
      </c>
      <c r="I1" s="8" t="s">
        <v>83</v>
      </c>
      <c r="J1" s="8" t="s">
        <v>58</v>
      </c>
      <c r="K1" s="8" t="s">
        <v>84</v>
      </c>
      <c r="L1" s="8" t="s">
        <v>85</v>
      </c>
      <c r="M1" s="8" t="s">
        <v>86</v>
      </c>
      <c r="N1" s="8" t="s">
        <v>87</v>
      </c>
      <c r="O1" s="8" t="s">
        <v>88</v>
      </c>
      <c r="P1" s="8" t="s">
        <v>89</v>
      </c>
      <c r="Q1" s="8" t="s">
        <v>90</v>
      </c>
      <c r="R1" s="8" t="s">
        <v>91</v>
      </c>
      <c r="S1" s="8" t="s">
        <v>92</v>
      </c>
      <c r="T1" s="8" t="s">
        <v>93</v>
      </c>
      <c r="U1" s="8" t="s">
        <v>94</v>
      </c>
      <c r="V1" s="8" t="s">
        <v>95</v>
      </c>
      <c r="W1" s="8" t="s">
        <v>96</v>
      </c>
      <c r="X1" s="8" t="s">
        <v>97</v>
      </c>
      <c r="Y1" s="8" t="s">
        <v>98</v>
      </c>
      <c r="Z1" s="8" t="s">
        <v>99</v>
      </c>
      <c r="AA1" s="8" t="s">
        <v>100</v>
      </c>
      <c r="AC1" s="8" t="s">
        <v>101</v>
      </c>
      <c r="AD1" s="8" t="s">
        <v>12</v>
      </c>
      <c r="AF1" s="8" t="s">
        <v>102</v>
      </c>
      <c r="AG1" s="8" t="s">
        <v>103</v>
      </c>
    </row>
    <row r="2" spans="1:33" x14ac:dyDescent="0.35">
      <c r="A2" s="9" t="s">
        <v>104</v>
      </c>
      <c r="C2" s="9">
        <v>1.0045999999999999</v>
      </c>
      <c r="D2" s="9" t="s">
        <v>105</v>
      </c>
      <c r="E2" s="9">
        <v>356.12</v>
      </c>
      <c r="F2" s="9">
        <v>1047.96</v>
      </c>
      <c r="G2" s="9">
        <v>920.81</v>
      </c>
      <c r="H2" s="9">
        <f>G2-E2</f>
        <v>564.68999999999994</v>
      </c>
      <c r="I2" s="9">
        <f>H2/1000</f>
        <v>0.56468999999999991</v>
      </c>
      <c r="J2" s="12">
        <f>(F2-E2-H2)/H2</f>
        <v>0.22516779117746039</v>
      </c>
      <c r="K2" s="9" t="s">
        <v>106</v>
      </c>
      <c r="L2" s="9">
        <v>10.53</v>
      </c>
      <c r="M2" s="9">
        <v>0.02</v>
      </c>
      <c r="N2" s="9">
        <v>1.7</v>
      </c>
      <c r="O2" s="14"/>
      <c r="P2" s="11">
        <f>(N2-'Calibration lines '!$B$7)/'Calibration lines '!$B$8</f>
        <v>1.8406943450250541</v>
      </c>
      <c r="Q2" s="15"/>
      <c r="R2" s="11">
        <f>((P2*M2)/L2)*1000</f>
        <v>3.4960956220798747</v>
      </c>
      <c r="S2" s="16"/>
      <c r="T2" s="91">
        <f>AVERAGE(R2:R4)</f>
        <v>3.8546014306988408</v>
      </c>
      <c r="U2" s="91">
        <f>_xlfn.STDEV.S(R2:R4)</f>
        <v>0.35028043919535723</v>
      </c>
      <c r="V2" s="93"/>
      <c r="W2" s="90"/>
      <c r="X2" s="91">
        <f>T2*I2</f>
        <v>2.1766548819013281</v>
      </c>
      <c r="Y2" s="93"/>
      <c r="Z2" s="94">
        <f>X2/1000</f>
        <v>2.1766548819013281E-3</v>
      </c>
      <c r="AA2" s="93"/>
      <c r="AC2" s="9">
        <f>R2*$I2</f>
        <v>1.974210236832284</v>
      </c>
      <c r="AF2" s="9">
        <f>AC2/('Total Values (Molar Ratio)'!C$47*1000)</f>
        <v>1.96510524917776E-3</v>
      </c>
      <c r="AG2" s="9">
        <f>AD2/('Total Values (Molar Ratio)'!C$48*1000)</f>
        <v>0</v>
      </c>
    </row>
    <row r="3" spans="1:33" x14ac:dyDescent="0.35">
      <c r="K3" s="9" t="s">
        <v>107</v>
      </c>
      <c r="L3" s="9">
        <v>10.65</v>
      </c>
      <c r="M3" s="9">
        <v>0.02</v>
      </c>
      <c r="N3" s="9">
        <v>1.9</v>
      </c>
      <c r="O3" s="14"/>
      <c r="P3" s="11">
        <f>(N3-'Calibration lines '!$B$7)/'Calibration lines '!$B$8</f>
        <v>2.0616678596993561</v>
      </c>
      <c r="Q3" s="15"/>
      <c r="R3" s="11">
        <f>((P3*M3)/L3)*1000</f>
        <v>3.8716767318297767</v>
      </c>
      <c r="S3" s="16"/>
      <c r="T3" s="91"/>
      <c r="U3" s="91"/>
      <c r="V3" s="90"/>
      <c r="W3" s="90"/>
      <c r="X3" s="91"/>
      <c r="Y3" s="90"/>
      <c r="Z3" s="94"/>
      <c r="AA3" s="90"/>
      <c r="AC3" s="9">
        <f>R3*$I2</f>
        <v>2.1862971336969563</v>
      </c>
      <c r="AF3" s="9">
        <f>AC3/('Total Values (Molar Ratio)'!C$47*1000)</f>
        <v>2.1762140087895647E-3</v>
      </c>
      <c r="AG3" s="9">
        <f>AD3/('Total Values (Molar Ratio)'!C$48*1000)</f>
        <v>0</v>
      </c>
    </row>
    <row r="4" spans="1:33" x14ac:dyDescent="0.35">
      <c r="K4" s="9" t="s">
        <v>108</v>
      </c>
      <c r="L4" s="9">
        <v>10.88</v>
      </c>
      <c r="M4" s="9">
        <v>0.02</v>
      </c>
      <c r="N4" s="9">
        <v>2.1</v>
      </c>
      <c r="O4" s="14"/>
      <c r="P4" s="11">
        <f>(N4-'Calibration lines '!$B$7)/'Calibration lines '!$B$8</f>
        <v>2.2826413743736582</v>
      </c>
      <c r="Q4" s="15"/>
      <c r="R4" s="11">
        <f t="shared" ref="R4:R66" si="0">((P4*M4)/L4)*1000</f>
        <v>4.1960319381868709</v>
      </c>
      <c r="S4" s="16"/>
      <c r="T4" s="91"/>
      <c r="U4" s="91"/>
      <c r="V4" s="90"/>
      <c r="W4" s="90"/>
      <c r="X4" s="91"/>
      <c r="Y4" s="90"/>
      <c r="Z4" s="94"/>
      <c r="AA4" s="90"/>
      <c r="AC4" s="9">
        <f>R4*$I2</f>
        <v>2.3694572751747436</v>
      </c>
      <c r="AF4" s="9">
        <f>AC4/('Total Values (Molar Ratio)'!C$47*1000)</f>
        <v>2.3585294221852848E-3</v>
      </c>
      <c r="AG4" s="9">
        <f>AD4/('Total Values (Molar Ratio)'!C$48*1000)</f>
        <v>0</v>
      </c>
    </row>
    <row r="5" spans="1:33" x14ac:dyDescent="0.35">
      <c r="D5" s="9" t="s">
        <v>109</v>
      </c>
      <c r="E5" s="9">
        <v>348.49</v>
      </c>
      <c r="F5" s="9">
        <v>1153.22</v>
      </c>
      <c r="G5" s="9">
        <v>1010.35</v>
      </c>
      <c r="H5" s="9">
        <f>G5-E5</f>
        <v>661.86</v>
      </c>
      <c r="I5" s="9">
        <f t="shared" ref="I5:I65" si="1">H5/1000</f>
        <v>0.66186</v>
      </c>
      <c r="J5" s="12">
        <f>(F5-E5-H5)/H5</f>
        <v>0.21586136040854562</v>
      </c>
      <c r="K5" s="9" t="s">
        <v>110</v>
      </c>
      <c r="L5" s="9">
        <v>10.42</v>
      </c>
      <c r="M5" s="9">
        <v>0.02</v>
      </c>
      <c r="N5" s="9">
        <v>0</v>
      </c>
      <c r="O5" s="14"/>
      <c r="P5" s="11">
        <f>(N5-'Calibration lines '!$B$7)/'Calibration lines '!$B$8</f>
        <v>-3.7580529706513259E-2</v>
      </c>
      <c r="Q5" s="15"/>
      <c r="R5" s="11">
        <f t="shared" si="0"/>
        <v>-7.2131534945322942E-2</v>
      </c>
      <c r="S5" s="16"/>
      <c r="T5" s="91">
        <f t="shared" ref="T5" si="2">AVERAGE(R5:R7)</f>
        <v>-7.2014330017263664E-2</v>
      </c>
      <c r="U5" s="91">
        <f t="shared" ref="U5" si="3">_xlfn.STDEV.S(R5:R7)</f>
        <v>2.6847811520305616E-3</v>
      </c>
      <c r="V5" s="93"/>
      <c r="W5" s="90"/>
      <c r="X5" s="91">
        <f>T5*I5</f>
        <v>-4.7663404465226128E-2</v>
      </c>
      <c r="Y5" s="93"/>
      <c r="Z5" s="94">
        <f t="shared" ref="Z5" si="4">X5/1000</f>
        <v>-4.766340446522613E-5</v>
      </c>
      <c r="AA5" s="93"/>
      <c r="AC5" s="9">
        <f t="shared" ref="AC5" si="5">R5*$I5</f>
        <v>-4.7740977718911441E-2</v>
      </c>
      <c r="AF5" s="9">
        <f>AC5/('Total Values (Molar Ratio)'!C$47*1000)</f>
        <v>-4.7520798021412229E-5</v>
      </c>
      <c r="AG5" s="9">
        <f>AD5/('Total Values (Molar Ratio)'!C$48*1000)</f>
        <v>0</v>
      </c>
    </row>
    <row r="6" spans="1:33" x14ac:dyDescent="0.35">
      <c r="K6" s="9" t="s">
        <v>111</v>
      </c>
      <c r="L6" s="9">
        <v>10.07</v>
      </c>
      <c r="M6" s="9">
        <v>0.02</v>
      </c>
      <c r="N6" s="9">
        <v>0</v>
      </c>
      <c r="O6" s="14"/>
      <c r="P6" s="11">
        <f>(N6-'Calibration lines '!$B$7)/'Calibration lines '!$B$8</f>
        <v>-3.7580529706513259E-2</v>
      </c>
      <c r="Q6" s="15"/>
      <c r="R6" s="11">
        <f t="shared" si="0"/>
        <v>-7.463858928801044E-2</v>
      </c>
      <c r="S6" s="16"/>
      <c r="T6" s="91"/>
      <c r="U6" s="91"/>
      <c r="V6" s="90"/>
      <c r="W6" s="90"/>
      <c r="X6" s="91"/>
      <c r="Y6" s="90"/>
      <c r="Z6" s="94"/>
      <c r="AA6" s="90"/>
      <c r="AC6" s="9">
        <f t="shared" ref="AC6" si="6">R6*$I5</f>
        <v>-4.940029670616259E-2</v>
      </c>
      <c r="AF6" s="9">
        <f>AC6/('Total Values (Molar Ratio)'!C$47*1000)</f>
        <v>-4.917246428829349E-5</v>
      </c>
      <c r="AG6" s="9">
        <f>AD6/('Total Values (Molar Ratio)'!C$48*1000)</f>
        <v>0</v>
      </c>
    </row>
    <row r="7" spans="1:33" x14ac:dyDescent="0.35">
      <c r="K7" s="9" t="s">
        <v>112</v>
      </c>
      <c r="L7" s="9">
        <v>10.85</v>
      </c>
      <c r="M7" s="9">
        <v>0.02</v>
      </c>
      <c r="N7" s="9">
        <v>0</v>
      </c>
      <c r="O7" s="14"/>
      <c r="P7" s="11">
        <f>(N7-'Calibration lines '!$B$7)/'Calibration lines '!$B$8</f>
        <v>-3.7580529706513259E-2</v>
      </c>
      <c r="Q7" s="15"/>
      <c r="R7" s="11">
        <f t="shared" si="0"/>
        <v>-6.927286581845761E-2</v>
      </c>
      <c r="S7" s="16"/>
      <c r="T7" s="91"/>
      <c r="U7" s="91"/>
      <c r="V7" s="90"/>
      <c r="W7" s="90"/>
      <c r="X7" s="91"/>
      <c r="Y7" s="90"/>
      <c r="Z7" s="94"/>
      <c r="AA7" s="90"/>
      <c r="AC7" s="9">
        <f t="shared" ref="AC7" si="7">R7*$I5</f>
        <v>-4.5848938970604353E-2</v>
      </c>
      <c r="AF7" s="9">
        <f>AC7/('Total Values (Molar Ratio)'!C$47*1000)</f>
        <v>-4.5637485288766397E-5</v>
      </c>
      <c r="AG7" s="9">
        <f>AD7/('Total Values (Molar Ratio)'!C$48*1000)</f>
        <v>0</v>
      </c>
    </row>
    <row r="8" spans="1:33" x14ac:dyDescent="0.35">
      <c r="D8" s="9" t="s">
        <v>113</v>
      </c>
      <c r="E8" s="9">
        <v>351.57</v>
      </c>
      <c r="F8" s="9">
        <v>932.63</v>
      </c>
      <c r="G8" s="9">
        <v>836.77</v>
      </c>
      <c r="H8" s="9">
        <f>G8-E8</f>
        <v>485.2</v>
      </c>
      <c r="I8" s="9">
        <f t="shared" si="1"/>
        <v>0.48519999999999996</v>
      </c>
      <c r="J8" s="12">
        <f>(F8-E8-H8)/H8</f>
        <v>0.19756801319043685</v>
      </c>
      <c r="K8" s="9" t="s">
        <v>114</v>
      </c>
      <c r="L8" s="9">
        <v>10.69</v>
      </c>
      <c r="M8" s="9">
        <v>0.02</v>
      </c>
      <c r="N8" s="9">
        <v>0</v>
      </c>
      <c r="O8" s="14"/>
      <c r="P8" s="11">
        <f>(N8-'Calibration lines '!$B$7)/'Calibration lines '!$B$8</f>
        <v>-3.7580529706513259E-2</v>
      </c>
      <c r="Q8" s="15"/>
      <c r="R8" s="11">
        <f t="shared" si="0"/>
        <v>-7.0309690751194129E-2</v>
      </c>
      <c r="S8" s="16"/>
      <c r="T8" s="91">
        <f t="shared" ref="T8" si="8">AVERAGE(R8:R10)</f>
        <v>-7.11125086878963E-2</v>
      </c>
      <c r="U8" s="91">
        <f t="shared" ref="U8" si="9">_xlfn.STDEV.S(R8:R10)</f>
        <v>6.9858243844070204E-4</v>
      </c>
      <c r="V8" s="93"/>
      <c r="W8" s="90"/>
      <c r="X8" s="91">
        <f t="shared" ref="X8" si="10">T8*I8</f>
        <v>-3.450378921536728E-2</v>
      </c>
      <c r="Y8" s="93"/>
      <c r="Z8" s="94">
        <f t="shared" ref="Z8" si="11">X8/1000</f>
        <v>-3.4503789215367278E-5</v>
      </c>
      <c r="AA8" s="93"/>
      <c r="AC8" s="9">
        <f t="shared" ref="AC8" si="12">R8*$I8</f>
        <v>-3.4114261952479387E-2</v>
      </c>
      <c r="AF8" s="9">
        <f>AC8/('Total Values (Molar Ratio)'!C$47*1000)</f>
        <v>-3.3956928185221193E-5</v>
      </c>
      <c r="AG8" s="9">
        <f>AD8/('Total Values (Molar Ratio)'!C$48*1000)</f>
        <v>0</v>
      </c>
    </row>
    <row r="9" spans="1:33" x14ac:dyDescent="0.35">
      <c r="K9" s="9" t="s">
        <v>115</v>
      </c>
      <c r="L9" s="9">
        <v>10.5</v>
      </c>
      <c r="M9" s="9">
        <v>0.02</v>
      </c>
      <c r="N9" s="9">
        <v>0</v>
      </c>
      <c r="O9" s="14"/>
      <c r="P9" s="11">
        <f>(N9-'Calibration lines '!$B$7)/'Calibration lines '!$B$8</f>
        <v>-3.7580529706513259E-2</v>
      </c>
      <c r="Q9" s="15"/>
      <c r="R9" s="11">
        <f t="shared" si="0"/>
        <v>-7.1581961345739534E-2</v>
      </c>
      <c r="S9" s="16"/>
      <c r="T9" s="91"/>
      <c r="U9" s="91"/>
      <c r="V9" s="90"/>
      <c r="W9" s="90"/>
      <c r="X9" s="91"/>
      <c r="Y9" s="90"/>
      <c r="Z9" s="94"/>
      <c r="AA9" s="90"/>
      <c r="AC9" s="9">
        <f t="shared" ref="AC9" si="13">R9*$I8</f>
        <v>-3.4731567644952818E-2</v>
      </c>
      <c r="AF9" s="9">
        <f>AC9/('Total Values (Molar Ratio)'!C$47*1000)</f>
        <v>-3.4571386885715662E-5</v>
      </c>
      <c r="AG9" s="9">
        <f>AD9/('Total Values (Molar Ratio)'!C$48*1000)</f>
        <v>0</v>
      </c>
    </row>
    <row r="10" spans="1:33" x14ac:dyDescent="0.35">
      <c r="K10" s="9" t="s">
        <v>116</v>
      </c>
      <c r="L10" s="9">
        <v>10.52</v>
      </c>
      <c r="M10" s="9">
        <v>0.02</v>
      </c>
      <c r="N10" s="9">
        <v>0</v>
      </c>
      <c r="O10" s="14"/>
      <c r="P10" s="11">
        <f>(N10-'Calibration lines '!$B$7)/'Calibration lines '!$B$8</f>
        <v>-3.7580529706513259E-2</v>
      </c>
      <c r="Q10" s="15"/>
      <c r="R10" s="11">
        <f t="shared" si="0"/>
        <v>-7.1445873966755252E-2</v>
      </c>
      <c r="S10" s="16"/>
      <c r="T10" s="91"/>
      <c r="U10" s="91"/>
      <c r="V10" s="90"/>
      <c r="W10" s="90"/>
      <c r="X10" s="91"/>
      <c r="Y10" s="90"/>
      <c r="Z10" s="94"/>
      <c r="AA10" s="90"/>
      <c r="AC10" s="9">
        <f t="shared" ref="AC10" si="14">R10*$I8</f>
        <v>-3.4665538048669647E-2</v>
      </c>
      <c r="AF10" s="9">
        <f>AC10/('Total Values (Molar Ratio)'!C$47*1000)</f>
        <v>-3.4505661815590743E-5</v>
      </c>
      <c r="AG10" s="9">
        <f>AD10/('Total Values (Molar Ratio)'!C$48*1000)</f>
        <v>0</v>
      </c>
    </row>
    <row r="11" spans="1:33" x14ac:dyDescent="0.35">
      <c r="D11" s="9" t="s">
        <v>117</v>
      </c>
      <c r="E11" s="9">
        <v>309.19</v>
      </c>
      <c r="F11" s="9">
        <v>1179.9100000000001</v>
      </c>
      <c r="G11" s="9">
        <v>1069.8499999999999</v>
      </c>
      <c r="H11" s="9">
        <f>G11-E11</f>
        <v>760.65999999999985</v>
      </c>
      <c r="I11" s="9">
        <f t="shared" si="1"/>
        <v>0.76065999999999989</v>
      </c>
      <c r="J11" s="12">
        <f>(F11-E11-H11)/H11</f>
        <v>0.14469013751216075</v>
      </c>
      <c r="K11" s="9" t="s">
        <v>118</v>
      </c>
      <c r="L11" s="9">
        <v>10.14</v>
      </c>
      <c r="M11" s="9">
        <v>0.02</v>
      </c>
      <c r="N11" s="9">
        <v>0</v>
      </c>
      <c r="O11" s="14"/>
      <c r="P11" s="11">
        <f>(N11-'Calibration lines '!$B$7)/'Calibration lines '!$B$8</f>
        <v>-3.7580529706513259E-2</v>
      </c>
      <c r="Q11" s="15"/>
      <c r="R11" s="11">
        <f>((P11*M11)/L11)*1000</f>
        <v>-7.4123332754464019E-2</v>
      </c>
      <c r="S11" s="16"/>
      <c r="T11" s="91">
        <f t="shared" ref="T11" si="15">AVERAGE(R11:R13)</f>
        <v>-7.4147819716419427E-2</v>
      </c>
      <c r="U11" s="91">
        <f t="shared" ref="U11" si="16">_xlfn.STDEV.S(R11:R13)</f>
        <v>1.1178821675662451E-4</v>
      </c>
      <c r="V11" s="93"/>
      <c r="W11" s="90"/>
      <c r="X11" s="91">
        <f t="shared" ref="X11" si="17">T11*I11</f>
        <v>-5.6401280545491594E-2</v>
      </c>
      <c r="Y11" s="93"/>
      <c r="Z11" s="94">
        <f t="shared" ref="Z11" si="18">X11/1000</f>
        <v>-5.6401280545491593E-5</v>
      </c>
      <c r="AA11" s="93"/>
      <c r="AC11" s="9">
        <f t="shared" ref="AC11" si="19">R11*$I11</f>
        <v>-5.6382654293010592E-2</v>
      </c>
      <c r="AF11" s="9">
        <f>AC11/('Total Values (Molar Ratio)'!C$47*1000)</f>
        <v>-5.6122619489376472E-5</v>
      </c>
      <c r="AG11" s="9">
        <f>AD11/('Total Values (Molar Ratio)'!C$48*1000)</f>
        <v>0</v>
      </c>
    </row>
    <row r="12" spans="1:33" x14ac:dyDescent="0.35">
      <c r="K12" s="9" t="s">
        <v>119</v>
      </c>
      <c r="L12" s="9">
        <v>10.119999999999999</v>
      </c>
      <c r="M12" s="9">
        <v>0.02</v>
      </c>
      <c r="N12" s="9">
        <v>0</v>
      </c>
      <c r="O12" s="14"/>
      <c r="P12" s="11">
        <f>(N12-'Calibration lines '!$B$7)/'Calibration lines '!$B$8</f>
        <v>-3.7580529706513259E-2</v>
      </c>
      <c r="Q12" s="15"/>
      <c r="R12" s="11">
        <f t="shared" si="0"/>
        <v>-7.4269821554374046E-2</v>
      </c>
      <c r="S12" s="16"/>
      <c r="T12" s="91"/>
      <c r="U12" s="91"/>
      <c r="V12" s="90"/>
      <c r="W12" s="90"/>
      <c r="X12" s="91"/>
      <c r="Y12" s="90"/>
      <c r="Z12" s="94"/>
      <c r="AA12" s="90"/>
      <c r="AC12" s="9">
        <f t="shared" ref="AC12" si="20">R12*$I11</f>
        <v>-5.6494082463550151E-2</v>
      </c>
      <c r="AF12" s="9">
        <f>AC12/('Total Values (Molar Ratio)'!C$47*1000)</f>
        <v>-5.623353375714205E-5</v>
      </c>
      <c r="AG12" s="9">
        <f>AD12/('Total Values (Molar Ratio)'!C$48*1000)</f>
        <v>0</v>
      </c>
    </row>
    <row r="13" spans="1:33" x14ac:dyDescent="0.35">
      <c r="K13" s="9" t="s">
        <v>120</v>
      </c>
      <c r="L13" s="9">
        <v>10.15</v>
      </c>
      <c r="M13" s="9">
        <v>0.02</v>
      </c>
      <c r="N13" s="9">
        <v>0</v>
      </c>
      <c r="O13" s="14"/>
      <c r="P13" s="11">
        <f>(N13-'Calibration lines '!$B$7)/'Calibration lines '!$B$8</f>
        <v>-3.7580529706513259E-2</v>
      </c>
      <c r="Q13" s="15"/>
      <c r="R13" s="11">
        <f t="shared" si="0"/>
        <v>-7.4050304840420217E-2</v>
      </c>
      <c r="S13" s="16"/>
      <c r="T13" s="91"/>
      <c r="U13" s="91"/>
      <c r="V13" s="90"/>
      <c r="W13" s="90"/>
      <c r="X13" s="91"/>
      <c r="Y13" s="90"/>
      <c r="Z13" s="94"/>
      <c r="AA13" s="90"/>
      <c r="AC13" s="9">
        <f t="shared" ref="AC13" si="21">R13*$I11</f>
        <v>-5.6327104879914033E-2</v>
      </c>
      <c r="AF13" s="9">
        <f>AC13/('Total Values (Molar Ratio)'!C$47*1000)</f>
        <v>-5.6067326268204677E-5</v>
      </c>
      <c r="AG13" s="9">
        <f>AD13/('Total Values (Molar Ratio)'!C$48*1000)</f>
        <v>0</v>
      </c>
    </row>
    <row r="14" spans="1:33" x14ac:dyDescent="0.35">
      <c r="A14" s="9" t="s">
        <v>121</v>
      </c>
      <c r="C14" s="9">
        <v>1.0056</v>
      </c>
      <c r="D14" s="9" t="s">
        <v>122</v>
      </c>
      <c r="E14" s="9">
        <v>550.12</v>
      </c>
      <c r="F14" s="9">
        <v>1272.52</v>
      </c>
      <c r="G14" s="9">
        <v>1134.58</v>
      </c>
      <c r="H14" s="9">
        <f>G14-E14</f>
        <v>584.45999999999992</v>
      </c>
      <c r="I14" s="9">
        <f t="shared" si="1"/>
        <v>0.58445999999999987</v>
      </c>
      <c r="J14" s="12">
        <f>(F14-E14-H14)/H14</f>
        <v>0.23601272969920964</v>
      </c>
      <c r="K14" s="9" t="s">
        <v>123</v>
      </c>
      <c r="L14" s="9">
        <v>10.29</v>
      </c>
      <c r="M14" s="9">
        <v>0.02</v>
      </c>
      <c r="O14" s="14"/>
      <c r="P14" s="11">
        <f>(N14-'Calibration lines '!$B$7)/'Calibration lines '!$B$8</f>
        <v>-3.7580529706513259E-2</v>
      </c>
      <c r="Q14" s="15"/>
      <c r="R14" s="11">
        <f t="shared" si="0"/>
        <v>-7.3042817699734225E-2</v>
      </c>
      <c r="S14" s="16"/>
      <c r="T14" s="91">
        <f t="shared" ref="T14" si="22">AVERAGE(R14:R16)</f>
        <v>-7.2888688565806131E-2</v>
      </c>
      <c r="U14" s="91">
        <f t="shared" ref="U14" si="23">_xlfn.STDEV.S(R14:R16)</f>
        <v>1.1011757117652574E-3</v>
      </c>
      <c r="V14" s="93"/>
      <c r="W14" s="90"/>
      <c r="X14" s="91">
        <f>T14*I14</f>
        <v>-4.260052291917104E-2</v>
      </c>
      <c r="Y14" s="93"/>
      <c r="Z14" s="94">
        <f t="shared" ref="Z14" si="24">X14/1000</f>
        <v>-4.2600522919171037E-5</v>
      </c>
      <c r="AA14" s="93"/>
      <c r="AC14" s="9">
        <f t="shared" ref="AC14" si="25">R14*$I14</f>
        <v>-4.2690605232786658E-2</v>
      </c>
      <c r="AF14" s="9">
        <f>AC14/('Total Values (Molar Ratio)'!C$47*1000)</f>
        <v>-4.2493717674229392E-5</v>
      </c>
      <c r="AG14" s="9">
        <f>AD14/('Total Values (Molar Ratio)'!C$48*1000)</f>
        <v>0</v>
      </c>
    </row>
    <row r="15" spans="1:33" x14ac:dyDescent="0.35">
      <c r="K15" s="9" t="s">
        <v>124</v>
      </c>
      <c r="L15" s="9">
        <v>10.48</v>
      </c>
      <c r="M15" s="9">
        <v>0.02</v>
      </c>
      <c r="O15" s="14"/>
      <c r="P15" s="11">
        <f>(N15-'Calibration lines '!$B$7)/'Calibration lines '!$B$8</f>
        <v>-3.7580529706513259E-2</v>
      </c>
      <c r="Q15" s="15"/>
      <c r="R15" s="11">
        <f t="shared" si="0"/>
        <v>-7.1718568142200873E-2</v>
      </c>
      <c r="S15" s="16"/>
      <c r="T15" s="91"/>
      <c r="U15" s="91"/>
      <c r="V15" s="90"/>
      <c r="W15" s="90"/>
      <c r="X15" s="91"/>
      <c r="Y15" s="90"/>
      <c r="Z15" s="94"/>
      <c r="AA15" s="90"/>
      <c r="AC15" s="9">
        <f t="shared" ref="AC15" si="26">R15*$I14</f>
        <v>-4.1916634336390715E-2</v>
      </c>
      <c r="AF15" s="9">
        <f>AC15/('Total Values (Molar Ratio)'!C$47*1000)</f>
        <v>-4.172331630418134E-5</v>
      </c>
      <c r="AG15" s="9">
        <f>AD15/('Total Values (Molar Ratio)'!C$48*1000)</f>
        <v>0</v>
      </c>
    </row>
    <row r="16" spans="1:33" x14ac:dyDescent="0.35">
      <c r="K16" s="9" t="s">
        <v>125</v>
      </c>
      <c r="L16" s="9">
        <v>10.17</v>
      </c>
      <c r="M16" s="9">
        <v>0.02</v>
      </c>
      <c r="O16" s="14"/>
      <c r="P16" s="11">
        <f>(N16-'Calibration lines '!$B$7)/'Calibration lines '!$B$8</f>
        <v>-3.7580529706513259E-2</v>
      </c>
      <c r="Q16" s="15"/>
      <c r="R16" s="11">
        <f t="shared" si="0"/>
        <v>-7.3904679855483296E-2</v>
      </c>
      <c r="S16" s="16"/>
      <c r="T16" s="91"/>
      <c r="U16" s="91"/>
      <c r="V16" s="90"/>
      <c r="W16" s="90"/>
      <c r="X16" s="91"/>
      <c r="Y16" s="90"/>
      <c r="Z16" s="94"/>
      <c r="AA16" s="90"/>
      <c r="AC16" s="9">
        <f t="shared" ref="AC16" si="27">R16*$I14</f>
        <v>-4.319432918833576E-2</v>
      </c>
      <c r="AF16" s="9">
        <f>AC16/('Total Values (Molar Ratio)'!C$47*1000)</f>
        <v>-4.2995118472745372E-5</v>
      </c>
      <c r="AG16" s="9">
        <f>AD16/('Total Values (Molar Ratio)'!C$48*1000)</f>
        <v>0</v>
      </c>
    </row>
    <row r="17" spans="1:33" x14ac:dyDescent="0.35">
      <c r="D17" s="9" t="s">
        <v>126</v>
      </c>
      <c r="E17" s="9">
        <v>548.1</v>
      </c>
      <c r="F17" s="9">
        <v>1344.98</v>
      </c>
      <c r="G17" s="9">
        <v>1211.0899999999999</v>
      </c>
      <c r="H17" s="9">
        <f>G17-E17</f>
        <v>662.9899999999999</v>
      </c>
      <c r="I17" s="9">
        <f t="shared" si="1"/>
        <v>0.66298999999999986</v>
      </c>
      <c r="J17" s="12">
        <f>(F17-E17-H17)/H17</f>
        <v>0.20194874734158905</v>
      </c>
      <c r="K17" s="9" t="s">
        <v>127</v>
      </c>
      <c r="L17" s="9">
        <v>10.06</v>
      </c>
      <c r="M17" s="9">
        <v>0.02</v>
      </c>
      <c r="O17" s="14"/>
      <c r="P17" s="11">
        <f>(N17-'Calibration lines '!$B$7)/'Calibration lines '!$B$8</f>
        <v>-3.7580529706513259E-2</v>
      </c>
      <c r="Q17" s="15"/>
      <c r="R17" s="11">
        <f t="shared" si="0"/>
        <v>-7.4712782716726156E-2</v>
      </c>
      <c r="S17" s="16"/>
      <c r="T17" s="91">
        <f t="shared" ref="T17" si="28">AVERAGE(R17:R19)</f>
        <v>-7.4519460888554004E-2</v>
      </c>
      <c r="U17" s="91">
        <f t="shared" ref="U17" si="29">_xlfn.STDEV.S(R17:R19)</f>
        <v>6.8398029341044735E-4</v>
      </c>
      <c r="V17" s="93"/>
      <c r="W17" s="90"/>
      <c r="X17" s="91">
        <f t="shared" ref="X17" si="30">T17*I17</f>
        <v>-4.9405657374502407E-2</v>
      </c>
      <c r="Y17" s="93"/>
      <c r="Z17" s="94">
        <f t="shared" ref="Z17" si="31">X17/1000</f>
        <v>-4.9405657374502407E-5</v>
      </c>
      <c r="AA17" s="93"/>
      <c r="AC17" s="9">
        <f t="shared" ref="AC17" si="32">R17*$I17</f>
        <v>-4.9533827813362262E-2</v>
      </c>
      <c r="AF17" s="9">
        <f>AC17/('Total Values (Molar Ratio)'!C$47*1000)</f>
        <v>-4.9305379554758543E-5</v>
      </c>
      <c r="AG17" s="9">
        <f>AD17/('Total Values (Molar Ratio)'!C$48*1000)</f>
        <v>0</v>
      </c>
    </row>
    <row r="18" spans="1:33" x14ac:dyDescent="0.35">
      <c r="K18" s="9" t="s">
        <v>128</v>
      </c>
      <c r="L18" s="9">
        <v>10.01</v>
      </c>
      <c r="M18" s="9">
        <v>0.02</v>
      </c>
      <c r="O18" s="14"/>
      <c r="P18" s="11">
        <f>(N18-'Calibration lines '!$B$7)/'Calibration lines '!$B$8</f>
        <v>-3.7580529706513259E-2</v>
      </c>
      <c r="Q18" s="15"/>
      <c r="R18" s="11">
        <f t="shared" si="0"/>
        <v>-7.5085973439586937E-2</v>
      </c>
      <c r="S18" s="16"/>
      <c r="T18" s="91"/>
      <c r="U18" s="91"/>
      <c r="V18" s="90"/>
      <c r="W18" s="90"/>
      <c r="X18" s="91"/>
      <c r="Y18" s="90"/>
      <c r="Z18" s="94"/>
      <c r="AA18" s="90"/>
      <c r="AC18" s="9">
        <f t="shared" ref="AC18" si="33">R18*$I17</f>
        <v>-4.9781249530711731E-2</v>
      </c>
      <c r="AF18" s="9">
        <f>AC18/('Total Values (Molar Ratio)'!C$47*1000)</f>
        <v>-4.9551660171915188E-5</v>
      </c>
      <c r="AG18" s="9">
        <f>AD18/('Total Values (Molar Ratio)'!C$48*1000)</f>
        <v>0</v>
      </c>
    </row>
    <row r="19" spans="1:33" x14ac:dyDescent="0.35">
      <c r="K19" s="9" t="s">
        <v>129</v>
      </c>
      <c r="L19" s="9">
        <v>10.19</v>
      </c>
      <c r="M19" s="9">
        <v>0.02</v>
      </c>
      <c r="O19" s="14"/>
      <c r="P19" s="11">
        <f>(N19-'Calibration lines '!$B$7)/'Calibration lines '!$B$8</f>
        <v>-3.7580529706513259E-2</v>
      </c>
      <c r="Q19" s="15"/>
      <c r="R19" s="11">
        <f t="shared" si="0"/>
        <v>-7.3759626509348891E-2</v>
      </c>
      <c r="S19" s="16"/>
      <c r="T19" s="91"/>
      <c r="U19" s="91"/>
      <c r="V19" s="90"/>
      <c r="W19" s="90"/>
      <c r="X19" s="91"/>
      <c r="Y19" s="90"/>
      <c r="Z19" s="94"/>
      <c r="AA19" s="90"/>
      <c r="AC19" s="9">
        <f t="shared" ref="AC19" si="34">R19*$I17</f>
        <v>-4.8901894779433214E-2</v>
      </c>
      <c r="AF19" s="9">
        <f>AC19/('Total Values (Molar Ratio)'!C$47*1000)</f>
        <v>-4.867636097358891E-5</v>
      </c>
      <c r="AG19" s="9">
        <f>AD19/('Total Values (Molar Ratio)'!C$48*1000)</f>
        <v>0</v>
      </c>
    </row>
    <row r="20" spans="1:33" x14ac:dyDescent="0.35">
      <c r="D20" s="9" t="s">
        <v>130</v>
      </c>
      <c r="E20" s="9">
        <v>547.17999999999995</v>
      </c>
      <c r="F20" s="9">
        <v>1318.23</v>
      </c>
      <c r="G20" s="9">
        <v>1199.05</v>
      </c>
      <c r="H20" s="9">
        <f>G20-E20</f>
        <v>651.87</v>
      </c>
      <c r="I20" s="9">
        <f t="shared" si="1"/>
        <v>0.65186999999999995</v>
      </c>
      <c r="J20" s="12">
        <f>(F20-E20-H20)/H20</f>
        <v>0.18282786445150118</v>
      </c>
      <c r="K20" s="9" t="s">
        <v>131</v>
      </c>
      <c r="L20" s="9">
        <v>10.11</v>
      </c>
      <c r="M20" s="9">
        <v>0.02</v>
      </c>
      <c r="O20" s="14"/>
      <c r="P20" s="11">
        <f>(N20-'Calibration lines '!$B$7)/'Calibration lines '!$B$8</f>
        <v>-3.7580529706513259E-2</v>
      </c>
      <c r="Q20" s="15"/>
      <c r="R20" s="11">
        <f t="shared" si="0"/>
        <v>-7.4343283296762139E-2</v>
      </c>
      <c r="S20" s="16"/>
      <c r="T20" s="91">
        <f t="shared" ref="T20" si="35">AVERAGE(R20:R22)</f>
        <v>-7.4448548605248868E-2</v>
      </c>
      <c r="U20" s="91">
        <f t="shared" ref="U20" si="36">_xlfn.STDEV.S(R20:R22)</f>
        <v>8.9071720864008325E-4</v>
      </c>
      <c r="V20" s="93"/>
      <c r="W20" s="90"/>
      <c r="X20" s="91">
        <f t="shared" ref="X20" si="37">T20*I20</f>
        <v>-4.8530775379303573E-2</v>
      </c>
      <c r="Y20" s="93"/>
      <c r="Z20" s="94">
        <f t="shared" ref="Z20" si="38">X20/1000</f>
        <v>-4.8530775379303574E-5</v>
      </c>
      <c r="AA20" s="93"/>
      <c r="AC20" s="9">
        <f t="shared" ref="AC20" si="39">R20*$I20</f>
        <v>-4.8462156082660329E-2</v>
      </c>
      <c r="AF20" s="9">
        <f>AC20/('Total Values (Molar Ratio)'!C$47*1000)</f>
        <v>-4.8238650336103046E-5</v>
      </c>
      <c r="AG20" s="9">
        <f>AD20/('Total Values (Molar Ratio)'!C$48*1000)</f>
        <v>0</v>
      </c>
    </row>
    <row r="21" spans="1:33" x14ac:dyDescent="0.35">
      <c r="K21" s="9" t="s">
        <v>132</v>
      </c>
      <c r="L21" s="9">
        <v>9.9700000000000006</v>
      </c>
      <c r="M21" s="9">
        <v>0.02</v>
      </c>
      <c r="O21" s="14"/>
      <c r="P21" s="11">
        <f>(N21-'Calibration lines '!$B$7)/'Calibration lines '!$B$8</f>
        <v>-3.7580529706513259E-2</v>
      </c>
      <c r="Q21" s="15"/>
      <c r="R21" s="11">
        <f t="shared" si="0"/>
        <v>-7.538722107625527E-2</v>
      </c>
      <c r="S21" s="16"/>
      <c r="T21" s="91"/>
      <c r="U21" s="91"/>
      <c r="V21" s="90"/>
      <c r="W21" s="90"/>
      <c r="X21" s="91"/>
      <c r="Y21" s="90"/>
      <c r="Z21" s="94"/>
      <c r="AA21" s="90"/>
      <c r="AC21" s="9">
        <f t="shared" ref="AC21" si="40">R21*$I20</f>
        <v>-4.9142667802978518E-2</v>
      </c>
      <c r="AF21" s="9">
        <f>AC21/('Total Values (Molar Ratio)'!C$47*1000)</f>
        <v>-4.8916023560481613E-5</v>
      </c>
      <c r="AG21" s="9">
        <f>AD21/('Total Values (Molar Ratio)'!C$48*1000)</f>
        <v>0</v>
      </c>
    </row>
    <row r="22" spans="1:33" x14ac:dyDescent="0.35">
      <c r="K22" s="9" t="s">
        <v>133</v>
      </c>
      <c r="L22" s="9">
        <v>10.210000000000001</v>
      </c>
      <c r="M22" s="9">
        <v>0.02</v>
      </c>
      <c r="O22" s="14"/>
      <c r="P22" s="11">
        <f>(N22-'Calibration lines '!$B$7)/'Calibration lines '!$B$8</f>
        <v>-3.7580529706513259E-2</v>
      </c>
      <c r="Q22" s="15"/>
      <c r="R22" s="11">
        <f t="shared" si="0"/>
        <v>-7.3615141442729196E-2</v>
      </c>
      <c r="S22" s="16"/>
      <c r="T22" s="91"/>
      <c r="U22" s="91"/>
      <c r="V22" s="90"/>
      <c r="W22" s="90"/>
      <c r="X22" s="91"/>
      <c r="Y22" s="90"/>
      <c r="Z22" s="94"/>
      <c r="AA22" s="90"/>
      <c r="AC22" s="9">
        <f t="shared" ref="AC22" si="41">R22*$I20</f>
        <v>-4.7987502252271878E-2</v>
      </c>
      <c r="AF22" s="9">
        <f>AC22/('Total Values (Molar Ratio)'!C$47*1000)</f>
        <v>-4.7766185592360602E-5</v>
      </c>
      <c r="AG22" s="9">
        <f>AD22/('Total Values (Molar Ratio)'!C$48*1000)</f>
        <v>0</v>
      </c>
    </row>
    <row r="23" spans="1:33" x14ac:dyDescent="0.35">
      <c r="D23" s="9" t="s">
        <v>134</v>
      </c>
      <c r="E23" s="9">
        <v>546.01</v>
      </c>
      <c r="F23" s="9">
        <v>1305.3900000000001</v>
      </c>
      <c r="G23" s="9">
        <v>1214.68</v>
      </c>
      <c r="H23" s="9">
        <f>G23-E23</f>
        <v>668.67000000000007</v>
      </c>
      <c r="I23" s="9">
        <f t="shared" si="1"/>
        <v>0.6686700000000001</v>
      </c>
      <c r="J23" s="12">
        <f>(F23-E23-H23)/H23</f>
        <v>0.13565734966425894</v>
      </c>
      <c r="K23" s="9" t="s">
        <v>135</v>
      </c>
      <c r="L23" s="9">
        <v>10.220000000000001</v>
      </c>
      <c r="M23" s="9">
        <v>0.02</v>
      </c>
      <c r="O23" s="14"/>
      <c r="P23" s="11">
        <f>(N23-'Calibration lines '!$B$7)/'Calibration lines '!$B$8</f>
        <v>-3.7580529706513259E-2</v>
      </c>
      <c r="Q23" s="15"/>
      <c r="R23" s="11">
        <f t="shared" si="0"/>
        <v>-7.35431109716502E-2</v>
      </c>
      <c r="S23" s="16"/>
      <c r="T23" s="91">
        <f t="shared" ref="T23" si="42">AVERAGE(R23:R25)</f>
        <v>-7.3591884556370196E-2</v>
      </c>
      <c r="U23" s="91">
        <f t="shared" ref="U23" si="43">_xlfn.STDEV.S(R23:R25)</f>
        <v>2.9148518605991446E-4</v>
      </c>
      <c r="V23" s="93"/>
      <c r="W23" s="90"/>
      <c r="X23" s="91">
        <f t="shared" ref="X23" si="44">T23*I23</f>
        <v>-4.9208685446308069E-2</v>
      </c>
      <c r="Y23" s="93"/>
      <c r="Z23" s="94">
        <f t="shared" ref="Z23" si="45">X23/1000</f>
        <v>-4.9208685446308071E-5</v>
      </c>
      <c r="AA23" s="93"/>
      <c r="AC23" s="9">
        <f t="shared" ref="AC23" si="46">R23*$I23</f>
        <v>-4.9176072013413348E-2</v>
      </c>
      <c r="AF23" s="9">
        <f>AC23/('Total Values (Molar Ratio)'!C$47*1000)</f>
        <v>-4.8949273711881626E-5</v>
      </c>
      <c r="AG23" s="9">
        <f>AD23/('Total Values (Molar Ratio)'!C$48*1000)</f>
        <v>0</v>
      </c>
    </row>
    <row r="24" spans="1:33" x14ac:dyDescent="0.35">
      <c r="K24" s="9" t="s">
        <v>136</v>
      </c>
      <c r="L24" s="9">
        <v>10.17</v>
      </c>
      <c r="M24" s="9">
        <v>0.02</v>
      </c>
      <c r="O24" s="14"/>
      <c r="P24" s="11">
        <f>(N24-'Calibration lines '!$B$7)/'Calibration lines '!$B$8</f>
        <v>-3.7580529706513259E-2</v>
      </c>
      <c r="Q24" s="15"/>
      <c r="R24" s="11">
        <f t="shared" si="0"/>
        <v>-7.3904679855483296E-2</v>
      </c>
      <c r="S24" s="16"/>
      <c r="T24" s="91"/>
      <c r="U24" s="91"/>
      <c r="V24" s="90"/>
      <c r="W24" s="90"/>
      <c r="X24" s="91"/>
      <c r="Y24" s="90"/>
      <c r="Z24" s="94"/>
      <c r="AA24" s="90"/>
      <c r="AC24" s="9">
        <f t="shared" ref="AC24" si="47">R24*$I23</f>
        <v>-4.941784227896602E-2</v>
      </c>
      <c r="AF24" s="9">
        <f>AC24/('Total Values (Molar Ratio)'!C$47*1000)</f>
        <v>-4.9189928941536892E-5</v>
      </c>
      <c r="AG24" s="9">
        <f>AD24/('Total Values (Molar Ratio)'!C$48*1000)</f>
        <v>0</v>
      </c>
    </row>
    <row r="25" spans="1:33" x14ac:dyDescent="0.35">
      <c r="K25" s="9" t="s">
        <v>137</v>
      </c>
      <c r="L25" s="9">
        <v>10.25</v>
      </c>
      <c r="M25" s="9">
        <v>0.02</v>
      </c>
      <c r="O25" s="14"/>
      <c r="P25" s="11">
        <f>(N25-'Calibration lines '!$B$7)/'Calibration lines '!$B$8</f>
        <v>-3.7580529706513259E-2</v>
      </c>
      <c r="Q25" s="15"/>
      <c r="R25" s="11">
        <f t="shared" si="0"/>
        <v>-7.3327862841977093E-2</v>
      </c>
      <c r="S25" s="16"/>
      <c r="T25" s="91"/>
      <c r="U25" s="91"/>
      <c r="V25" s="90"/>
      <c r="W25" s="90"/>
      <c r="X25" s="91"/>
      <c r="Y25" s="90"/>
      <c r="Z25" s="94"/>
      <c r="AA25" s="90"/>
      <c r="AC25" s="9">
        <f t="shared" ref="AC25" si="48">R25*$I23</f>
        <v>-4.9032142046544831E-2</v>
      </c>
      <c r="AF25" s="9">
        <f>AC25/('Total Values (Molar Ratio)'!C$47*1000)</f>
        <v>-4.8806007544920031E-5</v>
      </c>
      <c r="AG25" s="9">
        <f>AD25/('Total Values (Molar Ratio)'!C$48*1000)</f>
        <v>0</v>
      </c>
    </row>
    <row r="26" spans="1:33" x14ac:dyDescent="0.35">
      <c r="A26" s="9" t="s">
        <v>138</v>
      </c>
      <c r="C26" s="9">
        <v>1.0037</v>
      </c>
      <c r="D26" s="9" t="s">
        <v>139</v>
      </c>
      <c r="E26" s="9">
        <v>335.92</v>
      </c>
      <c r="F26" s="9">
        <v>1050</v>
      </c>
      <c r="G26" s="9">
        <v>894.61</v>
      </c>
      <c r="H26" s="9">
        <f>G26-E26</f>
        <v>558.69000000000005</v>
      </c>
      <c r="I26" s="9">
        <f t="shared" si="1"/>
        <v>0.55869000000000002</v>
      </c>
      <c r="J26" s="12">
        <f>(F26-E26-H26)/H26</f>
        <v>0.27813277488410365</v>
      </c>
      <c r="K26" s="9" t="s">
        <v>140</v>
      </c>
      <c r="L26" s="9">
        <v>10.78</v>
      </c>
      <c r="M26" s="9">
        <v>0.02</v>
      </c>
      <c r="N26" s="9">
        <v>0</v>
      </c>
      <c r="O26" s="14"/>
      <c r="P26" s="11">
        <f>(N26-'Calibration lines '!$B$7)/'Calibration lines '!$B$8</f>
        <v>-3.7580529706513259E-2</v>
      </c>
      <c r="Q26" s="15"/>
      <c r="R26" s="11">
        <f t="shared" si="0"/>
        <v>-6.9722689622473577E-2</v>
      </c>
      <c r="S26" s="16"/>
      <c r="T26" s="91">
        <f t="shared" ref="T26" si="49">AVERAGE(R26:R28)</f>
        <v>-7.2876838662571455E-2</v>
      </c>
      <c r="U26" s="91">
        <f t="shared" ref="U26" si="50">_xlfn.STDEV.S(R26:R28)</f>
        <v>2.7338125570360219E-3</v>
      </c>
      <c r="V26" s="93"/>
      <c r="W26" s="90"/>
      <c r="X26" s="91">
        <f t="shared" ref="X26" si="51">T26*I26</f>
        <v>-4.0715560992392048E-2</v>
      </c>
      <c r="Y26" s="93"/>
      <c r="Z26" s="94">
        <f t="shared" ref="Z26" si="52">X26/1000</f>
        <v>-4.0715560992392045E-5</v>
      </c>
      <c r="AA26" s="93"/>
      <c r="AC26" s="9">
        <f t="shared" ref="AC26" si="53">R26*$I26</f>
        <v>-3.8953369465179764E-2</v>
      </c>
      <c r="AF26" s="9">
        <f>AC26/('Total Values (Molar Ratio)'!C$47*1000)</f>
        <v>-3.8773717905550711E-5</v>
      </c>
      <c r="AG26" s="9">
        <f>AD26/('Total Values (Molar Ratio)'!C$48*1000)</f>
        <v>0</v>
      </c>
    </row>
    <row r="27" spans="1:33" x14ac:dyDescent="0.35">
      <c r="K27" s="9" t="s">
        <v>141</v>
      </c>
      <c r="L27" s="9">
        <v>10.08</v>
      </c>
      <c r="M27" s="9">
        <v>0.02</v>
      </c>
      <c r="N27" s="9">
        <v>0</v>
      </c>
      <c r="O27" s="14"/>
      <c r="P27" s="11">
        <f>(N27-'Calibration lines '!$B$7)/'Calibration lines '!$B$8</f>
        <v>-3.7580529706513259E-2</v>
      </c>
      <c r="Q27" s="15"/>
      <c r="R27" s="11">
        <f t="shared" si="0"/>
        <v>-7.4564543068478678E-2</v>
      </c>
      <c r="S27" s="16"/>
      <c r="T27" s="91"/>
      <c r="U27" s="91"/>
      <c r="V27" s="90"/>
      <c r="W27" s="90"/>
      <c r="X27" s="91"/>
      <c r="Y27" s="90"/>
      <c r="Z27" s="94"/>
      <c r="AA27" s="90"/>
      <c r="AC27" s="9">
        <f t="shared" ref="AC27" si="54">R27*$I26</f>
        <v>-4.1658464566928351E-2</v>
      </c>
      <c r="AF27" s="9">
        <f>AC27/('Total Values (Molar Ratio)'!C$47*1000)</f>
        <v>-4.1466337204547277E-5</v>
      </c>
      <c r="AG27" s="9">
        <f>AD27/('Total Values (Molar Ratio)'!C$48*1000)</f>
        <v>0</v>
      </c>
    </row>
    <row r="28" spans="1:33" x14ac:dyDescent="0.35">
      <c r="K28" s="9" t="s">
        <v>142</v>
      </c>
      <c r="L28" s="9">
        <v>10.11</v>
      </c>
      <c r="M28" s="9">
        <v>0.02</v>
      </c>
      <c r="N28" s="9">
        <v>0</v>
      </c>
      <c r="O28" s="14"/>
      <c r="P28" s="11">
        <f>(N28-'Calibration lines '!$B$7)/'Calibration lines '!$B$8</f>
        <v>-3.7580529706513259E-2</v>
      </c>
      <c r="Q28" s="15"/>
      <c r="R28" s="11">
        <f t="shared" si="0"/>
        <v>-7.4343283296762139E-2</v>
      </c>
      <c r="S28" s="16"/>
      <c r="T28" s="91"/>
      <c r="U28" s="91"/>
      <c r="V28" s="90"/>
      <c r="W28" s="90"/>
      <c r="X28" s="91"/>
      <c r="Y28" s="90"/>
      <c r="Z28" s="94"/>
      <c r="AA28" s="90"/>
      <c r="AC28" s="9">
        <f t="shared" ref="AC28" si="55">R28*$I26</f>
        <v>-4.1534848945068044E-2</v>
      </c>
      <c r="AF28" s="9">
        <f>AC28/('Total Values (Molar Ratio)'!C$47*1000)</f>
        <v>-4.1343291693554572E-5</v>
      </c>
      <c r="AG28" s="9">
        <f>AD28/('Total Values (Molar Ratio)'!C$48*1000)</f>
        <v>0</v>
      </c>
    </row>
    <row r="29" spans="1:33" x14ac:dyDescent="0.35">
      <c r="D29" s="9" t="s">
        <v>143</v>
      </c>
      <c r="E29" s="9">
        <v>351.58</v>
      </c>
      <c r="F29" s="9">
        <v>1165.21</v>
      </c>
      <c r="G29" s="9">
        <v>1037</v>
      </c>
      <c r="H29" s="9">
        <f>G29-E29</f>
        <v>685.42000000000007</v>
      </c>
      <c r="I29" s="9">
        <f t="shared" si="1"/>
        <v>0.68542000000000003</v>
      </c>
      <c r="J29" s="12">
        <f>(F29-E29-H29)/H29</f>
        <v>0.1870531936622801</v>
      </c>
      <c r="K29" s="9" t="s">
        <v>144</v>
      </c>
      <c r="L29" s="9">
        <v>10.35</v>
      </c>
      <c r="M29" s="9">
        <v>0.02</v>
      </c>
      <c r="N29" s="9">
        <v>0</v>
      </c>
      <c r="O29" s="14"/>
      <c r="P29" s="11">
        <f>(N29-'Calibration lines '!$B$7)/'Calibration lines '!$B$8</f>
        <v>-3.7580529706513259E-2</v>
      </c>
      <c r="Q29" s="15"/>
      <c r="R29" s="11">
        <f t="shared" si="0"/>
        <v>-7.2619381075387943E-2</v>
      </c>
      <c r="S29" s="16"/>
      <c r="T29" s="91">
        <f t="shared" ref="T29" si="56">AVERAGE(R29:R31)</f>
        <v>-7.250527981805692E-2</v>
      </c>
      <c r="U29" s="91">
        <f t="shared" ref="U29" si="57">_xlfn.STDEV.S(R29:R31)</f>
        <v>1.6780155769278214E-3</v>
      </c>
      <c r="V29" s="93"/>
      <c r="W29" s="90"/>
      <c r="X29" s="91">
        <f t="shared" ref="X29" si="58">T29*I29</f>
        <v>-4.9696568892892576E-2</v>
      </c>
      <c r="Y29" s="93"/>
      <c r="Z29" s="94">
        <f t="shared" ref="Z29" si="59">X29/1000</f>
        <v>-4.9696568892892578E-5</v>
      </c>
      <c r="AA29" s="93"/>
      <c r="AC29" s="9">
        <f t="shared" ref="AC29" si="60">R29*$I29</f>
        <v>-4.9774776176692404E-2</v>
      </c>
      <c r="AF29" s="9">
        <f>AC29/('Total Values (Molar Ratio)'!C$47*1000)</f>
        <v>-4.9545216672775209E-5</v>
      </c>
      <c r="AG29" s="9">
        <f>AD29/('Total Values (Molar Ratio)'!C$48*1000)</f>
        <v>0</v>
      </c>
    </row>
    <row r="30" spans="1:33" x14ac:dyDescent="0.35">
      <c r="K30" s="9" t="s">
        <v>145</v>
      </c>
      <c r="L30" s="9">
        <v>10.14</v>
      </c>
      <c r="M30" s="9">
        <v>0.02</v>
      </c>
      <c r="N30" s="9">
        <v>0</v>
      </c>
      <c r="O30" s="14"/>
      <c r="P30" s="11">
        <f>(N30-'Calibration lines '!$B$7)/'Calibration lines '!$B$8</f>
        <v>-3.7580529706513259E-2</v>
      </c>
      <c r="Q30" s="15"/>
      <c r="R30" s="11">
        <f t="shared" si="0"/>
        <v>-7.4123332754464019E-2</v>
      </c>
      <c r="S30" s="16"/>
      <c r="T30" s="91"/>
      <c r="U30" s="91"/>
      <c r="V30" s="90"/>
      <c r="W30" s="90"/>
      <c r="X30" s="91"/>
      <c r="Y30" s="90"/>
      <c r="Z30" s="94"/>
      <c r="AA30" s="90"/>
      <c r="AC30" s="9">
        <f t="shared" ref="AC30" si="61">R30*$I29</f>
        <v>-5.0805614736564732E-2</v>
      </c>
      <c r="AF30" s="9">
        <f>AC30/('Total Values (Molar Ratio)'!C$47*1000)</f>
        <v>-5.0571301041738007E-5</v>
      </c>
      <c r="AG30" s="9">
        <f>AD30/('Total Values (Molar Ratio)'!C$48*1000)</f>
        <v>0</v>
      </c>
    </row>
    <row r="31" spans="1:33" x14ac:dyDescent="0.35">
      <c r="K31" s="9" t="s">
        <v>146</v>
      </c>
      <c r="L31" s="9">
        <v>10.62</v>
      </c>
      <c r="M31" s="9">
        <v>0.02</v>
      </c>
      <c r="N31" s="9">
        <v>0</v>
      </c>
      <c r="O31" s="14"/>
      <c r="P31" s="11">
        <f>(N31-'Calibration lines '!$B$7)/'Calibration lines '!$B$8</f>
        <v>-3.7580529706513259E-2</v>
      </c>
      <c r="Q31" s="15"/>
      <c r="R31" s="11">
        <f t="shared" si="0"/>
        <v>-7.077312562431877E-2</v>
      </c>
      <c r="S31" s="16"/>
      <c r="T31" s="91"/>
      <c r="U31" s="91"/>
      <c r="V31" s="90"/>
      <c r="W31" s="90"/>
      <c r="X31" s="91"/>
      <c r="Y31" s="90"/>
      <c r="Z31" s="94"/>
      <c r="AA31" s="90"/>
      <c r="AC31" s="9">
        <f t="shared" ref="AC31" si="62">R31*$I29</f>
        <v>-4.8509315765420571E-2</v>
      </c>
      <c r="AF31" s="9">
        <f>AC31/('Total Values (Molar Ratio)'!C$47*1000)</f>
        <v>-4.8285592520077541E-5</v>
      </c>
      <c r="AG31" s="9">
        <f>AD31/('Total Values (Molar Ratio)'!C$48*1000)</f>
        <v>0</v>
      </c>
    </row>
    <row r="32" spans="1:33" x14ac:dyDescent="0.35">
      <c r="D32" s="9" t="s">
        <v>147</v>
      </c>
      <c r="E32" s="9">
        <v>350.18</v>
      </c>
      <c r="F32" s="9">
        <v>1131.5899999999999</v>
      </c>
      <c r="G32" s="9">
        <v>1005.57</v>
      </c>
      <c r="H32" s="9">
        <f>G32-E32</f>
        <v>655.3900000000001</v>
      </c>
      <c r="I32" s="9">
        <f t="shared" si="1"/>
        <v>0.65539000000000014</v>
      </c>
      <c r="J32" s="12">
        <f>(F32-E32-H32)/H32</f>
        <v>0.19228245777323386</v>
      </c>
      <c r="K32" s="9" t="s">
        <v>148</v>
      </c>
      <c r="L32" s="9">
        <v>10.16</v>
      </c>
      <c r="M32" s="9">
        <v>0.02</v>
      </c>
      <c r="N32" s="9">
        <v>0</v>
      </c>
      <c r="O32" s="14"/>
      <c r="P32" s="11">
        <f>(N32-'Calibration lines '!$B$7)/'Calibration lines '!$B$8</f>
        <v>-3.7580529706513259E-2</v>
      </c>
      <c r="Q32" s="15"/>
      <c r="R32" s="11">
        <f t="shared" si="0"/>
        <v>-7.3977420682112702E-2</v>
      </c>
      <c r="S32" s="16"/>
      <c r="T32" s="91">
        <f t="shared" ref="T32" si="63">AVERAGE(R32:R34)</f>
        <v>-7.282016885992311E-2</v>
      </c>
      <c r="U32" s="91">
        <f t="shared" ref="U32" si="64">_xlfn.STDEV.S(R32:R34)</f>
        <v>1.1997798656853732E-3</v>
      </c>
      <c r="V32" s="93"/>
      <c r="W32" s="90"/>
      <c r="X32" s="91">
        <f t="shared" ref="X32" si="65">T32*I32</f>
        <v>-4.7725610469105013E-2</v>
      </c>
      <c r="Y32" s="93"/>
      <c r="Z32" s="94">
        <f t="shared" ref="Z32" si="66">X32/1000</f>
        <v>-4.7725610469105017E-5</v>
      </c>
      <c r="AA32" s="93"/>
      <c r="AC32" s="9">
        <f t="shared" ref="AC32" si="67">R32*$I32</f>
        <v>-4.8484061740849856E-2</v>
      </c>
      <c r="AF32" s="9">
        <f>AC32/('Total Values (Molar Ratio)'!C$47*1000)</f>
        <v>-4.8260454966173245E-5</v>
      </c>
      <c r="AG32" s="9">
        <f>AD32/('Total Values (Molar Ratio)'!C$48*1000)</f>
        <v>0</v>
      </c>
    </row>
    <row r="33" spans="1:33" x14ac:dyDescent="0.35">
      <c r="K33" s="9" t="s">
        <v>149</v>
      </c>
      <c r="L33" s="9">
        <v>10.5</v>
      </c>
      <c r="M33" s="9">
        <v>0.02</v>
      </c>
      <c r="N33" s="9">
        <v>0</v>
      </c>
      <c r="O33" s="14"/>
      <c r="P33" s="11">
        <f>(N33-'Calibration lines '!$B$7)/'Calibration lines '!$B$8</f>
        <v>-3.7580529706513259E-2</v>
      </c>
      <c r="Q33" s="15"/>
      <c r="R33" s="11">
        <f t="shared" si="0"/>
        <v>-7.1581961345739534E-2</v>
      </c>
      <c r="S33" s="16"/>
      <c r="T33" s="91"/>
      <c r="U33" s="91"/>
      <c r="V33" s="90"/>
      <c r="W33" s="90"/>
      <c r="X33" s="91"/>
      <c r="Y33" s="90"/>
      <c r="Z33" s="94"/>
      <c r="AA33" s="90"/>
      <c r="AC33" s="9">
        <f t="shared" ref="AC33" si="68">R33*$I32</f>
        <v>-4.6914101646384244E-2</v>
      </c>
      <c r="AF33" s="9">
        <f>AC33/('Total Values (Molar Ratio)'!C$47*1000)</f>
        <v>-4.6697735472030497E-5</v>
      </c>
      <c r="AG33" s="9">
        <f>AD33/('Total Values (Molar Ratio)'!C$48*1000)</f>
        <v>0</v>
      </c>
    </row>
    <row r="34" spans="1:33" x14ac:dyDescent="0.35">
      <c r="K34" s="9" t="s">
        <v>150</v>
      </c>
      <c r="L34" s="9">
        <v>10.31</v>
      </c>
      <c r="M34" s="9">
        <v>0.02</v>
      </c>
      <c r="N34" s="9">
        <v>0</v>
      </c>
      <c r="O34" s="14"/>
      <c r="P34" s="11">
        <f>(N34-'Calibration lines '!$B$7)/'Calibration lines '!$B$8</f>
        <v>-3.7580529706513259E-2</v>
      </c>
      <c r="Q34" s="15"/>
      <c r="R34" s="11">
        <f t="shared" si="0"/>
        <v>-7.2901124551917079E-2</v>
      </c>
      <c r="S34" s="16"/>
      <c r="T34" s="91"/>
      <c r="U34" s="91"/>
      <c r="V34" s="90"/>
      <c r="W34" s="90"/>
      <c r="X34" s="91"/>
      <c r="Y34" s="90"/>
      <c r="Z34" s="94"/>
      <c r="AA34" s="90"/>
      <c r="AC34" s="9">
        <f t="shared" ref="AC34" si="69">R34*$I32</f>
        <v>-4.7778668020080947E-2</v>
      </c>
      <c r="AF34" s="9">
        <f>AC34/('Total Values (Molar Ratio)'!C$47*1000)</f>
        <v>-4.7558314496248326E-5</v>
      </c>
      <c r="AG34" s="9">
        <f>AD34/('Total Values (Molar Ratio)'!C$48*1000)</f>
        <v>0</v>
      </c>
    </row>
    <row r="35" spans="1:33" x14ac:dyDescent="0.35">
      <c r="D35" s="9" t="s">
        <v>151</v>
      </c>
      <c r="E35" s="9">
        <v>350.12</v>
      </c>
      <c r="F35" s="9">
        <v>1244.22</v>
      </c>
      <c r="G35" s="9">
        <v>1114.3800000000001</v>
      </c>
      <c r="H35" s="9">
        <f>G35-E35</f>
        <v>764.2600000000001</v>
      </c>
      <c r="I35" s="9">
        <f t="shared" si="1"/>
        <v>0.76426000000000005</v>
      </c>
      <c r="J35" s="12">
        <f>(F35-E35-H35)/H35</f>
        <v>0.16988982806898162</v>
      </c>
      <c r="K35" s="9" t="s">
        <v>152</v>
      </c>
      <c r="L35" s="9">
        <v>10.06</v>
      </c>
      <c r="M35" s="9">
        <v>0.02</v>
      </c>
      <c r="N35" s="9">
        <v>0</v>
      </c>
      <c r="O35" s="14"/>
      <c r="P35" s="11">
        <f>(N35-'Calibration lines '!$B$7)/'Calibration lines '!$B$8</f>
        <v>-3.7580529706513259E-2</v>
      </c>
      <c r="Q35" s="15"/>
      <c r="R35" s="11">
        <f t="shared" si="0"/>
        <v>-7.4712782716726156E-2</v>
      </c>
      <c r="S35" s="16"/>
      <c r="T35" s="91">
        <f t="shared" ref="T35" si="70">AVERAGE(R35:R37)</f>
        <v>-7.1806809274442843E-2</v>
      </c>
      <c r="U35" s="91">
        <f t="shared" ref="U35" si="71">_xlfn.STDEV.S(R35:R37)</f>
        <v>2.6690134394706366E-3</v>
      </c>
      <c r="V35" s="93"/>
      <c r="W35" s="90"/>
      <c r="X35" s="91">
        <f t="shared" ref="X35" si="72">T35*I35</f>
        <v>-5.4879072056085693E-2</v>
      </c>
      <c r="Y35" s="93"/>
      <c r="Z35" s="94">
        <f t="shared" ref="Z35" si="73">X35/1000</f>
        <v>-5.4879072056085695E-5</v>
      </c>
      <c r="AA35" s="93"/>
      <c r="AC35" s="9">
        <f t="shared" ref="AC35:AD71" si="74">R35*$I35</f>
        <v>-5.7099991319085136E-2</v>
      </c>
      <c r="AF35" s="9">
        <f>AC35/('Total Values (Molar Ratio)'!C$47*1000)</f>
        <v>-5.6836648182506186E-5</v>
      </c>
      <c r="AG35" s="9">
        <f>AD35/('Total Values (Molar Ratio)'!C$48*1000)</f>
        <v>0</v>
      </c>
    </row>
    <row r="36" spans="1:33" x14ac:dyDescent="0.35">
      <c r="K36" s="9" t="s">
        <v>153</v>
      </c>
      <c r="L36" s="9">
        <v>10.55</v>
      </c>
      <c r="M36" s="9">
        <v>0.02</v>
      </c>
      <c r="N36" s="9">
        <v>0</v>
      </c>
      <c r="O36" s="14"/>
      <c r="P36" s="11">
        <f>(N36-'Calibration lines '!$B$7)/'Calibration lines '!$B$8</f>
        <v>-3.7580529706513259E-2</v>
      </c>
      <c r="Q36" s="15"/>
      <c r="R36" s="11">
        <f t="shared" si="0"/>
        <v>-7.1242710344100957E-2</v>
      </c>
      <c r="S36" s="16"/>
      <c r="T36" s="91"/>
      <c r="U36" s="91"/>
      <c r="V36" s="90"/>
      <c r="W36" s="90"/>
      <c r="X36" s="91"/>
      <c r="Y36" s="90"/>
      <c r="Z36" s="94"/>
      <c r="AA36" s="90"/>
      <c r="AC36" s="9">
        <f t="shared" ref="AC36:AD72" si="75">R36*$I35</f>
        <v>-5.4447953807582598E-2</v>
      </c>
      <c r="AF36" s="9">
        <f>AC36/('Total Values (Molar Ratio)'!C$47*1000)</f>
        <v>-5.4196841774029591E-5</v>
      </c>
      <c r="AG36" s="9">
        <f>AD36/('Total Values (Molar Ratio)'!C$48*1000)</f>
        <v>0</v>
      </c>
    </row>
    <row r="37" spans="1:33" x14ac:dyDescent="0.35">
      <c r="K37" s="9" t="s">
        <v>154</v>
      </c>
      <c r="L37" s="9">
        <v>10.82</v>
      </c>
      <c r="M37" s="9">
        <v>0.02</v>
      </c>
      <c r="N37" s="9">
        <v>0</v>
      </c>
      <c r="O37" s="14"/>
      <c r="P37" s="11">
        <f>(N37-'Calibration lines '!$B$7)/'Calibration lines '!$B$8</f>
        <v>-3.7580529706513259E-2</v>
      </c>
      <c r="Q37" s="15"/>
      <c r="R37" s="11">
        <f t="shared" si="0"/>
        <v>-6.9464934762501401E-2</v>
      </c>
      <c r="S37" s="16"/>
      <c r="T37" s="91"/>
      <c r="U37" s="91"/>
      <c r="V37" s="90"/>
      <c r="W37" s="90"/>
      <c r="X37" s="91"/>
      <c r="Y37" s="90"/>
      <c r="Z37" s="94"/>
      <c r="AA37" s="90"/>
      <c r="AC37" s="9">
        <f t="shared" ref="AC37" si="76">R37*$I35</f>
        <v>-5.3089271041589323E-2</v>
      </c>
      <c r="AF37" s="9">
        <f>AC37/('Total Values (Molar Ratio)'!C$47*1000)</f>
        <v>-5.2844425204807044E-5</v>
      </c>
      <c r="AG37" s="9">
        <f>AD37/('Total Values (Molar Ratio)'!C$48*1000)</f>
        <v>0</v>
      </c>
    </row>
    <row r="38" spans="1:33" x14ac:dyDescent="0.35">
      <c r="A38" s="9" t="s">
        <v>155</v>
      </c>
      <c r="C38" s="9">
        <v>1.0049999999999999</v>
      </c>
      <c r="D38" s="9" t="s">
        <v>156</v>
      </c>
      <c r="E38" s="9">
        <v>353.68</v>
      </c>
      <c r="F38" s="9">
        <v>892.12</v>
      </c>
      <c r="G38" s="9">
        <v>802.03</v>
      </c>
      <c r="H38" s="9">
        <f>G38-E38</f>
        <v>448.34999999999997</v>
      </c>
      <c r="I38" s="9">
        <f t="shared" si="1"/>
        <v>0.44834999999999997</v>
      </c>
      <c r="J38" s="12">
        <f>(F38-E38-H38)/H38</f>
        <v>0.20093676814988312</v>
      </c>
      <c r="K38" s="9" t="s">
        <v>157</v>
      </c>
      <c r="L38" s="9">
        <v>10.9</v>
      </c>
      <c r="M38" s="9">
        <v>0.02</v>
      </c>
      <c r="N38" s="9">
        <v>4.2</v>
      </c>
      <c r="O38" s="9">
        <v>1776.1</v>
      </c>
      <c r="P38" s="11">
        <f>(N38-'Calibration lines '!$B$7)/'Calibration lines '!$B$8</f>
        <v>4.6028632784538299</v>
      </c>
      <c r="Q38" s="11">
        <f>(O38-'Calibration lines '!$B$13)/'Calibration lines '!$B$14</f>
        <v>82.233294407702942</v>
      </c>
      <c r="R38" s="11">
        <f t="shared" si="0"/>
        <v>8.4456206944106977</v>
      </c>
      <c r="S38" s="11">
        <f t="shared" ref="S38:S66" si="77">((Q38*M38)/L38)*1000</f>
        <v>150.88677872973017</v>
      </c>
      <c r="T38" s="91">
        <f t="shared" ref="T38" si="78">AVERAGE(R38:R40)</f>
        <v>12.389938316362437</v>
      </c>
      <c r="U38" s="91">
        <f t="shared" ref="U38" si="79">_xlfn.STDEV.S(R38:R40)</f>
        <v>4.4108771696517239</v>
      </c>
      <c r="V38" s="91">
        <f t="shared" ref="V38" si="80">AVERAGE(S38:S40)</f>
        <v>196.93284615393827</v>
      </c>
      <c r="W38" s="91">
        <f t="shared" ref="W38" si="81">_xlfn.STDEV.S(S38:S40)</f>
        <v>75.654701837391073</v>
      </c>
      <c r="X38" s="91">
        <f t="shared" ref="X38" si="82">T38*I38</f>
        <v>5.5550288441410984</v>
      </c>
      <c r="Y38" s="91">
        <f>V38*I38</f>
        <v>88.294841573118219</v>
      </c>
      <c r="Z38" s="94">
        <f t="shared" ref="Z38" si="83">X38/1000</f>
        <v>5.5550288441410982E-3</v>
      </c>
      <c r="AA38" s="91">
        <f>Y38/1000</f>
        <v>8.8294841573118218E-2</v>
      </c>
      <c r="AC38" s="9">
        <f t="shared" si="74"/>
        <v>3.786594038339036</v>
      </c>
      <c r="AD38" s="9">
        <f t="shared" si="74"/>
        <v>67.650087243474516</v>
      </c>
      <c r="AF38" s="9">
        <f>AC38/('Total Values (Molar Ratio)'!C$47*1000)</f>
        <v>3.769130400815258E-3</v>
      </c>
      <c r="AG38" s="9">
        <f>AD38/('Total Values (Molar Ratio)'!C$48*1000)</f>
        <v>0.10171146043504579</v>
      </c>
    </row>
    <row r="39" spans="1:33" x14ac:dyDescent="0.35">
      <c r="K39" s="9" t="s">
        <v>158</v>
      </c>
      <c r="L39" s="9">
        <v>10.82</v>
      </c>
      <c r="M39" s="9">
        <v>0.02</v>
      </c>
      <c r="N39" s="9">
        <v>5.7</v>
      </c>
      <c r="O39" s="9">
        <v>1818.9</v>
      </c>
      <c r="P39" s="11">
        <f>(N39-'Calibration lines '!$B$7)/'Calibration lines '!$B$8</f>
        <v>6.2601646385110952</v>
      </c>
      <c r="Q39" s="11">
        <f>(O39-'Calibration lines '!$B$13)/'Calibration lines '!$B$14</f>
        <v>84.214190974362396</v>
      </c>
      <c r="R39" s="11">
        <f t="shared" si="0"/>
        <v>11.5714688327377</v>
      </c>
      <c r="S39" s="11">
        <f t="shared" si="77"/>
        <v>155.66393895445916</v>
      </c>
      <c r="T39" s="91"/>
      <c r="U39" s="91"/>
      <c r="V39" s="91"/>
      <c r="W39" s="91"/>
      <c r="X39" s="91"/>
      <c r="Y39" s="91"/>
      <c r="Z39" s="94"/>
      <c r="AA39" s="91"/>
      <c r="AC39" s="9">
        <f>R39*$I38</f>
        <v>5.1880680511579476</v>
      </c>
      <c r="AD39" s="9">
        <f>S39*$I38</f>
        <v>69.791927030231761</v>
      </c>
      <c r="AF39" s="9">
        <f>AC39/('Total Values (Molar Ratio)'!C$47*1000)</f>
        <v>5.1641408651494211E-3</v>
      </c>
      <c r="AG39" s="9">
        <f>AD39/('Total Values (Molar Ratio)'!C$48*1000)</f>
        <v>0.10493170244219828</v>
      </c>
    </row>
    <row r="40" spans="1:33" x14ac:dyDescent="0.35">
      <c r="K40" s="9" t="s">
        <v>159</v>
      </c>
      <c r="L40" s="9">
        <v>10.52</v>
      </c>
      <c r="M40" s="9">
        <v>0.02</v>
      </c>
      <c r="N40" s="9">
        <v>8.1999999999999993</v>
      </c>
      <c r="O40" s="9">
        <v>3229.8</v>
      </c>
      <c r="P40" s="11">
        <f>(N40-'Calibration lines '!$B$7)/'Calibration lines '!$B$8</f>
        <v>9.0223335719398694</v>
      </c>
      <c r="Q40" s="11">
        <f>(O40-'Calibration lines '!$B$13)/'Calibration lines '!$B$14</f>
        <v>149.514353729031</v>
      </c>
      <c r="R40" s="11">
        <f t="shared" si="0"/>
        <v>17.152725421938914</v>
      </c>
      <c r="S40" s="11">
        <f t="shared" si="77"/>
        <v>284.24782077762552</v>
      </c>
      <c r="T40" s="91"/>
      <c r="U40" s="91"/>
      <c r="V40" s="91"/>
      <c r="W40" s="91"/>
      <c r="X40" s="91"/>
      <c r="Y40" s="91"/>
      <c r="Z40" s="94"/>
      <c r="AA40" s="91"/>
      <c r="AC40" s="9">
        <f t="shared" ref="AC40:AD73" si="84">R40*$I38</f>
        <v>7.6904244429263118</v>
      </c>
      <c r="AD40" s="9">
        <f t="shared" si="84"/>
        <v>127.4425104456484</v>
      </c>
      <c r="AF40" s="9">
        <f>AC40/('Total Values (Molar Ratio)'!C$47*1000)</f>
        <v>7.6549564779119852E-3</v>
      </c>
      <c r="AG40" s="9">
        <f>AD40/('Total Values (Molar Ratio)'!C$48*1000)</f>
        <v>0.19160897475687763</v>
      </c>
    </row>
    <row r="41" spans="1:33" x14ac:dyDescent="0.35">
      <c r="D41" s="9" t="s">
        <v>160</v>
      </c>
      <c r="E41" s="9">
        <v>348.02</v>
      </c>
      <c r="F41" s="9">
        <v>1025.2</v>
      </c>
      <c r="G41" s="9">
        <v>914.35</v>
      </c>
      <c r="H41" s="9">
        <f>G41-E41</f>
        <v>566.33000000000004</v>
      </c>
      <c r="I41" s="9">
        <f t="shared" si="1"/>
        <v>0.56633</v>
      </c>
      <c r="J41" s="12">
        <f>(F41-E41-H41)/H41</f>
        <v>0.19573393604435579</v>
      </c>
      <c r="K41" s="9" t="s">
        <v>161</v>
      </c>
      <c r="L41" s="9">
        <v>10.48</v>
      </c>
      <c r="M41" s="9">
        <v>0.02</v>
      </c>
      <c r="N41" s="9">
        <v>0.66</v>
      </c>
      <c r="O41" s="9">
        <v>872</v>
      </c>
      <c r="P41" s="11">
        <f>(N41-'Calibration lines '!$B$7)/'Calibration lines '!$B$8</f>
        <v>0.69163206871868355</v>
      </c>
      <c r="Q41" s="11">
        <f>(O41-'Calibration lines '!$B$13)/'Calibration lines '!$B$14</f>
        <v>40.389168568525214</v>
      </c>
      <c r="R41" s="11">
        <f t="shared" si="0"/>
        <v>1.3199085280890908</v>
      </c>
      <c r="S41" s="11">
        <f t="shared" si="77"/>
        <v>77.078565970467963</v>
      </c>
      <c r="T41" s="91">
        <f t="shared" ref="T41" si="85">AVERAGE(R41:R43)</f>
        <v>1.094774341015524</v>
      </c>
      <c r="U41" s="91">
        <f t="shared" ref="U41" si="86">_xlfn.STDEV.S(R41:R43)</f>
        <v>0.80857581295735603</v>
      </c>
      <c r="V41" s="91">
        <f t="shared" ref="V41" si="87">AVERAGE(S41:S43)</f>
        <v>90.136838738824963</v>
      </c>
      <c r="W41" s="91">
        <f t="shared" ref="W41" si="88">_xlfn.STDEV.S(S41:S43)</f>
        <v>40.499993015209867</v>
      </c>
      <c r="X41" s="91">
        <f t="shared" ref="X41" si="89">T41*I41</f>
        <v>0.62000355254732165</v>
      </c>
      <c r="Y41" s="91">
        <f t="shared" ref="Y41" si="90">V41*I41</f>
        <v>51.047195882958739</v>
      </c>
      <c r="Z41" s="94">
        <f t="shared" ref="Z41" si="91">X41/1000</f>
        <v>6.2000355254732164E-4</v>
      </c>
      <c r="AA41" s="91">
        <f t="shared" ref="AA41" si="92">Y41/1000</f>
        <v>5.1047195882958737E-2</v>
      </c>
      <c r="AC41" s="9">
        <f t="shared" si="74"/>
        <v>0.74750379671269473</v>
      </c>
      <c r="AD41" s="9">
        <f t="shared" si="74"/>
        <v>43.651904266055119</v>
      </c>
      <c r="AF41" s="9">
        <f>AC41/('Total Values (Molar Ratio)'!C$47*1000)</f>
        <v>7.4405633569066124E-4</v>
      </c>
      <c r="AG41" s="9">
        <f>AD41/('Total Values (Molar Ratio)'!C$48*1000)</f>
        <v>6.5630350448654326E-2</v>
      </c>
    </row>
    <row r="42" spans="1:33" x14ac:dyDescent="0.35">
      <c r="K42" s="9" t="s">
        <v>162</v>
      </c>
      <c r="L42" s="9">
        <v>10.58</v>
      </c>
      <c r="M42" s="9">
        <v>0.02</v>
      </c>
      <c r="N42" s="9">
        <v>0.88</v>
      </c>
      <c r="O42" s="9">
        <v>1548.7</v>
      </c>
      <c r="P42" s="11">
        <f>(N42-'Calibration lines '!$B$7)/'Calibration lines '!$B$8</f>
        <v>0.93470293486041578</v>
      </c>
      <c r="Q42" s="11">
        <f>(O42-'Calibration lines '!$B$13)/'Calibration lines '!$B$14</f>
        <v>71.708624331573077</v>
      </c>
      <c r="R42" s="11">
        <f t="shared" si="0"/>
        <v>1.7669242624960602</v>
      </c>
      <c r="S42" s="11">
        <f t="shared" si="77"/>
        <v>135.55505544720808</v>
      </c>
      <c r="T42" s="91"/>
      <c r="U42" s="91"/>
      <c r="V42" s="91"/>
      <c r="W42" s="91"/>
      <c r="X42" s="91"/>
      <c r="Y42" s="91"/>
      <c r="Z42" s="94"/>
      <c r="AA42" s="91"/>
      <c r="AC42" s="9">
        <f t="shared" si="75"/>
        <v>1.0006622175793938</v>
      </c>
      <c r="AD42" s="9">
        <f t="shared" si="75"/>
        <v>76.768894551417347</v>
      </c>
      <c r="AF42" s="9">
        <f>AC42/('Total Values (Molar Ratio)'!C$47*1000)</f>
        <v>9.9604719889119769E-4</v>
      </c>
      <c r="AG42" s="9">
        <f>AD42/('Total Values (Molar Ratio)'!C$48*1000)</f>
        <v>0.11542152714018665</v>
      </c>
    </row>
    <row r="43" spans="1:33" x14ac:dyDescent="0.35">
      <c r="K43" s="9" t="s">
        <v>163</v>
      </c>
      <c r="L43" s="9">
        <v>10.74</v>
      </c>
      <c r="M43" s="9">
        <v>0.02</v>
      </c>
      <c r="N43" s="9">
        <v>0.13</v>
      </c>
      <c r="O43" s="9">
        <v>669.7</v>
      </c>
      <c r="P43" s="11">
        <f>(N43-'Calibration lines '!$B$7)/'Calibration lines '!$B$8</f>
        <v>0.10605225483178309</v>
      </c>
      <c r="Q43" s="11">
        <f>(O43-'Calibration lines '!$B$13)/'Calibration lines '!$B$14</f>
        <v>31.02619250695497</v>
      </c>
      <c r="R43" s="11">
        <f t="shared" si="0"/>
        <v>0.19749023246142103</v>
      </c>
      <c r="S43" s="11">
        <f t="shared" si="77"/>
        <v>57.776894798798821</v>
      </c>
      <c r="T43" s="91"/>
      <c r="U43" s="91"/>
      <c r="V43" s="91"/>
      <c r="W43" s="91"/>
      <c r="X43" s="91"/>
      <c r="Y43" s="91"/>
      <c r="Z43" s="94"/>
      <c r="AA43" s="91"/>
      <c r="AC43" s="9">
        <f t="shared" si="84"/>
        <v>0.11184464334987657</v>
      </c>
      <c r="AD43" s="9">
        <f t="shared" si="84"/>
        <v>32.720788831403738</v>
      </c>
      <c r="AF43" s="9">
        <f>AC43/('Total Values (Molar Ratio)'!C$47*1000)</f>
        <v>1.1132881981805291E-4</v>
      </c>
      <c r="AG43" s="9">
        <f>AD43/('Total Values (Molar Ratio)'!C$48*1000)</f>
        <v>4.9195490416013232E-2</v>
      </c>
    </row>
    <row r="44" spans="1:33" x14ac:dyDescent="0.35">
      <c r="D44" s="9" t="s">
        <v>164</v>
      </c>
      <c r="E44" s="9">
        <v>347.7</v>
      </c>
      <c r="F44" s="9">
        <v>1265.4100000000001</v>
      </c>
      <c r="G44" s="9">
        <v>1113.7</v>
      </c>
      <c r="H44" s="9">
        <f>G44-E44</f>
        <v>766</v>
      </c>
      <c r="I44" s="9">
        <f t="shared" si="1"/>
        <v>0.76600000000000001</v>
      </c>
      <c r="J44" s="12">
        <f>(F44-E44-H44)/H44</f>
        <v>0.1980548302872063</v>
      </c>
      <c r="K44" s="9" t="s">
        <v>165</v>
      </c>
      <c r="L44" s="9">
        <v>10.49</v>
      </c>
      <c r="M44" s="9">
        <v>0.02</v>
      </c>
      <c r="N44" s="9">
        <v>0</v>
      </c>
      <c r="O44" s="9">
        <v>282</v>
      </c>
      <c r="P44" s="11">
        <f>(N44-'Calibration lines '!$B$7)/'Calibration lines '!$B$8</f>
        <v>-3.7580529706513259E-2</v>
      </c>
      <c r="Q44" s="11">
        <f>(O44-'Calibration lines '!$B$13)/'Calibration lines '!$B$14</f>
        <v>13.082416831864599</v>
      </c>
      <c r="R44" s="11">
        <f t="shared" si="0"/>
        <v>-7.1650199631102501E-2</v>
      </c>
      <c r="S44" s="11">
        <f t="shared" si="77"/>
        <v>24.942644102697042</v>
      </c>
      <c r="T44" s="91">
        <f t="shared" ref="T44" si="93">AVERAGE(R44:R46)</f>
        <v>-7.1927811206960998E-2</v>
      </c>
      <c r="U44" s="91">
        <f t="shared" ref="U44" si="94">_xlfn.STDEV.S(R44:R46)</f>
        <v>6.027845958354104E-4</v>
      </c>
      <c r="V44" s="91">
        <f t="shared" ref="V44" si="95">AVERAGE(S44:S46)</f>
        <v>19.844664312513558</v>
      </c>
      <c r="W44" s="91">
        <f t="shared" ref="W44" si="96">_xlfn.STDEV.S(S44:S46)</f>
        <v>6.1440136867996413</v>
      </c>
      <c r="X44" s="91">
        <f t="shared" ref="X44" si="97">T44*I44</f>
        <v>-5.5096703384532125E-2</v>
      </c>
      <c r="Y44" s="91">
        <f t="shared" ref="Y44" si="98">V44*I44</f>
        <v>15.201012863385385</v>
      </c>
      <c r="Z44" s="94">
        <f t="shared" ref="Z44" si="99">X44/1000</f>
        <v>-5.5096703384532127E-5</v>
      </c>
      <c r="AA44" s="91">
        <f t="shared" ref="AA44" si="100">Y44/1000</f>
        <v>1.5201012863385386E-2</v>
      </c>
      <c r="AC44" s="9">
        <f t="shared" si="74"/>
        <v>-5.4884052917424514E-2</v>
      </c>
      <c r="AD44" s="9">
        <f t="shared" si="74"/>
        <v>19.106065382665935</v>
      </c>
      <c r="AF44" s="9">
        <f>AC44/('Total Values (Molar Ratio)'!C$47*1000)</f>
        <v>-5.4630929610230438E-5</v>
      </c>
      <c r="AG44" s="9">
        <f>AD44/('Total Values (Molar Ratio)'!C$48*1000)</f>
        <v>2.8725843416053755E-2</v>
      </c>
    </row>
    <row r="45" spans="1:33" x14ac:dyDescent="0.35">
      <c r="K45" s="9" t="s">
        <v>166</v>
      </c>
      <c r="L45" s="9">
        <v>10.51</v>
      </c>
      <c r="M45" s="9">
        <v>0.02</v>
      </c>
      <c r="N45" s="9">
        <v>0</v>
      </c>
      <c r="O45" s="9">
        <v>147.19999999999999</v>
      </c>
      <c r="P45" s="11">
        <f>(N45-'Calibration lines '!$B$7)/'Calibration lines '!$B$8</f>
        <v>-3.7580529706513259E-2</v>
      </c>
      <c r="Q45" s="11">
        <f>(O45-'Calibration lines '!$B$13)/'Calibration lines '!$B$14</f>
        <v>6.8435182994885793</v>
      </c>
      <c r="R45" s="11">
        <f t="shared" si="0"/>
        <v>-7.1513852914392509E-2</v>
      </c>
      <c r="S45" s="11">
        <f t="shared" si="77"/>
        <v>13.022870217865993</v>
      </c>
      <c r="T45" s="91"/>
      <c r="U45" s="91"/>
      <c r="V45" s="91"/>
      <c r="W45" s="91"/>
      <c r="X45" s="91"/>
      <c r="Y45" s="91"/>
      <c r="Z45" s="94"/>
      <c r="AA45" s="91"/>
      <c r="AC45" s="9">
        <f t="shared" si="75"/>
        <v>-5.4779611332424663E-2</v>
      </c>
      <c r="AD45" s="9">
        <f t="shared" si="75"/>
        <v>9.9755185868853502</v>
      </c>
      <c r="AF45" s="9">
        <f>AC45/('Total Values (Molar Ratio)'!C$47*1000)</f>
        <v>-5.4526969706119635E-5</v>
      </c>
      <c r="AG45" s="9">
        <f>AD45/('Total Values (Molar Ratio)'!C$48*1000)</f>
        <v>1.4998126468298432E-2</v>
      </c>
    </row>
    <row r="46" spans="1:33" x14ac:dyDescent="0.35">
      <c r="K46" s="9" t="s">
        <v>167</v>
      </c>
      <c r="L46" s="9">
        <v>10.35</v>
      </c>
      <c r="M46" s="9">
        <v>0.02</v>
      </c>
      <c r="N46" s="9">
        <v>0</v>
      </c>
      <c r="O46" s="9">
        <v>240.5</v>
      </c>
      <c r="P46" s="11">
        <f>(N46-'Calibration lines '!$B$7)/'Calibration lines '!$B$8</f>
        <v>-3.7580529706513259E-2</v>
      </c>
      <c r="Q46" s="11">
        <f>(O46-'Calibration lines '!$B$13)/'Calibration lines '!$B$14</f>
        <v>11.161687684285928</v>
      </c>
      <c r="R46" s="11">
        <f t="shared" si="0"/>
        <v>-7.2619381075387943E-2</v>
      </c>
      <c r="S46" s="11">
        <f t="shared" si="77"/>
        <v>21.568478616977639</v>
      </c>
      <c r="T46" s="91"/>
      <c r="U46" s="91"/>
      <c r="V46" s="91"/>
      <c r="W46" s="91"/>
      <c r="X46" s="91"/>
      <c r="Y46" s="91"/>
      <c r="Z46" s="94"/>
      <c r="AA46" s="91"/>
      <c r="AC46" s="9">
        <f t="shared" si="84"/>
        <v>-5.5626445903747164E-2</v>
      </c>
      <c r="AD46" s="9">
        <f t="shared" si="84"/>
        <v>16.521454620604871</v>
      </c>
      <c r="AF46" s="9">
        <f>AC46/('Total Values (Molar Ratio)'!C$47*1000)</f>
        <v>-5.5369898706407468E-5</v>
      </c>
      <c r="AG46" s="9">
        <f>AD46/('Total Values (Molar Ratio)'!C$48*1000)</f>
        <v>2.4839898164878558E-2</v>
      </c>
    </row>
    <row r="47" spans="1:33" x14ac:dyDescent="0.35">
      <c r="D47" s="9" t="s">
        <v>168</v>
      </c>
      <c r="E47" s="9">
        <v>338.72</v>
      </c>
      <c r="F47" s="9">
        <v>1151.75</v>
      </c>
      <c r="G47" s="9">
        <v>1023.48</v>
      </c>
      <c r="H47" s="9">
        <f>G47-E47</f>
        <v>684.76</v>
      </c>
      <c r="I47" s="9">
        <f t="shared" si="1"/>
        <v>0.68476000000000004</v>
      </c>
      <c r="J47" s="12">
        <f>(F47-E47-H47)/H47</f>
        <v>0.18732110520474324</v>
      </c>
      <c r="K47" s="9" t="s">
        <v>169</v>
      </c>
      <c r="L47" s="9">
        <v>10.27</v>
      </c>
      <c r="M47" s="9">
        <v>0.02</v>
      </c>
      <c r="N47" s="9">
        <v>0</v>
      </c>
      <c r="O47" s="9">
        <v>45.7</v>
      </c>
      <c r="P47" s="11">
        <f>(N47-'Calibration lines '!$B$7)/'Calibration lines '!$B$8</f>
        <v>-3.7580529706513259E-2</v>
      </c>
      <c r="Q47" s="11">
        <f>(O47-'Calibration lines '!$B$13)/'Calibration lines '!$B$14</f>
        <v>2.1458313481817117</v>
      </c>
      <c r="R47" s="11">
        <f t="shared" si="0"/>
        <v>-7.3185062719597391E-2</v>
      </c>
      <c r="S47" s="11">
        <f t="shared" si="77"/>
        <v>4.1788341736742192</v>
      </c>
      <c r="T47" s="91">
        <f t="shared" ref="T47" si="101">AVERAGE(R47:R49)</f>
        <v>-7.312110298885903E-2</v>
      </c>
      <c r="U47" s="91">
        <f t="shared" ref="U47" si="102">_xlfn.STDEV.S(R47:R49)</f>
        <v>8.9002285814603565E-4</v>
      </c>
      <c r="V47" s="91">
        <f t="shared" ref="V47" si="103">AVERAGE(S47:S49)</f>
        <v>4.4699819442928339</v>
      </c>
      <c r="W47" s="91">
        <f t="shared" ref="W47" si="104">_xlfn.STDEV.S(S47:S49)</f>
        <v>0.57754336106514959</v>
      </c>
      <c r="X47" s="91">
        <f t="shared" ref="X47" si="105">T47*I47</f>
        <v>-5.0070406482651111E-2</v>
      </c>
      <c r="Y47" s="91">
        <f t="shared" ref="Y47" si="106">V47*I47</f>
        <v>3.0608648361739612</v>
      </c>
      <c r="Z47" s="94">
        <f t="shared" ref="Z47" si="107">X47/1000</f>
        <v>-5.0070406482651114E-5</v>
      </c>
      <c r="AA47" s="91">
        <f t="shared" ref="AA47" si="108">Y47/1000</f>
        <v>3.0608648361739612E-3</v>
      </c>
      <c r="AC47" s="9">
        <f t="shared" si="74"/>
        <v>-5.0114203547871515E-2</v>
      </c>
      <c r="AD47" s="9">
        <f t="shared" si="74"/>
        <v>2.8614984887651587</v>
      </c>
      <c r="AF47" s="9">
        <f>AC47/('Total Values (Molar Ratio)'!C$47*1000)</f>
        <v>-4.9883078616946324E-5</v>
      </c>
      <c r="AG47" s="9">
        <f>AD47/('Total Values (Molar Ratio)'!C$48*1000)</f>
        <v>4.302244123906211E-3</v>
      </c>
    </row>
    <row r="48" spans="1:33" x14ac:dyDescent="0.35">
      <c r="K48" s="9" t="s">
        <v>170</v>
      </c>
      <c r="L48" s="9">
        <v>10.16</v>
      </c>
      <c r="M48" s="9">
        <v>0.02</v>
      </c>
      <c r="N48" s="9">
        <v>0</v>
      </c>
      <c r="O48" s="9">
        <v>55.7</v>
      </c>
      <c r="P48" s="11">
        <f>(N48-'Calibration lines '!$B$7)/'Calibration lines '!$B$8</f>
        <v>-3.7580529706513259E-2</v>
      </c>
      <c r="Q48" s="11">
        <f>(O48-'Calibration lines '!$B$13)/'Calibration lines '!$B$14</f>
        <v>2.6086576488030779</v>
      </c>
      <c r="R48" s="11">
        <f t="shared" si="0"/>
        <v>-7.3977420682112702E-2</v>
      </c>
      <c r="S48" s="11">
        <f t="shared" si="77"/>
        <v>5.1351528519745626</v>
      </c>
      <c r="T48" s="91"/>
      <c r="U48" s="91"/>
      <c r="V48" s="91"/>
      <c r="W48" s="91"/>
      <c r="X48" s="91"/>
      <c r="Y48" s="91"/>
      <c r="Z48" s="94"/>
      <c r="AA48" s="91"/>
      <c r="AC48" s="9">
        <f t="shared" si="75"/>
        <v>-5.0656778586283494E-2</v>
      </c>
      <c r="AD48" s="9">
        <f t="shared" si="75"/>
        <v>3.5163472669181015</v>
      </c>
      <c r="AF48" s="9">
        <f>AC48/('Total Values (Molar Ratio)'!C$47*1000)</f>
        <v>-5.0423151318507734E-5</v>
      </c>
      <c r="AG48" s="9">
        <f>AD48/('Total Values (Molar Ratio)'!C$48*1000)</f>
        <v>5.286804947166138E-3</v>
      </c>
    </row>
    <row r="49" spans="1:33" x14ac:dyDescent="0.35">
      <c r="K49" s="9" t="s">
        <v>171</v>
      </c>
      <c r="L49" s="9">
        <v>10.41</v>
      </c>
      <c r="M49" s="9">
        <v>0.02</v>
      </c>
      <c r="N49" s="9">
        <v>0</v>
      </c>
      <c r="O49" s="9">
        <v>45.4</v>
      </c>
      <c r="P49" s="11">
        <f>(N49-'Calibration lines '!$B$7)/'Calibration lines '!$B$8</f>
        <v>-3.7580529706513259E-2</v>
      </c>
      <c r="Q49" s="11">
        <f>(O49-'Calibration lines '!$B$13)/'Calibration lines '!$B$14</f>
        <v>2.1319465591630702</v>
      </c>
      <c r="R49" s="11">
        <f t="shared" si="0"/>
        <v>-7.2200825564866969E-2</v>
      </c>
      <c r="S49" s="11">
        <f t="shared" si="77"/>
        <v>4.0959588072297217</v>
      </c>
      <c r="T49" s="91"/>
      <c r="U49" s="91"/>
      <c r="V49" s="91"/>
      <c r="W49" s="91"/>
      <c r="X49" s="91"/>
      <c r="Y49" s="91"/>
      <c r="Z49" s="94"/>
      <c r="AA49" s="91"/>
      <c r="AC49" s="9">
        <f t="shared" si="84"/>
        <v>-4.9440237313798305E-2</v>
      </c>
      <c r="AD49" s="9">
        <f t="shared" si="84"/>
        <v>2.8047487528386243</v>
      </c>
      <c r="AF49" s="9">
        <f>AC49/('Total Values (Molar Ratio)'!C$47*1000)</f>
        <v>-4.9212220691262115E-5</v>
      </c>
      <c r="AG49" s="9">
        <f>AD49/('Total Values (Molar Ratio)'!C$48*1000)</f>
        <v>4.2169212698555279E-3</v>
      </c>
    </row>
    <row r="50" spans="1:33" x14ac:dyDescent="0.35">
      <c r="A50" s="9" t="s">
        <v>172</v>
      </c>
      <c r="B50" s="9">
        <v>2617</v>
      </c>
      <c r="C50" s="9">
        <v>1.006</v>
      </c>
      <c r="D50" s="9" t="s">
        <v>173</v>
      </c>
      <c r="E50" s="9">
        <v>343.8</v>
      </c>
      <c r="F50" s="9">
        <v>788.98</v>
      </c>
      <c r="G50" s="9">
        <v>694.72</v>
      </c>
      <c r="H50" s="9">
        <f>G50-E50</f>
        <v>350.92</v>
      </c>
      <c r="I50" s="9">
        <f t="shared" si="1"/>
        <v>0.35092000000000001</v>
      </c>
      <c r="J50" s="12">
        <f>(F50-E50-H50)/H50</f>
        <v>0.26860822979596488</v>
      </c>
      <c r="K50" s="9" t="s">
        <v>174</v>
      </c>
      <c r="L50" s="9">
        <v>10.5</v>
      </c>
      <c r="M50" s="9">
        <v>0.02</v>
      </c>
      <c r="N50" s="9">
        <v>23.5</v>
      </c>
      <c r="O50" s="9">
        <v>1826.1</v>
      </c>
      <c r="P50" s="11">
        <f>(N50-'Calibration lines '!$B$7)/'Calibration lines '!$B$8</f>
        <v>25.926807444523977</v>
      </c>
      <c r="Q50" s="11">
        <f>(O50-'Calibration lines '!$B$13)/'Calibration lines '!$B$14</f>
        <v>84.547425910809764</v>
      </c>
      <c r="R50" s="11">
        <f t="shared" si="0"/>
        <v>49.384395132426619</v>
      </c>
      <c r="S50" s="11">
        <f t="shared" si="77"/>
        <v>161.04271602059003</v>
      </c>
      <c r="T50" s="91">
        <f t="shared" ref="T50" si="109">AVERAGE(R50:R52)</f>
        <v>45.133567309004214</v>
      </c>
      <c r="U50" s="91">
        <f t="shared" ref="U50" si="110">_xlfn.STDEV.S(R50:R52)</f>
        <v>6.7309374691136981</v>
      </c>
      <c r="V50" s="91">
        <f t="shared" ref="V50" si="111">AVERAGE(S50:S52)</f>
        <v>155.42322688175062</v>
      </c>
      <c r="W50" s="91">
        <f t="shared" ref="W50" si="112">_xlfn.STDEV.S(S50:S52)</f>
        <v>7.7349289974975211</v>
      </c>
      <c r="X50" s="91">
        <f t="shared" ref="X50" si="113">T50*I50</f>
        <v>15.83827144007576</v>
      </c>
      <c r="Y50" s="91">
        <f t="shared" ref="Y50" si="114">V50*I50</f>
        <v>54.541118777343932</v>
      </c>
      <c r="Z50" s="94">
        <f t="shared" ref="Z50" si="115">X50/1000</f>
        <v>1.5838271440075758E-2</v>
      </c>
      <c r="AA50" s="91">
        <f t="shared" ref="AA50" si="116">Y50/1000</f>
        <v>5.4541118777343932E-2</v>
      </c>
      <c r="AC50" s="9">
        <f t="shared" si="74"/>
        <v>17.32997193987115</v>
      </c>
      <c r="AD50" s="9">
        <f t="shared" si="74"/>
        <v>56.513109905945456</v>
      </c>
      <c r="AF50" s="9">
        <f>AC50/('Total Values (Molar Ratio)'!C$47*1000)</f>
        <v>1.7250046723386127E-2</v>
      </c>
      <c r="AG50" s="9">
        <f>AD50/('Total Values (Molar Ratio)'!C$48*1000)</f>
        <v>8.4967088387818995E-2</v>
      </c>
    </row>
    <row r="51" spans="1:33" x14ac:dyDescent="0.35">
      <c r="K51" s="9" t="s">
        <v>175</v>
      </c>
      <c r="L51" s="9">
        <v>10.8</v>
      </c>
      <c r="M51" s="9">
        <v>0.02</v>
      </c>
      <c r="N51" s="9">
        <v>18.3</v>
      </c>
      <c r="O51" s="9">
        <v>1709.8</v>
      </c>
      <c r="P51" s="11">
        <f>(N51-'Calibration lines '!$B$7)/'Calibration lines '!$B$8</f>
        <v>20.181496062992125</v>
      </c>
      <c r="Q51" s="11">
        <f>(O51-'Calibration lines '!$B$13)/'Calibration lines '!$B$14</f>
        <v>79.164756034583277</v>
      </c>
      <c r="R51" s="11">
        <f t="shared" si="0"/>
        <v>37.373140857392819</v>
      </c>
      <c r="S51" s="11">
        <f t="shared" si="77"/>
        <v>146.6014000640431</v>
      </c>
      <c r="T51" s="91"/>
      <c r="U51" s="91"/>
      <c r="V51" s="91"/>
      <c r="W51" s="91"/>
      <c r="X51" s="91"/>
      <c r="Y51" s="91"/>
      <c r="Z51" s="94"/>
      <c r="AA51" s="91"/>
      <c r="AC51" s="9">
        <f t="shared" si="75"/>
        <v>13.114982589676288</v>
      </c>
      <c r="AD51" s="9">
        <f t="shared" si="75"/>
        <v>51.445363310474008</v>
      </c>
      <c r="AF51" s="9">
        <f>AC51/('Total Values (Molar Ratio)'!C$47*1000)</f>
        <v>1.3054496754712784E-2</v>
      </c>
      <c r="AG51" s="9">
        <f>AD51/('Total Values (Molar Ratio)'!C$48*1000)</f>
        <v>7.7347764772092958E-2</v>
      </c>
    </row>
    <row r="52" spans="1:33" x14ac:dyDescent="0.35">
      <c r="K52" s="9" t="s">
        <v>176</v>
      </c>
      <c r="L52" s="9">
        <v>10.66</v>
      </c>
      <c r="M52" s="9">
        <v>0.02</v>
      </c>
      <c r="N52" s="9">
        <v>23.5</v>
      </c>
      <c r="O52" s="9">
        <v>1826.1</v>
      </c>
      <c r="P52" s="11">
        <f>(N52-'Calibration lines '!$B$7)/'Calibration lines '!$B$8</f>
        <v>25.926807444523977</v>
      </c>
      <c r="Q52" s="11">
        <f>(O52-'Calibration lines '!$B$13)/'Calibration lines '!$B$14</f>
        <v>84.547425910809764</v>
      </c>
      <c r="R52" s="11">
        <f t="shared" si="0"/>
        <v>48.643165937193203</v>
      </c>
      <c r="S52" s="11">
        <f t="shared" si="77"/>
        <v>158.62556456061873</v>
      </c>
      <c r="T52" s="91"/>
      <c r="U52" s="91"/>
      <c r="V52" s="91"/>
      <c r="W52" s="91"/>
      <c r="X52" s="91"/>
      <c r="Y52" s="91"/>
      <c r="Z52" s="94"/>
      <c r="AA52" s="91"/>
      <c r="AC52" s="9">
        <f t="shared" si="84"/>
        <v>17.069859790679839</v>
      </c>
      <c r="AD52" s="9">
        <f t="shared" si="84"/>
        <v>55.664883115612326</v>
      </c>
      <c r="AF52" s="9">
        <f>AC52/('Total Values (Molar Ratio)'!C$47*1000)</f>
        <v>1.6991134202209598E-2</v>
      </c>
      <c r="AG52" s="9">
        <f>AD52/('Total Values (Molar Ratio)'!C$48*1000)</f>
        <v>8.3691784997382709E-2</v>
      </c>
    </row>
    <row r="53" spans="1:33" x14ac:dyDescent="0.35">
      <c r="D53" s="9" t="s">
        <v>177</v>
      </c>
      <c r="E53" s="9">
        <v>351.15</v>
      </c>
      <c r="F53" s="9">
        <v>923.26</v>
      </c>
      <c r="G53" s="9">
        <v>817.66</v>
      </c>
      <c r="H53" s="9">
        <f>G53-E53</f>
        <v>466.51</v>
      </c>
      <c r="I53" s="9">
        <f t="shared" si="1"/>
        <v>0.46650999999999998</v>
      </c>
      <c r="J53" s="12">
        <f>(F53-E53-H53)/H53</f>
        <v>0.22636170714454143</v>
      </c>
      <c r="K53" s="9" t="s">
        <v>178</v>
      </c>
      <c r="L53" s="9">
        <v>10.37</v>
      </c>
      <c r="M53" s="9">
        <v>0.02</v>
      </c>
      <c r="N53" s="9">
        <v>0.65</v>
      </c>
      <c r="O53" s="9">
        <v>211.2</v>
      </c>
      <c r="P53" s="11">
        <f>(N53-'Calibration lines '!$B$7)/'Calibration lines '!$B$8</f>
        <v>0.68058339298496839</v>
      </c>
      <c r="Q53" s="11">
        <f>(O53-'Calibration lines '!$B$13)/'Calibration lines '!$B$14</f>
        <v>9.8056066234653247</v>
      </c>
      <c r="R53" s="11">
        <f t="shared" si="0"/>
        <v>1.3126005650626198</v>
      </c>
      <c r="S53" s="11">
        <f t="shared" si="77"/>
        <v>18.911488184118276</v>
      </c>
      <c r="T53" s="91">
        <f t="shared" ref="T53" si="117">AVERAGE(R53:R55)</f>
        <v>1.2501689539807126</v>
      </c>
      <c r="U53" s="91">
        <f t="shared" ref="U53" si="118">_xlfn.STDEV.S(R53:R55)</f>
        <v>0.30362676825352863</v>
      </c>
      <c r="V53" s="91">
        <f t="shared" ref="V53" si="119">AVERAGE(S53:S55)</f>
        <v>18.07078764756001</v>
      </c>
      <c r="W53" s="91">
        <f t="shared" ref="W53" si="120">_xlfn.STDEV.S(S53:S55)</f>
        <v>1.1875985895147461</v>
      </c>
      <c r="X53" s="91">
        <f t="shared" ref="X53" si="121">T53*I53</f>
        <v>0.58321631872154223</v>
      </c>
      <c r="Y53" s="91">
        <f t="shared" ref="Y53" si="122">V53*I53</f>
        <v>8.4302031454632207</v>
      </c>
      <c r="Z53" s="94">
        <f t="shared" ref="Z53" si="123">X53/1000</f>
        <v>5.8321631872154222E-4</v>
      </c>
      <c r="AA53" s="91">
        <f t="shared" ref="AA53" si="124">Y53/1000</f>
        <v>8.4302031454632203E-3</v>
      </c>
      <c r="AC53" s="9">
        <f t="shared" si="74"/>
        <v>0.61234128960736278</v>
      </c>
      <c r="AD53" s="9">
        <f t="shared" si="74"/>
        <v>8.8223983527730176</v>
      </c>
      <c r="AF53" s="9">
        <f>AC53/('Total Values (Molar Ratio)'!C$47*1000)</f>
        <v>6.0951719327850568E-4</v>
      </c>
      <c r="AG53" s="9">
        <f>AD53/('Total Values (Molar Ratio)'!C$48*1000)</f>
        <v>1.3264417794033853E-2</v>
      </c>
    </row>
    <row r="54" spans="1:33" x14ac:dyDescent="0.35">
      <c r="K54" s="9" t="s">
        <v>179</v>
      </c>
      <c r="L54" s="9">
        <v>10.71</v>
      </c>
      <c r="M54" s="9">
        <v>0.02</v>
      </c>
      <c r="N54" s="9">
        <v>0.48</v>
      </c>
      <c r="O54" s="9">
        <v>192.7</v>
      </c>
      <c r="P54" s="11">
        <f>(N54-'Calibration lines '!$B$7)/'Calibration lines '!$B$8</f>
        <v>0.49275590551181164</v>
      </c>
      <c r="Q54" s="11">
        <f>(O54-'Calibration lines '!$B$13)/'Calibration lines '!$B$14</f>
        <v>8.9493779673157956</v>
      </c>
      <c r="R54" s="11">
        <f t="shared" si="0"/>
        <v>0.9201790952601524</v>
      </c>
      <c r="S54" s="11">
        <f t="shared" si="77"/>
        <v>16.712190415155547</v>
      </c>
      <c r="T54" s="91"/>
      <c r="U54" s="91"/>
      <c r="V54" s="91"/>
      <c r="W54" s="91"/>
      <c r="X54" s="91"/>
      <c r="Y54" s="91"/>
      <c r="Z54" s="94"/>
      <c r="AA54" s="91"/>
      <c r="AC54" s="9">
        <f t="shared" si="75"/>
        <v>0.42927274972981366</v>
      </c>
      <c r="AD54" s="9">
        <f t="shared" si="75"/>
        <v>7.7964039505742138</v>
      </c>
      <c r="AF54" s="9">
        <f>AC54/('Total Values (Molar Ratio)'!C$47*1000)</f>
        <v>4.2729295901968903E-4</v>
      </c>
      <c r="AG54" s="9">
        <f>AD54/('Total Values (Molar Ratio)'!C$48*1000)</f>
        <v>1.1721841970439654E-2</v>
      </c>
    </row>
    <row r="55" spans="1:33" x14ac:dyDescent="0.35">
      <c r="K55" s="9" t="s">
        <v>180</v>
      </c>
      <c r="L55" s="9">
        <v>10.57</v>
      </c>
      <c r="M55" s="9">
        <v>0.02</v>
      </c>
      <c r="N55" s="9">
        <v>0.76</v>
      </c>
      <c r="O55" s="9">
        <v>211.6</v>
      </c>
      <c r="P55" s="11">
        <f>(N55-'Calibration lines '!$B$7)/'Calibration lines '!$B$8</f>
        <v>0.80211882605583451</v>
      </c>
      <c r="Q55" s="11">
        <f>(O55-'Calibration lines '!$B$13)/'Calibration lines '!$B$14</f>
        <v>9.8241196754901789</v>
      </c>
      <c r="R55" s="11">
        <f t="shared" si="0"/>
        <v>1.5177272016193653</v>
      </c>
      <c r="S55" s="11">
        <f t="shared" si="77"/>
        <v>18.588684343406204</v>
      </c>
      <c r="T55" s="91"/>
      <c r="U55" s="91"/>
      <c r="V55" s="91"/>
      <c r="W55" s="91"/>
      <c r="X55" s="91"/>
      <c r="Y55" s="91"/>
      <c r="Z55" s="94"/>
      <c r="AA55" s="91"/>
      <c r="AC55" s="9">
        <f t="shared" si="84"/>
        <v>0.70803491682745001</v>
      </c>
      <c r="AD55" s="9">
        <f t="shared" si="84"/>
        <v>8.671807133042428</v>
      </c>
      <c r="AF55" s="9">
        <f>AC55/('Total Values (Molar Ratio)'!C$47*1000)</f>
        <v>7.0476948488083541E-4</v>
      </c>
      <c r="AG55" s="9">
        <f>AD55/('Total Values (Molar Ratio)'!C$48*1000)</f>
        <v>1.3038004887390181E-2</v>
      </c>
    </row>
    <row r="56" spans="1:33" x14ac:dyDescent="0.35">
      <c r="D56" s="9" t="s">
        <v>181</v>
      </c>
      <c r="E56" s="9">
        <v>343.95</v>
      </c>
      <c r="F56" s="9">
        <v>971.52</v>
      </c>
      <c r="G56" s="9">
        <v>856.2</v>
      </c>
      <c r="H56" s="9">
        <f>G56-E56</f>
        <v>512.25</v>
      </c>
      <c r="I56" s="9">
        <f t="shared" si="1"/>
        <v>0.51224999999999998</v>
      </c>
      <c r="J56" s="12">
        <f>(F56-E56-H56)/H56</f>
        <v>0.22512445095168362</v>
      </c>
      <c r="K56" s="9" t="s">
        <v>182</v>
      </c>
      <c r="L56" s="9">
        <v>10.8</v>
      </c>
      <c r="M56" s="9">
        <v>0.02</v>
      </c>
      <c r="N56" s="9">
        <v>0</v>
      </c>
      <c r="O56" s="9">
        <v>8.8000000000000007</v>
      </c>
      <c r="P56" s="11">
        <f>(N56-'Calibration lines '!$B$7)/'Calibration lines '!$B$8</f>
        <v>-3.7580529706513259E-2</v>
      </c>
      <c r="Q56" s="11">
        <f>(O56-'Calibration lines '!$B$13)/'Calibration lines '!$B$14</f>
        <v>0.4380022988888696</v>
      </c>
      <c r="R56" s="11">
        <f t="shared" si="0"/>
        <v>-6.9593573530580113E-2</v>
      </c>
      <c r="S56" s="11">
        <f t="shared" si="77"/>
        <v>0.81111536831272157</v>
      </c>
      <c r="T56" s="91">
        <f t="shared" ref="T56" si="125">AVERAGE(R56:R58)</f>
        <v>-7.1448363791839428E-2</v>
      </c>
      <c r="U56" s="91">
        <f t="shared" ref="U56" si="126">_xlfn.STDEV.S(R56:R58)</f>
        <v>2.7749930537143397E-3</v>
      </c>
      <c r="V56" s="91">
        <f t="shared" ref="V56" si="127">AVERAGE(S56:S58)</f>
        <v>0.62234182754679468</v>
      </c>
      <c r="W56" s="91">
        <f t="shared" ref="W56" si="128">_xlfn.STDEV.S(S56:S58)</f>
        <v>0.49823552210285144</v>
      </c>
      <c r="X56" s="91">
        <f t="shared" ref="X56" si="129">T56*I56</f>
        <v>-3.6599424352369743E-2</v>
      </c>
      <c r="Y56" s="91">
        <f t="shared" ref="Y56" si="130">V56*I56</f>
        <v>0.31879460116084557</v>
      </c>
      <c r="Z56" s="94">
        <f t="shared" ref="Z56" si="131">X56/1000</f>
        <v>-3.6599424352369744E-5</v>
      </c>
      <c r="AA56" s="91">
        <f t="shared" ref="AA56" si="132">Y56/1000</f>
        <v>3.1879460116084556E-4</v>
      </c>
      <c r="AC56" s="9">
        <f t="shared" si="74"/>
        <v>-3.5649308041039662E-2</v>
      </c>
      <c r="AD56" s="9">
        <f t="shared" si="74"/>
        <v>0.41549384741819162</v>
      </c>
      <c r="AF56" s="9">
        <f>AC56/('Total Values (Molar Ratio)'!C$47*1000)</f>
        <v>-3.5484894695616633E-5</v>
      </c>
      <c r="AG56" s="9">
        <f>AD56/('Total Values (Molar Ratio)'!C$48*1000)</f>
        <v>6.246922619712774E-4</v>
      </c>
    </row>
    <row r="57" spans="1:33" x14ac:dyDescent="0.35">
      <c r="K57" s="9" t="s">
        <v>183</v>
      </c>
      <c r="L57" s="9">
        <v>10.07</v>
      </c>
      <c r="M57" s="9">
        <v>0.02</v>
      </c>
      <c r="N57" s="9">
        <v>0</v>
      </c>
      <c r="O57" s="9">
        <v>10.199999999999999</v>
      </c>
      <c r="P57" s="11">
        <f>(N57-'Calibration lines '!$B$7)/'Calibration lines '!$B$8</f>
        <v>-3.7580529706513259E-2</v>
      </c>
      <c r="Q57" s="11">
        <f>(O57-'Calibration lines '!$B$13)/'Calibration lines '!$B$14</f>
        <v>0.50279798097586081</v>
      </c>
      <c r="R57" s="11">
        <f t="shared" si="0"/>
        <v>-7.463858928801044E-2</v>
      </c>
      <c r="S57" s="11">
        <f t="shared" si="77"/>
        <v>0.99860572189843255</v>
      </c>
      <c r="T57" s="91"/>
      <c r="U57" s="91"/>
      <c r="V57" s="91"/>
      <c r="W57" s="91"/>
      <c r="X57" s="91"/>
      <c r="Y57" s="91"/>
      <c r="Z57" s="94"/>
      <c r="AA57" s="91"/>
      <c r="AC57" s="9">
        <f t="shared" si="75"/>
        <v>-3.8233617362783349E-2</v>
      </c>
      <c r="AD57" s="9">
        <f t="shared" si="75"/>
        <v>0.5115357810424721</v>
      </c>
      <c r="AF57" s="9">
        <f>AC57/('Total Values (Molar Ratio)'!C$47*1000)</f>
        <v>-3.8057285274345547E-5</v>
      </c>
      <c r="AG57" s="9">
        <f>AD57/('Total Values (Molar Ratio)'!C$48*1000)</f>
        <v>7.6909067637056659E-4</v>
      </c>
    </row>
    <row r="58" spans="1:33" x14ac:dyDescent="0.35">
      <c r="K58" s="9" t="s">
        <v>184</v>
      </c>
      <c r="L58" s="9">
        <v>10.72</v>
      </c>
      <c r="M58" s="9">
        <v>0.02</v>
      </c>
      <c r="N58" s="9">
        <v>0</v>
      </c>
      <c r="O58" s="9">
        <v>0</v>
      </c>
      <c r="P58" s="11">
        <f>(N58-'Calibration lines '!$B$7)/'Calibration lines '!$B$8</f>
        <v>-3.7580529706513259E-2</v>
      </c>
      <c r="Q58" s="11">
        <f>(O58-'Calibration lines '!$B$13)/'Calibration lines '!$B$14</f>
        <v>3.0715154342067157E-2</v>
      </c>
      <c r="R58" s="11">
        <f t="shared" si="0"/>
        <v>-7.0112928556927717E-2</v>
      </c>
      <c r="S58" s="11">
        <f t="shared" si="77"/>
        <v>5.7304392429229765E-2</v>
      </c>
      <c r="T58" s="91"/>
      <c r="U58" s="91"/>
      <c r="V58" s="91"/>
      <c r="W58" s="91"/>
      <c r="X58" s="91"/>
      <c r="Y58" s="91"/>
      <c r="Z58" s="94"/>
      <c r="AA58" s="91"/>
      <c r="AC58" s="9">
        <f t="shared" si="84"/>
        <v>-3.5915347653286224E-2</v>
      </c>
      <c r="AD58" s="9">
        <f t="shared" si="84"/>
        <v>2.9354175021872948E-2</v>
      </c>
      <c r="AF58" s="9">
        <f>AC58/('Total Values (Molar Ratio)'!C$47*1000)</f>
        <v>-3.5749707342598847E-5</v>
      </c>
      <c r="AG58" s="9">
        <f>AD58/('Total Values (Molar Ratio)'!C$48*1000)</f>
        <v>4.413380873545931E-5</v>
      </c>
    </row>
    <row r="59" spans="1:33" x14ac:dyDescent="0.35">
      <c r="D59" s="9" t="s">
        <v>185</v>
      </c>
      <c r="E59" s="9">
        <v>346.08</v>
      </c>
      <c r="F59" s="9">
        <v>1233.8</v>
      </c>
      <c r="G59" s="9">
        <v>1091.1400000000001</v>
      </c>
      <c r="H59" s="9">
        <f>G59-E59</f>
        <v>745.06000000000017</v>
      </c>
      <c r="I59" s="9">
        <f t="shared" si="1"/>
        <v>0.74506000000000017</v>
      </c>
      <c r="J59" s="12">
        <f>(F59-E59-H59)/H59</f>
        <v>0.19147451211982905</v>
      </c>
      <c r="K59" s="9" t="s">
        <v>186</v>
      </c>
      <c r="L59" s="9">
        <v>10.34</v>
      </c>
      <c r="M59" s="9">
        <v>0.02</v>
      </c>
      <c r="N59" s="9">
        <v>0</v>
      </c>
      <c r="O59" s="9">
        <v>0</v>
      </c>
      <c r="P59" s="11">
        <f>(N59-'Calibration lines '!$B$7)/'Calibration lines '!$B$8</f>
        <v>-3.7580529706513259E-2</v>
      </c>
      <c r="Q59" s="11">
        <f>(O59-'Calibration lines '!$B$13)/'Calibration lines '!$B$14</f>
        <v>3.0715154342067157E-2</v>
      </c>
      <c r="R59" s="11">
        <f t="shared" si="0"/>
        <v>-7.2689612585132027E-2</v>
      </c>
      <c r="S59" s="11">
        <f t="shared" si="77"/>
        <v>5.9410356561058329E-2</v>
      </c>
      <c r="T59" s="91">
        <f t="shared" ref="T59" si="133">AVERAGE(R59:R61)</f>
        <v>1.9583192814278296</v>
      </c>
      <c r="U59" s="91">
        <f t="shared" ref="U59" si="134">_xlfn.STDEV.S(R59:R61)</f>
        <v>3.5190523061584491</v>
      </c>
      <c r="V59" s="91">
        <f t="shared" ref="V59" si="135">AVERAGE(S59:S61)</f>
        <v>6.0171662212219514E-2</v>
      </c>
      <c r="W59" s="91">
        <f t="shared" ref="W59" si="136">_xlfn.STDEV.S(S59:S61)</f>
        <v>6.5998511426490134E-4</v>
      </c>
      <c r="X59" s="91">
        <f t="shared" ref="X59" si="137">T59*I59</f>
        <v>1.459065363820619</v>
      </c>
      <c r="Y59" s="91">
        <f t="shared" ref="Y59" si="138">V59*I59</f>
        <v>4.4831498647836282E-2</v>
      </c>
      <c r="Z59" s="94">
        <f t="shared" ref="Z59" si="139">X59/1000</f>
        <v>1.4590653638206191E-3</v>
      </c>
      <c r="AA59" s="91">
        <f t="shared" ref="AA59" si="140">Y59/1000</f>
        <v>4.4831498647836284E-5</v>
      </c>
      <c r="AC59" s="9">
        <f t="shared" si="74"/>
        <v>-5.4158122752678478E-2</v>
      </c>
      <c r="AD59" s="9">
        <f t="shared" si="74"/>
        <v>4.426428025938213E-2</v>
      </c>
      <c r="AF59" s="9">
        <f>AC59/('Total Values (Molar Ratio)'!C$47*1000)</f>
        <v>-5.3908347409680287E-5</v>
      </c>
      <c r="AG59" s="9">
        <f>AD59/('Total Values (Molar Ratio)'!C$48*1000)</f>
        <v>6.6551053719774797E-5</v>
      </c>
    </row>
    <row r="60" spans="1:33" x14ac:dyDescent="0.35">
      <c r="K60" s="9" t="s">
        <v>187</v>
      </c>
      <c r="L60" s="9">
        <v>10.14</v>
      </c>
      <c r="M60" s="9">
        <v>0.02</v>
      </c>
      <c r="N60" s="9">
        <v>0</v>
      </c>
      <c r="O60" s="9">
        <v>0</v>
      </c>
      <c r="P60" s="11">
        <f>(N60-'Calibration lines '!$B$7)/'Calibration lines '!$B$8</f>
        <v>-3.7580529706513259E-2</v>
      </c>
      <c r="Q60" s="11">
        <f>(O60-'Calibration lines '!$B$13)/'Calibration lines '!$B$14</f>
        <v>3.0715154342067157E-2</v>
      </c>
      <c r="R60" s="11">
        <f t="shared" si="0"/>
        <v>-7.4123332754464019E-2</v>
      </c>
      <c r="S60" s="11">
        <f t="shared" si="77"/>
        <v>6.0582158465615689E-2</v>
      </c>
      <c r="T60" s="91"/>
      <c r="U60" s="91"/>
      <c r="V60" s="91"/>
      <c r="W60" s="91"/>
      <c r="X60" s="91"/>
      <c r="Y60" s="91"/>
      <c r="Z60" s="94"/>
      <c r="AA60" s="91"/>
      <c r="AC60" s="9">
        <f t="shared" si="75"/>
        <v>-5.5226330302040973E-2</v>
      </c>
      <c r="AD60" s="9">
        <f t="shared" si="75"/>
        <v>4.5137342986391632E-2</v>
      </c>
      <c r="AF60" s="9">
        <f>AC60/('Total Values (Molar Ratio)'!C$47*1000)</f>
        <v>-5.4971628423677929E-5</v>
      </c>
      <c r="AG60" s="9">
        <f>AD60/('Total Values (Molar Ratio)'!C$48*1000)</f>
        <v>6.7863697777364031E-5</v>
      </c>
    </row>
    <row r="61" spans="1:33" x14ac:dyDescent="0.35">
      <c r="K61" s="9" t="s">
        <v>188</v>
      </c>
      <c r="L61" s="9">
        <v>10.15</v>
      </c>
      <c r="M61" s="9">
        <v>0.02</v>
      </c>
      <c r="N61" s="9">
        <v>2.8</v>
      </c>
      <c r="O61" s="9">
        <v>0</v>
      </c>
      <c r="P61" s="11">
        <f>(N61-'Calibration lines '!$B$7)/'Calibration lines '!$B$8</f>
        <v>3.0560486757337153</v>
      </c>
      <c r="Q61" s="11">
        <f>(O61-'Calibration lines '!$B$13)/'Calibration lines '!$B$14</f>
        <v>3.0715154342067157E-2</v>
      </c>
      <c r="R61" s="11">
        <f t="shared" si="0"/>
        <v>6.0217707896230843</v>
      </c>
      <c r="S61" s="11">
        <f t="shared" si="77"/>
        <v>6.0522471609984536E-2</v>
      </c>
      <c r="T61" s="91"/>
      <c r="U61" s="91"/>
      <c r="V61" s="91"/>
      <c r="W61" s="91"/>
      <c r="X61" s="91"/>
      <c r="Y61" s="91"/>
      <c r="Z61" s="94"/>
      <c r="AA61" s="91"/>
      <c r="AC61" s="9">
        <f t="shared" si="84"/>
        <v>4.4865805445165758</v>
      </c>
      <c r="AD61" s="9">
        <f t="shared" si="84"/>
        <v>4.5092872697735091E-2</v>
      </c>
      <c r="AF61" s="9">
        <f>AC61/('Total Values (Molar Ratio)'!C$47*1000)</f>
        <v>4.4658885940308986E-3</v>
      </c>
      <c r="AG61" s="9">
        <f>AD61/('Total Values (Molar Ratio)'!C$48*1000)</f>
        <v>6.7796836991376489E-5</v>
      </c>
    </row>
    <row r="62" spans="1:33" x14ac:dyDescent="0.35">
      <c r="A62" s="9" t="s">
        <v>189</v>
      </c>
      <c r="C62" s="9">
        <v>1.0042</v>
      </c>
      <c r="D62" s="9" t="s">
        <v>190</v>
      </c>
      <c r="E62" s="9">
        <v>356.23</v>
      </c>
      <c r="F62" s="9">
        <v>1024.9100000000001</v>
      </c>
      <c r="G62" s="9">
        <v>896.5</v>
      </c>
      <c r="H62" s="9">
        <f>G62-E62</f>
        <v>540.27</v>
      </c>
      <c r="I62" s="9">
        <f t="shared" si="1"/>
        <v>0.54027000000000003</v>
      </c>
      <c r="J62" s="12">
        <f>(F62-E62-H62)/H62</f>
        <v>0.23767745756751271</v>
      </c>
      <c r="K62" s="9" t="s">
        <v>191</v>
      </c>
      <c r="L62" s="9">
        <v>10.15</v>
      </c>
      <c r="M62" s="9">
        <v>0.02</v>
      </c>
      <c r="N62" s="9">
        <v>2.1</v>
      </c>
      <c r="O62" s="9">
        <v>1146</v>
      </c>
      <c r="P62" s="11">
        <f>(N62-'Calibration lines '!$B$7)/'Calibration lines '!$B$8</f>
        <v>2.2826413743736582</v>
      </c>
      <c r="Q62" s="11">
        <f>(O62-'Calibration lines '!$B$13)/'Calibration lines '!$B$14</f>
        <v>53.070609205550646</v>
      </c>
      <c r="R62" s="11">
        <f t="shared" si="0"/>
        <v>4.4978155160072077</v>
      </c>
      <c r="S62" s="11">
        <f t="shared" si="77"/>
        <v>104.57262897645447</v>
      </c>
      <c r="T62" s="91">
        <f t="shared" ref="T62" si="141">AVERAGE(R62:R64)</f>
        <v>2.9168489745364075</v>
      </c>
      <c r="U62" s="91">
        <f t="shared" ref="U62" si="142">_xlfn.STDEV.S(R62:R64)</f>
        <v>2.5917924529934417</v>
      </c>
      <c r="V62" s="91">
        <f t="shared" ref="V62" si="143">AVERAGE(S62:S64)</f>
        <v>101.15501650774416</v>
      </c>
      <c r="W62" s="91">
        <f t="shared" ref="W62" si="144">_xlfn.STDEV.S(S62:S64)</f>
        <v>4.0152620198436484</v>
      </c>
      <c r="X62" s="91">
        <f t="shared" ref="X62" si="145">T62*I62</f>
        <v>1.5758859954727849</v>
      </c>
      <c r="Y62" s="91">
        <f t="shared" ref="Y62" si="146">V62*I62</f>
        <v>54.651020768638944</v>
      </c>
      <c r="Z62" s="94">
        <f t="shared" ref="Z62" si="147">X62/1000</f>
        <v>1.5758859954727849E-3</v>
      </c>
      <c r="AA62" s="91">
        <f t="shared" ref="AA62" si="148">Y62/1000</f>
        <v>5.4651020768638946E-2</v>
      </c>
      <c r="AC62" s="9">
        <f t="shared" si="74"/>
        <v>2.4300347888332143</v>
      </c>
      <c r="AD62" s="9">
        <f t="shared" si="74"/>
        <v>56.497454257109055</v>
      </c>
      <c r="AF62" s="9">
        <f>AC62/('Total Values (Molar Ratio)'!C$47*1000)</f>
        <v>2.4188275544973761E-3</v>
      </c>
      <c r="AG62" s="9">
        <f>AD62/('Total Values (Molar Ratio)'!C$48*1000)</f>
        <v>8.4943550222946015E-2</v>
      </c>
    </row>
    <row r="63" spans="1:33" x14ac:dyDescent="0.35">
      <c r="K63" s="9" t="s">
        <v>192</v>
      </c>
      <c r="L63" s="9">
        <v>10.039999999999999</v>
      </c>
      <c r="M63" s="9">
        <v>0.02</v>
      </c>
      <c r="N63" s="9">
        <v>2</v>
      </c>
      <c r="O63" s="9">
        <v>1107.4000000000001</v>
      </c>
      <c r="P63" s="11">
        <f>(N63-'Calibration lines '!$B$7)/'Calibration lines '!$B$8</f>
        <v>2.1721546170365071</v>
      </c>
      <c r="Q63" s="11">
        <f>(O63-'Calibration lines '!$B$13)/'Calibration lines '!$B$14</f>
        <v>51.284099685152178</v>
      </c>
      <c r="R63" s="11">
        <f t="shared" si="0"/>
        <v>4.3270012291563891</v>
      </c>
      <c r="S63" s="11">
        <f t="shared" si="77"/>
        <v>102.15956112580116</v>
      </c>
      <c r="T63" s="91"/>
      <c r="U63" s="91"/>
      <c r="V63" s="91"/>
      <c r="W63" s="91"/>
      <c r="X63" s="91"/>
      <c r="Y63" s="91"/>
      <c r="Z63" s="94"/>
      <c r="AA63" s="91"/>
      <c r="AC63" s="9">
        <f t="shared" si="75"/>
        <v>2.3377489540763223</v>
      </c>
      <c r="AD63" s="9">
        <f t="shared" si="75"/>
        <v>55.193746089436594</v>
      </c>
      <c r="AF63" s="9">
        <f>AC63/('Total Values (Molar Ratio)'!C$47*1000)</f>
        <v>2.3269673387401593E-3</v>
      </c>
      <c r="AG63" s="9">
        <f>AD63/('Total Values (Molar Ratio)'!C$48*1000)</f>
        <v>8.2983433582773408E-2</v>
      </c>
    </row>
    <row r="64" spans="1:33" x14ac:dyDescent="0.35">
      <c r="K64" s="9" t="s">
        <v>193</v>
      </c>
      <c r="L64" s="9">
        <v>10.119999999999999</v>
      </c>
      <c r="M64" s="9">
        <v>0.02</v>
      </c>
      <c r="N64" s="9">
        <v>0</v>
      </c>
      <c r="O64" s="9">
        <v>1056.9000000000001</v>
      </c>
      <c r="P64" s="11">
        <f>(N64-'Calibration lines '!$B$7)/'Calibration lines '!$B$8</f>
        <v>-3.7580529706513259E-2</v>
      </c>
      <c r="Q64" s="11">
        <f>(O64-'Calibration lines '!$B$13)/'Calibration lines '!$B$14</f>
        <v>48.946826867014281</v>
      </c>
      <c r="R64" s="11">
        <f t="shared" si="0"/>
        <v>-7.4269821554374046E-2</v>
      </c>
      <c r="S64" s="11">
        <f t="shared" si="77"/>
        <v>96.732859420976851</v>
      </c>
      <c r="T64" s="91"/>
      <c r="U64" s="91"/>
      <c r="V64" s="91"/>
      <c r="W64" s="91"/>
      <c r="X64" s="91"/>
      <c r="Y64" s="91"/>
      <c r="Z64" s="94"/>
      <c r="AA64" s="91"/>
      <c r="AC64" s="9">
        <f t="shared" si="84"/>
        <v>-4.012575649118167E-2</v>
      </c>
      <c r="AD64" s="9">
        <f t="shared" si="84"/>
        <v>52.261861959371167</v>
      </c>
      <c r="AF64" s="9">
        <f>AC64/('Total Values (Molar Ratio)'!C$47*1000)</f>
        <v>-3.994069792413318E-5</v>
      </c>
      <c r="AG64" s="9">
        <f>AD64/('Total Values (Molar Ratio)'!C$48*1000)</f>
        <v>7.8575365110931883E-2</v>
      </c>
    </row>
    <row r="65" spans="1:33" x14ac:dyDescent="0.35">
      <c r="D65" s="9" t="s">
        <v>194</v>
      </c>
      <c r="E65" s="9">
        <v>511.92</v>
      </c>
      <c r="F65" s="9">
        <v>1454.95</v>
      </c>
      <c r="G65" s="9">
        <v>1304.69</v>
      </c>
      <c r="H65" s="9">
        <f>G65-E65</f>
        <v>792.77</v>
      </c>
      <c r="I65" s="9">
        <f t="shared" si="1"/>
        <v>0.79276999999999997</v>
      </c>
      <c r="J65" s="12">
        <f>(F65-E65-H65)/H65</f>
        <v>0.18953794921603995</v>
      </c>
      <c r="K65" s="9" t="s">
        <v>195</v>
      </c>
      <c r="L65" s="9">
        <v>10.59</v>
      </c>
      <c r="M65" s="9">
        <v>0.02</v>
      </c>
      <c r="N65" s="9">
        <v>0</v>
      </c>
      <c r="O65" s="9">
        <v>545.9</v>
      </c>
      <c r="P65" s="11">
        <f>(N65-'Calibration lines '!$B$7)/'Calibration lines '!$B$8</f>
        <v>-3.7580529706513259E-2</v>
      </c>
      <c r="Q65" s="11">
        <f>(O65-'Calibration lines '!$B$13)/'Calibration lines '!$B$14</f>
        <v>25.296402905262457</v>
      </c>
      <c r="R65" s="11">
        <f t="shared" si="0"/>
        <v>-7.097361606518085E-2</v>
      </c>
      <c r="S65" s="11">
        <f t="shared" si="77"/>
        <v>47.774132021269992</v>
      </c>
      <c r="T65" s="91">
        <f t="shared" ref="T65" si="149">AVERAGE(R65:R67)</f>
        <v>-7.0714077331248848E-2</v>
      </c>
      <c r="U65" s="91">
        <f t="shared" ref="U65" si="150">_xlfn.STDEV.S(R65:R67)</f>
        <v>1.7698296323514285E-3</v>
      </c>
      <c r="V65" s="91">
        <f t="shared" ref="V65" si="151">AVERAGE(S65:S67)</f>
        <v>47.670928245721505</v>
      </c>
      <c r="W65" s="91">
        <f t="shared" ref="W65" si="152">_xlfn.STDEV.S(S65:S67)</f>
        <v>2.875445186780337</v>
      </c>
      <c r="X65" s="91">
        <f t="shared" ref="X65" si="153">T65*I65</f>
        <v>-5.6059999085894145E-2</v>
      </c>
      <c r="Y65" s="91">
        <f t="shared" ref="Y65" si="154">V65*I65</f>
        <v>37.792081785360637</v>
      </c>
      <c r="Z65" s="94">
        <f t="shared" ref="Z65" si="155">X65/1000</f>
        <v>-5.6059999085894148E-5</v>
      </c>
      <c r="AA65" s="91">
        <f t="shared" ref="AA65" si="156">Y65/1000</f>
        <v>3.7792081785360636E-2</v>
      </c>
      <c r="AC65" s="9">
        <f t="shared" si="74"/>
        <v>-5.6265753607993421E-2</v>
      </c>
      <c r="AD65" s="9">
        <f t="shared" si="74"/>
        <v>37.873898642502212</v>
      </c>
      <c r="AF65" s="9">
        <f>AC65/('Total Values (Molar Ratio)'!C$47*1000)</f>
        <v>-5.6006257946176129E-5</v>
      </c>
      <c r="AG65" s="9">
        <f>AD65/('Total Values (Molar Ratio)'!C$48*1000)</f>
        <v>5.6943157063990044E-2</v>
      </c>
    </row>
    <row r="66" spans="1:33" x14ac:dyDescent="0.35">
      <c r="K66" s="9" t="s">
        <v>196</v>
      </c>
      <c r="L66" s="9">
        <v>10.39</v>
      </c>
      <c r="M66" s="9">
        <v>0.02</v>
      </c>
      <c r="N66" s="9">
        <v>0</v>
      </c>
      <c r="O66" s="9">
        <v>566.1</v>
      </c>
      <c r="P66" s="11">
        <f>(N66-'Calibration lines '!$B$7)/'Calibration lines '!$B$8</f>
        <v>-3.7580529706513259E-2</v>
      </c>
      <c r="Q66" s="11">
        <f>(O66-'Calibration lines '!$B$13)/'Calibration lines '!$B$14</f>
        <v>26.231312032517621</v>
      </c>
      <c r="R66" s="11">
        <f t="shared" si="0"/>
        <v>-7.2339806942277693E-2</v>
      </c>
      <c r="S66" s="11">
        <f t="shared" si="77"/>
        <v>50.493382160765393</v>
      </c>
      <c r="T66" s="91"/>
      <c r="U66" s="91"/>
      <c r="V66" s="91"/>
      <c r="W66" s="91"/>
      <c r="X66" s="91"/>
      <c r="Y66" s="91"/>
      <c r="Z66" s="94"/>
      <c r="AA66" s="91"/>
      <c r="AC66" s="9">
        <f t="shared" si="75"/>
        <v>-5.7348828749629488E-2</v>
      </c>
      <c r="AD66" s="9">
        <f t="shared" si="75"/>
        <v>40.029638575589978</v>
      </c>
      <c r="AF66" s="9">
        <f>AC66/('Total Values (Molar Ratio)'!C$47*1000)</f>
        <v>-5.7084337983638626E-5</v>
      </c>
      <c r="AG66" s="9">
        <f>AD66/('Total Values (Molar Ratio)'!C$48*1000)</f>
        <v>6.0184297849564632E-2</v>
      </c>
    </row>
    <row r="67" spans="1:33" x14ac:dyDescent="0.35">
      <c r="K67" s="9" t="s">
        <v>197</v>
      </c>
      <c r="L67" s="9">
        <v>10.92</v>
      </c>
      <c r="M67" s="9">
        <v>0.02</v>
      </c>
      <c r="N67" s="9">
        <v>0</v>
      </c>
      <c r="O67" s="9">
        <v>527.20000000000005</v>
      </c>
      <c r="P67" s="11">
        <f>(N67-'Calibration lines '!$B$7)/'Calibration lines '!$B$8</f>
        <v>-3.7580529706513259E-2</v>
      </c>
      <c r="Q67" s="11">
        <f>(O67-'Calibration lines '!$B$13)/'Calibration lines '!$B$14</f>
        <v>24.430917723100499</v>
      </c>
      <c r="R67" s="11">
        <f t="shared" ref="R67:R73" si="157">((P67*M67)/L67)*1000</f>
        <v>-6.8828808986288015E-2</v>
      </c>
      <c r="S67" s="11">
        <f t="shared" ref="S67:S109" si="158">((Q67*M67)/L67)*1000</f>
        <v>44.745270555129117</v>
      </c>
      <c r="T67" s="91"/>
      <c r="U67" s="91"/>
      <c r="V67" s="91"/>
      <c r="W67" s="91"/>
      <c r="X67" s="91"/>
      <c r="Y67" s="91"/>
      <c r="Z67" s="94"/>
      <c r="AA67" s="91"/>
      <c r="AC67" s="9">
        <f t="shared" si="84"/>
        <v>-5.4565414900059547E-2</v>
      </c>
      <c r="AD67" s="9">
        <f t="shared" si="84"/>
        <v>35.472708137989706</v>
      </c>
      <c r="AF67" s="9">
        <f>AC67/('Total Values (Molar Ratio)'!C$47*1000)</f>
        <v>-5.4313761140110364E-5</v>
      </c>
      <c r="AG67" s="9">
        <f>AD67/('Total Values (Molar Ratio)'!C$48*1000)</f>
        <v>5.33329829615126E-2</v>
      </c>
    </row>
    <row r="68" spans="1:33" x14ac:dyDescent="0.35">
      <c r="D68" s="9" t="s">
        <v>198</v>
      </c>
      <c r="E68" s="9">
        <v>414.13</v>
      </c>
      <c r="F68" s="9">
        <v>1156.76</v>
      </c>
      <c r="G68" s="9">
        <v>1028.8800000000001</v>
      </c>
      <c r="H68" s="9">
        <f>G68-E68</f>
        <v>614.75000000000011</v>
      </c>
      <c r="I68" s="9">
        <f t="shared" ref="I68:I119" si="159">H68/1000</f>
        <v>0.61475000000000013</v>
      </c>
      <c r="J68" s="12">
        <f>(F68-E68-H68)/H68</f>
        <v>0.20801952013013397</v>
      </c>
      <c r="K68" s="9" t="s">
        <v>199</v>
      </c>
      <c r="L68" s="9">
        <v>10.09</v>
      </c>
      <c r="M68" s="9">
        <v>0.02</v>
      </c>
      <c r="N68" s="9">
        <v>0</v>
      </c>
      <c r="P68" s="11">
        <f>(N68-'Calibration lines '!$B$7)/'Calibration lines '!$B$8</f>
        <v>-3.7580529706513259E-2</v>
      </c>
      <c r="Q68" s="11">
        <f>(O68-'Calibration lines '!$B$13)/'Calibration lines '!$B$14</f>
        <v>3.0715154342067157E-2</v>
      </c>
      <c r="R68" s="11">
        <f t="shared" si="157"/>
        <v>-7.4490643620442526E-2</v>
      </c>
      <c r="S68" s="11">
        <f t="shared" si="158"/>
        <v>6.0882367377734697E-2</v>
      </c>
      <c r="T68" s="91">
        <f t="shared" ref="T68" si="160">AVERAGE(R68:R70)</f>
        <v>-7.3888136948185301E-2</v>
      </c>
      <c r="U68" s="91">
        <f t="shared" ref="U68" si="161">_xlfn.STDEV.S(R68:R70)</f>
        <v>9.1891305388939321E-4</v>
      </c>
      <c r="V68" s="91">
        <f t="shared" ref="V68" si="162">AVERAGE(S68:S70)</f>
        <v>14.395490530961636</v>
      </c>
      <c r="W68" s="91">
        <f t="shared" ref="W68" si="163">_xlfn.STDEV.S(S68:S70)</f>
        <v>16.55080900492284</v>
      </c>
      <c r="X68" s="91">
        <f t="shared" ref="X68" si="164">T68*I68</f>
        <v>-4.5422732188896926E-2</v>
      </c>
      <c r="Y68" s="91">
        <f t="shared" ref="Y68" si="165">V68*I68</f>
        <v>8.8496278039086675</v>
      </c>
      <c r="Z68" s="94">
        <f t="shared" ref="Z68" si="166">X68/1000</f>
        <v>-4.5422732188896928E-5</v>
      </c>
      <c r="AA68" s="91">
        <f t="shared" ref="AA68" si="167">Y68/1000</f>
        <v>8.8496278039086676E-3</v>
      </c>
      <c r="AC68" s="9">
        <f t="shared" si="74"/>
        <v>-4.5793123165667055E-2</v>
      </c>
      <c r="AD68" s="9">
        <f t="shared" si="74"/>
        <v>3.7427435345462411E-2</v>
      </c>
      <c r="AF68" s="9">
        <f>AC68/('Total Values (Molar Ratio)'!C$47*1000)</f>
        <v>-4.5581926904343592E-5</v>
      </c>
      <c r="AG68" s="9">
        <f>AD68/('Total Values (Molar Ratio)'!C$48*1000)</f>
        <v>5.6271902438565387E-5</v>
      </c>
    </row>
    <row r="69" spans="1:33" x14ac:dyDescent="0.35">
      <c r="K69" s="9" t="s">
        <v>200</v>
      </c>
      <c r="L69" s="9">
        <v>10.11</v>
      </c>
      <c r="M69" s="9">
        <v>0.02</v>
      </c>
      <c r="N69" s="9">
        <v>0</v>
      </c>
      <c r="O69" s="9">
        <v>354.4</v>
      </c>
      <c r="P69" s="11">
        <f>(N69-'Calibration lines '!$B$7)/'Calibration lines '!$B$8</f>
        <v>-3.7580529706513259E-2</v>
      </c>
      <c r="Q69" s="11">
        <f>(O69-'Calibration lines '!$B$13)/'Calibration lines '!$B$14</f>
        <v>16.433279248363291</v>
      </c>
      <c r="R69" s="11">
        <f t="shared" si="157"/>
        <v>-7.4343283296762139E-2</v>
      </c>
      <c r="S69" s="11">
        <f t="shared" si="158"/>
        <v>32.508959937415021</v>
      </c>
      <c r="T69" s="91"/>
      <c r="U69" s="91"/>
      <c r="V69" s="91"/>
      <c r="W69" s="91"/>
      <c r="X69" s="91"/>
      <c r="Y69" s="91"/>
      <c r="Z69" s="94"/>
      <c r="AA69" s="91"/>
      <c r="AC69" s="9">
        <f t="shared" si="75"/>
        <v>-4.5702533406684537E-2</v>
      </c>
      <c r="AD69" s="9">
        <f t="shared" si="75"/>
        <v>19.98488312152589</v>
      </c>
      <c r="AF69" s="9">
        <f>AC69/('Total Values (Molar Ratio)'!C$47*1000)</f>
        <v>-4.549175494211938E-5</v>
      </c>
      <c r="AG69" s="9">
        <f>AD69/('Total Values (Molar Ratio)'!C$48*1000)</f>
        <v>3.00471400960413E-2</v>
      </c>
    </row>
    <row r="70" spans="1:33" x14ac:dyDescent="0.35">
      <c r="K70" s="9" t="s">
        <v>201</v>
      </c>
      <c r="L70" s="9">
        <v>10.32</v>
      </c>
      <c r="M70" s="9">
        <v>0.02</v>
      </c>
      <c r="N70" s="9">
        <v>0</v>
      </c>
      <c r="O70" s="9">
        <v>117.7</v>
      </c>
      <c r="P70" s="11">
        <f>(N70-'Calibration lines '!$B$7)/'Calibration lines '!$B$8</f>
        <v>-3.7580529706513259E-2</v>
      </c>
      <c r="Q70" s="11">
        <f>(O70-'Calibration lines '!$B$13)/'Calibration lines '!$B$14</f>
        <v>5.4781807126555497</v>
      </c>
      <c r="R70" s="11">
        <f t="shared" si="157"/>
        <v>-7.2830483927351267E-2</v>
      </c>
      <c r="S70" s="11">
        <f t="shared" si="158"/>
        <v>10.616629288092149</v>
      </c>
      <c r="T70" s="91"/>
      <c r="U70" s="91"/>
      <c r="V70" s="91"/>
      <c r="W70" s="91"/>
      <c r="X70" s="91"/>
      <c r="Y70" s="91"/>
      <c r="Z70" s="94"/>
      <c r="AA70" s="91"/>
      <c r="AC70" s="9">
        <f t="shared" si="84"/>
        <v>-4.4772539994339201E-2</v>
      </c>
      <c r="AD70" s="9">
        <f t="shared" si="84"/>
        <v>6.52657285485465</v>
      </c>
      <c r="AF70" s="9">
        <f>AC70/('Total Values (Molar Ratio)'!C$47*1000)</f>
        <v>-4.4566050626436704E-5</v>
      </c>
      <c r="AG70" s="9">
        <f>AD70/('Total Values (Molar Ratio)'!C$48*1000)</f>
        <v>9.8126592847376549E-3</v>
      </c>
    </row>
    <row r="71" spans="1:33" x14ac:dyDescent="0.35">
      <c r="D71" s="9" t="s">
        <v>202</v>
      </c>
      <c r="E71" s="9">
        <v>400.65</v>
      </c>
      <c r="F71" s="9">
        <v>1128.02</v>
      </c>
      <c r="G71" s="9">
        <v>984.51</v>
      </c>
      <c r="H71" s="9">
        <f>G71-E71</f>
        <v>583.86</v>
      </c>
      <c r="I71" s="9">
        <f t="shared" si="159"/>
        <v>0.58386000000000005</v>
      </c>
      <c r="J71" s="12">
        <f>(F71-E71-H71)/H71</f>
        <v>0.24579522488267733</v>
      </c>
      <c r="K71" s="9" t="s">
        <v>203</v>
      </c>
      <c r="L71" s="9">
        <v>10.35</v>
      </c>
      <c r="M71" s="9">
        <v>0.02</v>
      </c>
      <c r="N71" s="9">
        <v>0</v>
      </c>
      <c r="O71" s="9">
        <v>262</v>
      </c>
      <c r="P71" s="11">
        <f>(N71-'Calibration lines '!$B$7)/'Calibration lines '!$B$8</f>
        <v>-3.7580529706513259E-2</v>
      </c>
      <c r="Q71" s="11">
        <f>(O71-'Calibration lines '!$B$13)/'Calibration lines '!$B$14</f>
        <v>12.156764230621866</v>
      </c>
      <c r="R71" s="11">
        <f t="shared" si="157"/>
        <v>-7.2619381075387943E-2</v>
      </c>
      <c r="S71" s="11">
        <f t="shared" si="158"/>
        <v>23.491331846612301</v>
      </c>
      <c r="T71" s="91">
        <f t="shared" ref="T71" si="168">AVERAGE(R71:R73)</f>
        <v>-7.285118870424441E-2</v>
      </c>
      <c r="U71" s="91">
        <f t="shared" ref="U71" si="169">_xlfn.STDEV.S(R71:R73)</f>
        <v>2.2031322738587048E-3</v>
      </c>
      <c r="V71" s="91">
        <f t="shared" ref="V71" si="170">AVERAGE(S71:S73)</f>
        <v>25.21502005598083</v>
      </c>
      <c r="W71" s="91">
        <f t="shared" ref="W71" si="171">_xlfn.STDEV.S(S71:S73)</f>
        <v>2.7733232700729684</v>
      </c>
      <c r="X71" s="91">
        <f t="shared" ref="X71" si="172">T71*I71</f>
        <v>-4.2534895036860143E-2</v>
      </c>
      <c r="Y71" s="91">
        <f t="shared" ref="Y71" si="173">V71*I71</f>
        <v>14.722041609884968</v>
      </c>
      <c r="Z71" s="94">
        <f t="shared" ref="Z71" si="174">X71/1000</f>
        <v>-4.2534895036860141E-5</v>
      </c>
      <c r="AA71" s="91">
        <f t="shared" ref="AA71" si="175">Y71/1000</f>
        <v>1.4722041609884969E-2</v>
      </c>
      <c r="AC71" s="9">
        <f t="shared" si="74"/>
        <v>-4.2399551834676009E-2</v>
      </c>
      <c r="AD71" s="9">
        <f t="shared" si="74"/>
        <v>13.715649011963059</v>
      </c>
      <c r="AF71" s="9">
        <f>AC71/('Total Values (Molar Ratio)'!C$47*1000)</f>
        <v>-4.2204006604077112E-5</v>
      </c>
      <c r="AG71" s="9">
        <f>AD71/('Total Values (Molar Ratio)'!C$48*1000)</f>
        <v>2.0621387919286388E-2</v>
      </c>
    </row>
    <row r="72" spans="1:33" x14ac:dyDescent="0.35">
      <c r="K72" s="9" t="s">
        <v>204</v>
      </c>
      <c r="L72" s="9">
        <v>10.62</v>
      </c>
      <c r="M72" s="9">
        <v>0.02</v>
      </c>
      <c r="N72" s="9">
        <v>0</v>
      </c>
      <c r="O72" s="9">
        <v>271.7</v>
      </c>
      <c r="P72" s="11">
        <f>(N72-'Calibration lines '!$B$7)/'Calibration lines '!$B$8</f>
        <v>-3.7580529706513259E-2</v>
      </c>
      <c r="Q72" s="11">
        <f>(O72-'Calibration lines '!$B$13)/'Calibration lines '!$B$14</f>
        <v>12.60570574222459</v>
      </c>
      <c r="R72" s="11">
        <f t="shared" si="157"/>
        <v>-7.077312562431877E-2</v>
      </c>
      <c r="S72" s="11">
        <f t="shared" si="158"/>
        <v>23.739558836581153</v>
      </c>
      <c r="T72" s="91"/>
      <c r="U72" s="91"/>
      <c r="V72" s="91"/>
      <c r="W72" s="91"/>
      <c r="X72" s="91"/>
      <c r="Y72" s="91"/>
      <c r="Z72" s="94"/>
      <c r="AA72" s="91"/>
      <c r="AC72" s="9">
        <f t="shared" si="75"/>
        <v>-4.1321597127014761E-2</v>
      </c>
      <c r="AD72" s="9">
        <f t="shared" si="75"/>
        <v>13.860578822326273</v>
      </c>
      <c r="AF72" s="9">
        <f>AC72/('Total Values (Molar Ratio)'!C$47*1000)</f>
        <v>-4.1131023385329395E-5</v>
      </c>
      <c r="AG72" s="9">
        <f>AD72/('Total Values (Molar Ratio)'!C$48*1000)</f>
        <v>2.0839288934248325E-2</v>
      </c>
    </row>
    <row r="73" spans="1:33" x14ac:dyDescent="0.35">
      <c r="K73" s="9" t="s">
        <v>205</v>
      </c>
      <c r="L73" s="9">
        <v>10</v>
      </c>
      <c r="M73" s="9">
        <v>0.02</v>
      </c>
      <c r="N73" s="9">
        <v>0</v>
      </c>
      <c r="O73" s="9">
        <v>306.3</v>
      </c>
      <c r="P73" s="11">
        <f>(N73-'Calibration lines '!$B$7)/'Calibration lines '!$B$8</f>
        <v>-3.7580529706513259E-2</v>
      </c>
      <c r="Q73" s="11">
        <f>(O73-'Calibration lines '!$B$13)/'Calibration lines '!$B$14</f>
        <v>14.207084742374519</v>
      </c>
      <c r="R73" s="11">
        <f t="shared" si="157"/>
        <v>-7.5161059413026518E-2</v>
      </c>
      <c r="S73" s="11">
        <f t="shared" si="158"/>
        <v>28.414169484749042</v>
      </c>
      <c r="T73" s="91"/>
      <c r="U73" s="91"/>
      <c r="V73" s="91"/>
      <c r="W73" s="91"/>
      <c r="X73" s="91"/>
      <c r="Y73" s="91"/>
      <c r="Z73" s="94"/>
      <c r="AA73" s="91"/>
      <c r="AC73" s="9">
        <f t="shared" si="84"/>
        <v>-4.3883536148889665E-2</v>
      </c>
      <c r="AD73" s="9">
        <f t="shared" si="84"/>
        <v>16.589896995365578</v>
      </c>
      <c r="AF73" s="9">
        <f>AC73/('Total Values (Molar Ratio)'!C$47*1000)</f>
        <v>-4.3681146835219809E-5</v>
      </c>
      <c r="AG73" s="9">
        <f>AD73/('Total Values (Molar Ratio)'!C$48*1000)</f>
        <v>2.4942800824375506E-2</v>
      </c>
    </row>
    <row r="74" spans="1:33" x14ac:dyDescent="0.35">
      <c r="A74" s="9" t="s">
        <v>206</v>
      </c>
      <c r="C74" s="9">
        <v>1.0147999999999999</v>
      </c>
      <c r="D74" s="9" t="s">
        <v>207</v>
      </c>
      <c r="E74" s="9">
        <v>336.14</v>
      </c>
      <c r="F74" s="9">
        <v>901.43</v>
      </c>
      <c r="G74" s="9">
        <v>794.49</v>
      </c>
      <c r="H74" s="9">
        <f>G74-E74</f>
        <v>458.35</v>
      </c>
      <c r="I74" s="9">
        <f t="shared" si="159"/>
        <v>0.45835000000000004</v>
      </c>
      <c r="J74" s="12">
        <f>(F74-E74-H74)/H74</f>
        <v>0.23331515217628435</v>
      </c>
      <c r="K74" s="9" t="s">
        <v>208</v>
      </c>
      <c r="L74" s="9">
        <v>10.44</v>
      </c>
      <c r="M74" s="9">
        <v>0.02</v>
      </c>
      <c r="N74" s="14"/>
      <c r="O74" s="9">
        <v>81.7</v>
      </c>
      <c r="P74" s="15"/>
      <c r="Q74" s="11">
        <f>(O74-'Calibration lines '!$B$13)/'Calibration lines '!$B$14</f>
        <v>3.8120060304186305</v>
      </c>
      <c r="R74" s="15"/>
      <c r="S74" s="11">
        <f t="shared" si="158"/>
        <v>7.3026935448632777</v>
      </c>
      <c r="T74" s="92"/>
      <c r="U74" s="92"/>
      <c r="V74" s="91">
        <f t="shared" ref="V74" si="176">AVERAGE(S74:S76)</f>
        <v>12.254263421397141</v>
      </c>
      <c r="W74" s="91">
        <f t="shared" ref="W74" si="177">_xlfn.STDEV.S(S74:S76)</f>
        <v>11.62249006638187</v>
      </c>
      <c r="X74" s="92"/>
      <c r="Y74" s="91">
        <f t="shared" ref="Y74" si="178">V74*I74</f>
        <v>5.6167416391973797</v>
      </c>
      <c r="Z74" s="93"/>
      <c r="AA74" s="91">
        <f t="shared" ref="AA74" si="179">Y74/1000</f>
        <v>5.6167416391973797E-3</v>
      </c>
      <c r="AD74" s="9">
        <f t="shared" ref="AD74:AD107" si="180">S74*$I74</f>
        <v>3.3471895862880836</v>
      </c>
      <c r="AF74" s="9">
        <f>AC74/('Total Values (Molar Ratio)'!C$47*1000)</f>
        <v>0</v>
      </c>
      <c r="AG74" s="9">
        <f>AD74/('Total Values (Molar Ratio)'!C$48*1000)</f>
        <v>5.0324774888915918E-3</v>
      </c>
    </row>
    <row r="75" spans="1:33" x14ac:dyDescent="0.35">
      <c r="K75" s="9" t="s">
        <v>209</v>
      </c>
      <c r="L75" s="9">
        <v>10.220000000000001</v>
      </c>
      <c r="M75" s="9">
        <v>0.02</v>
      </c>
      <c r="N75" s="14"/>
      <c r="O75" s="9">
        <v>42.7</v>
      </c>
      <c r="P75" s="15"/>
      <c r="Q75" s="11">
        <f>(O75-'Calibration lines '!$B$13)/'Calibration lines '!$B$14</f>
        <v>2.0069834579953016</v>
      </c>
      <c r="R75" s="15"/>
      <c r="S75" s="11">
        <f t="shared" si="158"/>
        <v>3.9275605831610605</v>
      </c>
      <c r="T75" s="92"/>
      <c r="U75" s="92"/>
      <c r="V75" s="91"/>
      <c r="W75" s="91"/>
      <c r="X75" s="92"/>
      <c r="Y75" s="91"/>
      <c r="Z75" s="93"/>
      <c r="AA75" s="91"/>
      <c r="AD75" s="9">
        <f>S75*$I74</f>
        <v>1.8001973932918722</v>
      </c>
      <c r="AF75" s="9">
        <f>AC75/('Total Values (Molar Ratio)'!C$47*1000)</f>
        <v>0</v>
      </c>
      <c r="AG75" s="9">
        <f>AD75/('Total Values (Molar Ratio)'!C$48*1000)</f>
        <v>2.7065849196039374E-3</v>
      </c>
    </row>
    <row r="76" spans="1:33" x14ac:dyDescent="0.35">
      <c r="K76" s="9" t="s">
        <v>210</v>
      </c>
      <c r="L76" s="9">
        <v>10.07</v>
      </c>
      <c r="M76" s="9">
        <v>0.02</v>
      </c>
      <c r="N76" s="14"/>
      <c r="O76" s="9">
        <v>277.10000000000002</v>
      </c>
      <c r="P76" s="15"/>
      <c r="Q76" s="11">
        <f>(O76-'Calibration lines '!$B$13)/'Calibration lines '!$B$14</f>
        <v>12.85563194456013</v>
      </c>
      <c r="R76" s="15"/>
      <c r="S76" s="11">
        <f t="shared" si="158"/>
        <v>25.532536136167089</v>
      </c>
      <c r="T76" s="92"/>
      <c r="U76" s="92"/>
      <c r="V76" s="91"/>
      <c r="W76" s="91"/>
      <c r="X76" s="92"/>
      <c r="Y76" s="91"/>
      <c r="Z76" s="93"/>
      <c r="AA76" s="91"/>
      <c r="AD76" s="9">
        <f t="shared" ref="AD76:AD109" si="181">S76*$I74</f>
        <v>11.702837938012186</v>
      </c>
      <c r="AF76" s="9">
        <f>AC76/('Total Values (Molar Ratio)'!C$47*1000)</f>
        <v>0</v>
      </c>
      <c r="AG76" s="9">
        <f>AD76/('Total Values (Molar Ratio)'!C$48*1000)</f>
        <v>1.7595139731688907E-2</v>
      </c>
    </row>
    <row r="77" spans="1:33" x14ac:dyDescent="0.35">
      <c r="D77" s="9" t="s">
        <v>211</v>
      </c>
      <c r="E77" s="9">
        <v>348.75</v>
      </c>
      <c r="F77" s="9">
        <v>972.69</v>
      </c>
      <c r="G77" s="9">
        <v>863.84</v>
      </c>
      <c r="H77" s="9">
        <f>G77-E77</f>
        <v>515.09</v>
      </c>
      <c r="I77" s="9">
        <f t="shared" si="159"/>
        <v>0.51509000000000005</v>
      </c>
      <c r="J77" s="12">
        <f>(F77-E77-H77)/H77</f>
        <v>0.21132229319148113</v>
      </c>
      <c r="K77" s="9" t="s">
        <v>212</v>
      </c>
      <c r="L77" s="9">
        <v>10.41</v>
      </c>
      <c r="M77" s="9">
        <v>0.02</v>
      </c>
      <c r="N77" s="14"/>
      <c r="O77" s="9">
        <v>1805.6</v>
      </c>
      <c r="P77" s="15"/>
      <c r="Q77" s="11">
        <f>(O77-'Calibration lines '!$B$13)/'Calibration lines '!$B$14</f>
        <v>83.598631994535964</v>
      </c>
      <c r="R77" s="15"/>
      <c r="S77" s="11">
        <f t="shared" si="158"/>
        <v>160.61216521524682</v>
      </c>
      <c r="T77" s="92"/>
      <c r="U77" s="92"/>
      <c r="V77" s="91">
        <f t="shared" ref="V77" si="182">AVERAGE(S77:S79)</f>
        <v>233.71109080188089</v>
      </c>
      <c r="W77" s="91">
        <f t="shared" ref="W77" si="183">_xlfn.STDEV.S(S77:S79)</f>
        <v>69.881387317466306</v>
      </c>
      <c r="X77" s="92"/>
      <c r="Y77" s="91">
        <f t="shared" ref="Y77" si="184">V77*I77</f>
        <v>120.38224576114084</v>
      </c>
      <c r="Z77" s="93"/>
      <c r="AA77" s="91">
        <f t="shared" ref="AA77" si="185">Y77/1000</f>
        <v>0.12038224576114084</v>
      </c>
      <c r="AD77" s="9">
        <f t="shared" si="180"/>
        <v>82.729720180721486</v>
      </c>
      <c r="AF77" s="9">
        <f>AC77/('Total Values (Molar Ratio)'!C$47*1000)</f>
        <v>0</v>
      </c>
      <c r="AG77" s="9">
        <f>AD77/('Total Values (Molar Ratio)'!C$48*1000)</f>
        <v>0.12438358919892636</v>
      </c>
    </row>
    <row r="78" spans="1:33" x14ac:dyDescent="0.35">
      <c r="K78" s="9" t="s">
        <v>213</v>
      </c>
      <c r="L78" s="9">
        <v>10.07</v>
      </c>
      <c r="M78" s="9">
        <v>0.02</v>
      </c>
      <c r="N78" s="14"/>
      <c r="O78" s="9">
        <v>3261.4</v>
      </c>
      <c r="P78" s="15"/>
      <c r="Q78" s="11">
        <f>(O78-'Calibration lines '!$B$13)/'Calibration lines '!$B$14</f>
        <v>150.97688483899449</v>
      </c>
      <c r="R78" s="15"/>
      <c r="S78" s="11">
        <f t="shared" si="158"/>
        <v>299.85478617476565</v>
      </c>
      <c r="T78" s="92"/>
      <c r="U78" s="92"/>
      <c r="V78" s="91"/>
      <c r="W78" s="91"/>
      <c r="X78" s="92"/>
      <c r="Y78" s="91"/>
      <c r="Z78" s="93"/>
      <c r="AA78" s="91"/>
      <c r="AD78" s="9">
        <f t="shared" ref="AD78:AD108" si="186">S78*$I77</f>
        <v>154.45220181076004</v>
      </c>
      <c r="AF78" s="9">
        <f>AC78/('Total Values (Molar Ratio)'!C$47*1000)</f>
        <v>0</v>
      </c>
      <c r="AG78" s="9">
        <f>AD78/('Total Values (Molar Ratio)'!C$48*1000)</f>
        <v>0.23221786776182116</v>
      </c>
    </row>
    <row r="79" spans="1:33" x14ac:dyDescent="0.35">
      <c r="K79" s="9" t="s">
        <v>214</v>
      </c>
      <c r="L79" s="9">
        <v>10.029999999999999</v>
      </c>
      <c r="M79" s="9">
        <v>0.02</v>
      </c>
      <c r="N79" s="14"/>
      <c r="O79" s="9">
        <v>2607.1</v>
      </c>
      <c r="P79" s="15"/>
      <c r="Q79" s="11">
        <f>(O79-'Calibration lines '!$B$13)/'Calibration lines '!$B$14</f>
        <v>120.69415998933849</v>
      </c>
      <c r="R79" s="15"/>
      <c r="S79" s="11">
        <f t="shared" si="158"/>
        <v>240.66632101563013</v>
      </c>
      <c r="T79" s="92"/>
      <c r="U79" s="92"/>
      <c r="V79" s="91"/>
      <c r="W79" s="91"/>
      <c r="X79" s="92"/>
      <c r="Y79" s="91"/>
      <c r="Z79" s="93"/>
      <c r="AA79" s="91"/>
      <c r="AD79" s="9">
        <f t="shared" si="181"/>
        <v>123.96481529194094</v>
      </c>
      <c r="AF79" s="9">
        <f>AC79/('Total Values (Molar Ratio)'!C$47*1000)</f>
        <v>0</v>
      </c>
      <c r="AG79" s="9">
        <f>AD79/('Total Values (Molar Ratio)'!C$48*1000)</f>
        <v>0.18638028300725115</v>
      </c>
    </row>
    <row r="80" spans="1:33" x14ac:dyDescent="0.35">
      <c r="D80" s="9" t="s">
        <v>215</v>
      </c>
      <c r="E80" s="9">
        <v>358.52</v>
      </c>
      <c r="F80" s="9">
        <v>2131.59</v>
      </c>
      <c r="G80" s="9">
        <v>1759.5</v>
      </c>
      <c r="H80" s="9">
        <f>G80-E80</f>
        <v>1400.98</v>
      </c>
      <c r="I80" s="9">
        <f t="shared" si="159"/>
        <v>1.4009800000000001</v>
      </c>
      <c r="J80" s="12">
        <f>(F80-E80-H80)/H80</f>
        <v>0.26559265656897324</v>
      </c>
      <c r="K80" s="9" t="s">
        <v>216</v>
      </c>
      <c r="L80" s="9">
        <v>10.199999999999999</v>
      </c>
      <c r="M80" s="9">
        <v>0.02</v>
      </c>
      <c r="N80" s="14"/>
      <c r="O80" s="9">
        <v>99.3</v>
      </c>
      <c r="P80" s="15"/>
      <c r="Q80" s="11">
        <f>(O80-'Calibration lines '!$B$13)/'Calibration lines '!$B$14</f>
        <v>4.626580319512235</v>
      </c>
      <c r="R80" s="15"/>
      <c r="S80" s="11">
        <f t="shared" si="158"/>
        <v>9.0717261166906571</v>
      </c>
      <c r="T80" s="92"/>
      <c r="U80" s="92"/>
      <c r="V80" s="91">
        <f t="shared" ref="V80" si="187">AVERAGE(S80:S82)</f>
        <v>9.9227952991417734</v>
      </c>
      <c r="W80" s="91">
        <f t="shared" ref="W80" si="188">_xlfn.STDEV.S(S80:S82)</f>
        <v>0.74394488749682108</v>
      </c>
      <c r="X80" s="92"/>
      <c r="Y80" s="91">
        <f t="shared" ref="Y80" si="189">V80*I80</f>
        <v>13.901637758191642</v>
      </c>
      <c r="Z80" s="93"/>
      <c r="AA80" s="91">
        <f t="shared" ref="AA80" si="190">Y80/1000</f>
        <v>1.3901637758191641E-2</v>
      </c>
      <c r="AD80" s="9">
        <f t="shared" si="180"/>
        <v>12.709306854961278</v>
      </c>
      <c r="AF80" s="9">
        <f>AC80/('Total Values (Molar Ratio)'!C$47*1000)</f>
        <v>0</v>
      </c>
      <c r="AG80" s="9">
        <f>AD80/('Total Values (Molar Ratio)'!C$48*1000)</f>
        <v>1.910835911686044E-2</v>
      </c>
    </row>
    <row r="81" spans="1:33" x14ac:dyDescent="0.35">
      <c r="K81" s="9" t="s">
        <v>217</v>
      </c>
      <c r="L81" s="9">
        <v>10.15</v>
      </c>
      <c r="M81" s="9">
        <v>0.02</v>
      </c>
      <c r="N81" s="14"/>
      <c r="O81" s="9">
        <v>111.7</v>
      </c>
      <c r="P81" s="15"/>
      <c r="Q81" s="11">
        <f>(O81-'Calibration lines '!$B$13)/'Calibration lines '!$B$14</f>
        <v>5.2004849322827296</v>
      </c>
      <c r="R81" s="15"/>
      <c r="S81" s="11">
        <f t="shared" si="158"/>
        <v>10.247260950310798</v>
      </c>
      <c r="T81" s="92"/>
      <c r="U81" s="92"/>
      <c r="V81" s="91"/>
      <c r="W81" s="91"/>
      <c r="X81" s="92"/>
      <c r="Y81" s="91"/>
      <c r="Z81" s="93"/>
      <c r="AA81" s="91"/>
      <c r="AD81" s="9">
        <f t="shared" si="186"/>
        <v>14.356207646166423</v>
      </c>
      <c r="AF81" s="9">
        <f>AC81/('Total Values (Molar Ratio)'!C$47*1000)</f>
        <v>0</v>
      </c>
      <c r="AG81" s="9">
        <f>AD81/('Total Values (Molar Ratio)'!C$48*1000)</f>
        <v>2.1584463605273579E-2</v>
      </c>
    </row>
    <row r="82" spans="1:33" x14ac:dyDescent="0.35">
      <c r="K82" s="9" t="s">
        <v>218</v>
      </c>
      <c r="L82" s="9">
        <v>10.37</v>
      </c>
      <c r="M82" s="9">
        <v>0.02</v>
      </c>
      <c r="N82" s="14"/>
      <c r="O82" s="9">
        <v>116.4</v>
      </c>
      <c r="P82" s="15"/>
      <c r="Q82" s="11">
        <f>(O82-'Calibration lines '!$B$13)/'Calibration lines '!$B$14</f>
        <v>5.4180132935747718</v>
      </c>
      <c r="R82" s="15"/>
      <c r="S82" s="11">
        <f t="shared" si="158"/>
        <v>10.449398830423862</v>
      </c>
      <c r="T82" s="92"/>
      <c r="U82" s="92"/>
      <c r="V82" s="91"/>
      <c r="W82" s="91"/>
      <c r="X82" s="92"/>
      <c r="Y82" s="91"/>
      <c r="Z82" s="93"/>
      <c r="AA82" s="91"/>
      <c r="AD82" s="9">
        <f t="shared" si="181"/>
        <v>14.639398773447223</v>
      </c>
      <c r="AF82" s="9">
        <f>AC82/('Total Values (Molar Ratio)'!C$47*1000)</f>
        <v>0</v>
      </c>
      <c r="AG82" s="9">
        <f>AD82/('Total Values (Molar Ratio)'!C$48*1000)</f>
        <v>2.2010239599239579E-2</v>
      </c>
    </row>
    <row r="83" spans="1:33" x14ac:dyDescent="0.35">
      <c r="D83" s="9" t="s">
        <v>219</v>
      </c>
      <c r="E83" s="13" t="s">
        <v>220</v>
      </c>
      <c r="F83" s="13" t="s">
        <v>221</v>
      </c>
      <c r="K83" s="9" t="s">
        <v>222</v>
      </c>
      <c r="L83" s="14"/>
      <c r="M83" s="14"/>
      <c r="N83" s="14"/>
      <c r="O83" s="14"/>
      <c r="P83" s="15"/>
      <c r="Q83" s="15"/>
      <c r="R83" s="15"/>
      <c r="S83" s="15"/>
      <c r="T83" s="92"/>
      <c r="U83" s="92"/>
      <c r="V83" s="92"/>
      <c r="W83" s="92"/>
      <c r="X83" s="92"/>
      <c r="Y83" s="91">
        <f t="shared" ref="Y83" si="191">V83*I83</f>
        <v>0</v>
      </c>
      <c r="Z83" s="93"/>
      <c r="AA83" s="91">
        <f t="shared" ref="AA83" si="192">Y83/1000</f>
        <v>0</v>
      </c>
      <c r="AD83" s="9">
        <f t="shared" si="180"/>
        <v>0</v>
      </c>
      <c r="AF83" s="9">
        <f>AC83/('Total Values (Molar Ratio)'!C$47*1000)</f>
        <v>0</v>
      </c>
      <c r="AG83" s="9">
        <f>AD83/('Total Values (Molar Ratio)'!C$48*1000)</f>
        <v>0</v>
      </c>
    </row>
    <row r="84" spans="1:33" x14ac:dyDescent="0.35">
      <c r="K84" s="9" t="s">
        <v>223</v>
      </c>
      <c r="L84" s="14"/>
      <c r="M84" s="14"/>
      <c r="N84" s="14"/>
      <c r="O84" s="14"/>
      <c r="P84" s="15"/>
      <c r="Q84" s="15"/>
      <c r="R84" s="15"/>
      <c r="S84" s="15"/>
      <c r="T84" s="92"/>
      <c r="U84" s="92"/>
      <c r="V84" s="92"/>
      <c r="W84" s="92"/>
      <c r="X84" s="92"/>
      <c r="Y84" s="91"/>
      <c r="Z84" s="93"/>
      <c r="AA84" s="91"/>
      <c r="AD84" s="9">
        <f t="shared" si="186"/>
        <v>0</v>
      </c>
      <c r="AF84" s="9">
        <f>AC84/('Total Values (Molar Ratio)'!C$47*1000)</f>
        <v>0</v>
      </c>
      <c r="AG84" s="9">
        <f>AD84/('Total Values (Molar Ratio)'!C$48*1000)</f>
        <v>0</v>
      </c>
    </row>
    <row r="85" spans="1:33" x14ac:dyDescent="0.35">
      <c r="K85" s="9" t="s">
        <v>224</v>
      </c>
      <c r="L85" s="14"/>
      <c r="M85" s="14"/>
      <c r="N85" s="14"/>
      <c r="O85" s="14"/>
      <c r="P85" s="15"/>
      <c r="Q85" s="15"/>
      <c r="R85" s="15"/>
      <c r="S85" s="15"/>
      <c r="T85" s="92"/>
      <c r="U85" s="92"/>
      <c r="V85" s="92"/>
      <c r="W85" s="92"/>
      <c r="X85" s="92"/>
      <c r="Y85" s="91"/>
      <c r="Z85" s="93"/>
      <c r="AA85" s="91"/>
      <c r="AD85" s="9">
        <f t="shared" si="181"/>
        <v>0</v>
      </c>
      <c r="AF85" s="9">
        <f>AC85/('Total Values (Molar Ratio)'!C$47*1000)</f>
        <v>0</v>
      </c>
      <c r="AG85" s="9">
        <f>AD85/('Total Values (Molar Ratio)'!C$48*1000)</f>
        <v>0</v>
      </c>
    </row>
    <row r="86" spans="1:33" x14ac:dyDescent="0.35">
      <c r="A86" s="9" t="s">
        <v>225</v>
      </c>
      <c r="B86" s="9">
        <v>2383</v>
      </c>
      <c r="C86" s="9">
        <v>1.0035000000000001</v>
      </c>
      <c r="D86" s="9" t="s">
        <v>226</v>
      </c>
      <c r="E86" s="9">
        <v>539.66</v>
      </c>
      <c r="F86" s="9">
        <v>1215.9000000000001</v>
      </c>
      <c r="G86" s="9">
        <v>1061.6500000000001</v>
      </c>
      <c r="H86" s="9">
        <f>G86-E86</f>
        <v>521.99000000000012</v>
      </c>
      <c r="I86" s="9">
        <f t="shared" si="159"/>
        <v>0.52199000000000018</v>
      </c>
      <c r="J86" s="12">
        <f>(F86-E86-H86)/H86</f>
        <v>0.29550374528247658</v>
      </c>
      <c r="K86" s="9" t="s">
        <v>227</v>
      </c>
      <c r="L86" s="9">
        <v>10.36</v>
      </c>
      <c r="M86" s="9">
        <v>0.05</v>
      </c>
      <c r="N86" s="14"/>
      <c r="O86" s="9">
        <v>1326.1</v>
      </c>
      <c r="P86" s="15"/>
      <c r="Q86" s="11">
        <f>(O86-'Calibration lines '!$B$13)/'Calibration lines '!$B$14</f>
        <v>61.406110879741455</v>
      </c>
      <c r="R86" s="15"/>
      <c r="S86" s="11">
        <f t="shared" si="158"/>
        <v>296.36153899489125</v>
      </c>
      <c r="T86" s="92"/>
      <c r="U86" s="92"/>
      <c r="V86" s="91">
        <f t="shared" ref="V86" si="193">AVERAGE(S86:S88)</f>
        <v>204.59500340708226</v>
      </c>
      <c r="W86" s="91">
        <f t="shared" ref="W86" si="194">_xlfn.STDEV.S(S86:S88)</f>
        <v>155.42365133342633</v>
      </c>
      <c r="X86" s="92"/>
      <c r="Y86" s="91">
        <f t="shared" ref="Y86" si="195">V86*I86</f>
        <v>106.79654582846291</v>
      </c>
      <c r="Z86" s="93"/>
      <c r="AA86" s="91">
        <f t="shared" ref="AA86" si="196">Y86/1000</f>
        <v>0.10679654582846292</v>
      </c>
      <c r="AD86" s="9">
        <f t="shared" si="180"/>
        <v>154.69775973994334</v>
      </c>
      <c r="AF86" s="9">
        <f>AC86/('Total Values (Molar Ratio)'!C$47*1000)</f>
        <v>0</v>
      </c>
      <c r="AG86" s="9">
        <f>AD86/('Total Values (Molar Ratio)'!C$48*1000)</f>
        <v>0.23258706249040662</v>
      </c>
    </row>
    <row r="87" spans="1:33" x14ac:dyDescent="0.35">
      <c r="K87" s="9" t="s">
        <v>228</v>
      </c>
      <c r="L87" s="9">
        <v>10.72</v>
      </c>
      <c r="M87" s="9">
        <v>0.05</v>
      </c>
      <c r="N87" s="14"/>
      <c r="O87" s="9">
        <v>1353.3</v>
      </c>
      <c r="P87" s="15"/>
      <c r="Q87" s="11">
        <f>(O87-'Calibration lines '!$B$13)/'Calibration lines '!$B$14</f>
        <v>62.664998417431569</v>
      </c>
      <c r="R87" s="15"/>
      <c r="S87" s="11">
        <f t="shared" si="158"/>
        <v>292.28077620070695</v>
      </c>
      <c r="T87" s="92"/>
      <c r="U87" s="92"/>
      <c r="V87" s="91"/>
      <c r="W87" s="91"/>
      <c r="X87" s="92"/>
      <c r="Y87" s="91"/>
      <c r="Z87" s="93"/>
      <c r="AA87" s="91"/>
      <c r="AD87" s="9">
        <f t="shared" si="186"/>
        <v>152.56764236900707</v>
      </c>
      <c r="AF87" s="9">
        <f>AC87/('Total Values (Molar Ratio)'!C$47*1000)</f>
        <v>0</v>
      </c>
      <c r="AG87" s="9">
        <f>AD87/('Total Values (Molar Ratio)'!C$48*1000)</f>
        <v>0.22938444505820388</v>
      </c>
    </row>
    <row r="88" spans="1:33" x14ac:dyDescent="0.35">
      <c r="K88" s="9" t="s">
        <v>229</v>
      </c>
      <c r="L88" s="9">
        <v>10.48</v>
      </c>
      <c r="M88" s="9">
        <v>0.05</v>
      </c>
      <c r="N88" s="14"/>
      <c r="O88" s="9">
        <v>113.2</v>
      </c>
      <c r="P88" s="15"/>
      <c r="Q88" s="11">
        <f>(O88-'Calibration lines '!$B$13)/'Calibration lines '!$B$14</f>
        <v>5.2699088773759346</v>
      </c>
      <c r="R88" s="15"/>
      <c r="S88" s="11">
        <f t="shared" si="158"/>
        <v>25.142695025648546</v>
      </c>
      <c r="T88" s="92"/>
      <c r="U88" s="92"/>
      <c r="V88" s="91"/>
      <c r="W88" s="91"/>
      <c r="X88" s="92"/>
      <c r="Y88" s="91"/>
      <c r="Z88" s="93"/>
      <c r="AA88" s="91"/>
      <c r="AD88" s="9">
        <f t="shared" si="181"/>
        <v>13.124235376438289</v>
      </c>
      <c r="AF88" s="9">
        <f>AC88/('Total Values (Molar Ratio)'!C$47*1000)</f>
        <v>0</v>
      </c>
      <c r="AG88" s="9">
        <f>AD88/('Total Values (Molar Ratio)'!C$48*1000)</f>
        <v>1.9732201415003994E-2</v>
      </c>
    </row>
    <row r="89" spans="1:33" x14ac:dyDescent="0.35">
      <c r="D89" s="9" t="s">
        <v>230</v>
      </c>
      <c r="E89" s="9">
        <v>352.47</v>
      </c>
      <c r="F89" s="9">
        <v>1030.58</v>
      </c>
      <c r="G89" s="9">
        <v>911.9</v>
      </c>
      <c r="H89" s="9">
        <f>G89-E89</f>
        <v>559.42999999999995</v>
      </c>
      <c r="I89" s="9">
        <f t="shared" si="159"/>
        <v>0.55942999999999998</v>
      </c>
      <c r="J89" s="12">
        <f>(F89-E89-H89)/H89</f>
        <v>0.21214450422751721</v>
      </c>
      <c r="K89" s="9" t="s">
        <v>231</v>
      </c>
      <c r="L89" s="9">
        <v>10.77</v>
      </c>
      <c r="M89" s="9">
        <v>0.05</v>
      </c>
      <c r="N89" s="14"/>
      <c r="O89" s="9">
        <v>67.3</v>
      </c>
      <c r="P89" s="15"/>
      <c r="Q89" s="11">
        <f>(O89-'Calibration lines '!$B$13)/'Calibration lines '!$B$14</f>
        <v>3.1455361575238627</v>
      </c>
      <c r="R89" s="15"/>
      <c r="S89" s="11">
        <f t="shared" si="158"/>
        <v>14.603231929080144</v>
      </c>
      <c r="T89" s="92"/>
      <c r="U89" s="92"/>
      <c r="V89" s="91">
        <f t="shared" ref="V89" si="197">AVERAGE(S89:S91)</f>
        <v>25.483930792532593</v>
      </c>
      <c r="W89" s="91">
        <f t="shared" ref="W89" si="198">_xlfn.STDEV.S(S89:S91)</f>
        <v>9.4358143129412522</v>
      </c>
      <c r="X89" s="92"/>
      <c r="Y89" s="91">
        <f t="shared" ref="Y89" si="199">V89*I89</f>
        <v>14.256475403266508</v>
      </c>
      <c r="Z89" s="93"/>
      <c r="AA89" s="91">
        <f t="shared" ref="AA89" si="200">Y89/1000</f>
        <v>1.4256475403266508E-2</v>
      </c>
      <c r="AD89" s="9">
        <f t="shared" si="180"/>
        <v>8.1694860380853047</v>
      </c>
      <c r="AF89" s="9">
        <f>AC89/('Total Values (Molar Ratio)'!C$47*1000)</f>
        <v>0</v>
      </c>
      <c r="AG89" s="9">
        <f>AD89/('Total Values (Molar Ratio)'!C$48*1000)</f>
        <v>1.2282768430834855E-2</v>
      </c>
    </row>
    <row r="90" spans="1:33" x14ac:dyDescent="0.35">
      <c r="K90" s="9" t="s">
        <v>232</v>
      </c>
      <c r="L90" s="9">
        <v>10.59</v>
      </c>
      <c r="M90" s="9">
        <v>0.05</v>
      </c>
      <c r="N90" s="14"/>
      <c r="O90" s="9">
        <v>138.6</v>
      </c>
      <c r="P90" s="15"/>
      <c r="Q90" s="11">
        <f>(O90-'Calibration lines '!$B$13)/'Calibration lines '!$B$14</f>
        <v>6.445487680954205</v>
      </c>
      <c r="R90" s="15"/>
      <c r="S90" s="11">
        <f t="shared" si="158"/>
        <v>30.43195316786688</v>
      </c>
      <c r="T90" s="92"/>
      <c r="U90" s="92"/>
      <c r="V90" s="91"/>
      <c r="W90" s="91"/>
      <c r="X90" s="92"/>
      <c r="Y90" s="91"/>
      <c r="Z90" s="93"/>
      <c r="AA90" s="91"/>
      <c r="AD90" s="9">
        <f t="shared" si="186"/>
        <v>17.024547560699769</v>
      </c>
      <c r="AF90" s="9">
        <f>AC90/('Total Values (Molar Ratio)'!C$47*1000)</f>
        <v>0</v>
      </c>
      <c r="AG90" s="9">
        <f>AD90/('Total Values (Molar Ratio)'!C$48*1000)</f>
        <v>2.5596295085512963E-2</v>
      </c>
    </row>
    <row r="91" spans="1:33" x14ac:dyDescent="0.35">
      <c r="K91" s="9" t="s">
        <v>233</v>
      </c>
      <c r="L91" s="9">
        <v>10.84</v>
      </c>
      <c r="M91" s="9">
        <v>0.05</v>
      </c>
      <c r="N91" s="14"/>
      <c r="O91" s="9">
        <v>146.5</v>
      </c>
      <c r="P91" s="15"/>
      <c r="Q91" s="11">
        <f>(O91-'Calibration lines '!$B$13)/'Calibration lines '!$B$14</f>
        <v>6.8111204584450844</v>
      </c>
      <c r="R91" s="15"/>
      <c r="S91" s="11">
        <f t="shared" si="158"/>
        <v>31.416607280650759</v>
      </c>
      <c r="T91" s="92"/>
      <c r="U91" s="92"/>
      <c r="V91" s="91"/>
      <c r="W91" s="91"/>
      <c r="X91" s="92"/>
      <c r="Y91" s="91"/>
      <c r="Z91" s="93"/>
      <c r="AA91" s="91"/>
      <c r="AD91" s="9">
        <f t="shared" si="181"/>
        <v>17.575392611014454</v>
      </c>
      <c r="AF91" s="9">
        <f>AC91/('Total Values (Molar Ratio)'!C$47*1000)</f>
        <v>0</v>
      </c>
      <c r="AG91" s="9">
        <f>AD91/('Total Values (Molar Ratio)'!C$48*1000)</f>
        <v>2.6424486989231864E-2</v>
      </c>
    </row>
    <row r="92" spans="1:33" x14ac:dyDescent="0.35">
      <c r="D92" s="9" t="s">
        <v>234</v>
      </c>
      <c r="E92" s="9">
        <v>308.20999999999998</v>
      </c>
      <c r="F92" s="9">
        <v>1162.18</v>
      </c>
      <c r="G92" s="9">
        <v>1004.58</v>
      </c>
      <c r="H92" s="9">
        <f>G92-E92</f>
        <v>696.37000000000012</v>
      </c>
      <c r="I92" s="9">
        <f t="shared" si="159"/>
        <v>0.69637000000000016</v>
      </c>
      <c r="J92" s="12">
        <f>(F92-E92-H92)/H92</f>
        <v>0.22631646969283553</v>
      </c>
      <c r="K92" s="9" t="s">
        <v>235</v>
      </c>
      <c r="L92" s="9">
        <v>10.82</v>
      </c>
      <c r="M92" s="9">
        <v>0.05</v>
      </c>
      <c r="N92" s="14"/>
      <c r="O92" s="9">
        <v>148.1</v>
      </c>
      <c r="P92" s="15"/>
      <c r="Q92" s="11">
        <f>(O92-'Calibration lines '!$B$13)/'Calibration lines '!$B$14</f>
        <v>6.885172666544503</v>
      </c>
      <c r="R92" s="15"/>
      <c r="S92" s="11">
        <f t="shared" si="158"/>
        <v>31.81687923541822</v>
      </c>
      <c r="T92" s="92"/>
      <c r="U92" s="92"/>
      <c r="V92" s="91">
        <f t="shared" ref="V92" si="201">AVERAGE(S92:S94)</f>
        <v>33.730223674957564</v>
      </c>
      <c r="W92" s="91">
        <f t="shared" ref="W92" si="202">_xlfn.STDEV.S(S92:S94)</f>
        <v>1.7607694075955875</v>
      </c>
      <c r="X92" s="92"/>
      <c r="Y92" s="91">
        <f t="shared" ref="Y92" si="203">V92*I92</f>
        <v>23.488715860530203</v>
      </c>
      <c r="Z92" s="93"/>
      <c r="AA92" s="91">
        <f t="shared" ref="AA92" si="204">Y92/1000</f>
        <v>2.3488715860530203E-2</v>
      </c>
      <c r="AD92" s="9">
        <f t="shared" si="180"/>
        <v>22.156320193168192</v>
      </c>
      <c r="AF92" s="9">
        <f>AC92/('Total Values (Molar Ratio)'!C$47*1000)</f>
        <v>0</v>
      </c>
      <c r="AG92" s="9">
        <f>AD92/('Total Values (Molar Ratio)'!C$48*1000)</f>
        <v>3.3311881426006718E-2</v>
      </c>
    </row>
    <row r="93" spans="1:33" x14ac:dyDescent="0.35">
      <c r="K93" s="9" t="s">
        <v>236</v>
      </c>
      <c r="L93" s="9">
        <v>10.39</v>
      </c>
      <c r="M93" s="9">
        <v>0.05</v>
      </c>
      <c r="N93" s="14"/>
      <c r="O93" s="9">
        <v>152.4</v>
      </c>
      <c r="P93" s="15"/>
      <c r="Q93" s="11">
        <f>(O93-'Calibration lines '!$B$13)/'Calibration lines '!$B$14</f>
        <v>7.084187975811691</v>
      </c>
      <c r="R93" s="15"/>
      <c r="S93" s="11">
        <f t="shared" si="158"/>
        <v>34.091376206985998</v>
      </c>
      <c r="T93" s="92"/>
      <c r="U93" s="92"/>
      <c r="V93" s="91"/>
      <c r="W93" s="91"/>
      <c r="X93" s="92"/>
      <c r="Y93" s="91"/>
      <c r="Z93" s="93"/>
      <c r="AA93" s="91"/>
      <c r="AD93" s="9">
        <f t="shared" si="186"/>
        <v>23.740211649258846</v>
      </c>
      <c r="AF93" s="9">
        <f>AC93/('Total Values (Molar Ratio)'!C$47*1000)</f>
        <v>0</v>
      </c>
      <c r="AG93" s="9">
        <f>AD93/('Total Values (Molar Ratio)'!C$48*1000)</f>
        <v>3.569325179423357E-2</v>
      </c>
    </row>
    <row r="94" spans="1:33" x14ac:dyDescent="0.35">
      <c r="K94" s="9" t="s">
        <v>237</v>
      </c>
      <c r="L94" s="9">
        <v>10.4</v>
      </c>
      <c r="M94" s="9">
        <v>0.05</v>
      </c>
      <c r="N94" s="14"/>
      <c r="O94" s="9">
        <v>157.9</v>
      </c>
      <c r="P94" s="15"/>
      <c r="Q94" s="11">
        <f>(O94-'Calibration lines '!$B$13)/'Calibration lines '!$B$14</f>
        <v>7.3387424411534425</v>
      </c>
      <c r="R94" s="15"/>
      <c r="S94" s="11">
        <f t="shared" si="158"/>
        <v>35.282415582468474</v>
      </c>
      <c r="T94" s="92"/>
      <c r="U94" s="92"/>
      <c r="V94" s="91"/>
      <c r="W94" s="91"/>
      <c r="X94" s="92"/>
      <c r="Y94" s="91"/>
      <c r="Z94" s="93"/>
      <c r="AA94" s="91"/>
      <c r="AD94" s="9">
        <f t="shared" si="181"/>
        <v>24.569615739163577</v>
      </c>
      <c r="AF94" s="9">
        <f>AC94/('Total Values (Molar Ratio)'!C$47*1000)</f>
        <v>0</v>
      </c>
      <c r="AG94" s="9">
        <f>AD94/('Total Values (Molar Ratio)'!C$48*1000)</f>
        <v>3.6940255378595507E-2</v>
      </c>
    </row>
    <row r="95" spans="1:33" x14ac:dyDescent="0.35">
      <c r="D95" s="9" t="s">
        <v>238</v>
      </c>
      <c r="E95" s="9">
        <v>355.84</v>
      </c>
      <c r="F95" s="9">
        <v>977.07</v>
      </c>
      <c r="G95" s="9">
        <v>826.18</v>
      </c>
      <c r="H95" s="9">
        <f>G95-E95</f>
        <v>470.34</v>
      </c>
      <c r="I95" s="9">
        <f t="shared" si="159"/>
        <v>0.47033999999999998</v>
      </c>
      <c r="J95" s="12">
        <f>(F95-E95-H95)/H95</f>
        <v>0.32081047752689557</v>
      </c>
      <c r="K95" s="9" t="s">
        <v>239</v>
      </c>
      <c r="L95" s="9">
        <v>10.39</v>
      </c>
      <c r="M95" s="9">
        <v>0.05</v>
      </c>
      <c r="N95" s="14"/>
      <c r="O95" s="9">
        <v>262.2</v>
      </c>
      <c r="P95" s="15"/>
      <c r="Q95" s="11">
        <f>(O95-'Calibration lines '!$B$13)/'Calibration lines '!$B$14</f>
        <v>12.166020756634293</v>
      </c>
      <c r="R95" s="15"/>
      <c r="S95" s="11">
        <f t="shared" si="158"/>
        <v>58.546779387075517</v>
      </c>
      <c r="T95" s="92"/>
      <c r="U95" s="92"/>
      <c r="V95" s="91">
        <f t="shared" ref="V95" si="205">AVERAGE(S95:S97)</f>
        <v>66.72105833938123</v>
      </c>
      <c r="W95" s="91">
        <f t="shared" ref="W95" si="206">_xlfn.STDEV.S(S95:S97)</f>
        <v>15.924298267846641</v>
      </c>
      <c r="X95" s="92"/>
      <c r="Y95" s="91">
        <f t="shared" ref="Y95" si="207">V95*I95</f>
        <v>31.381582579344567</v>
      </c>
      <c r="Z95" s="93"/>
      <c r="AA95" s="91">
        <f t="shared" ref="AA95" si="208">Y95/1000</f>
        <v>3.1381582579344564E-2</v>
      </c>
      <c r="AD95" s="9">
        <f t="shared" si="180"/>
        <v>27.536892216917099</v>
      </c>
      <c r="AF95" s="9">
        <f>AC95/('Total Values (Molar Ratio)'!C$47*1000)</f>
        <v>0</v>
      </c>
      <c r="AG95" s="9">
        <f>AD95/('Total Values (Molar Ratio)'!C$48*1000)</f>
        <v>4.1401536011991605E-2</v>
      </c>
    </row>
    <row r="96" spans="1:33" x14ac:dyDescent="0.35">
      <c r="K96" s="9" t="s">
        <v>240</v>
      </c>
      <c r="L96" s="9">
        <v>10.050000000000001</v>
      </c>
      <c r="M96" s="9">
        <v>0.05</v>
      </c>
      <c r="N96" s="14"/>
      <c r="O96" s="9">
        <v>244.9</v>
      </c>
      <c r="P96" s="15"/>
      <c r="Q96" s="11">
        <f>(O96-'Calibration lines '!$B$13)/'Calibration lines '!$B$14</f>
        <v>11.36533125655933</v>
      </c>
      <c r="R96" s="15"/>
      <c r="S96" s="11">
        <f t="shared" si="158"/>
        <v>56.543936599797661</v>
      </c>
      <c r="T96" s="92"/>
      <c r="U96" s="92"/>
      <c r="V96" s="91"/>
      <c r="W96" s="91"/>
      <c r="X96" s="92"/>
      <c r="Y96" s="91"/>
      <c r="Z96" s="93"/>
      <c r="AA96" s="91"/>
      <c r="AD96" s="9">
        <f t="shared" si="186"/>
        <v>26.594875140348829</v>
      </c>
      <c r="AF96" s="9">
        <f>AC96/('Total Values (Molar Ratio)'!C$47*1000)</f>
        <v>0</v>
      </c>
      <c r="AG96" s="9">
        <f>AD96/('Total Values (Molar Ratio)'!C$48*1000)</f>
        <v>3.9985219544169857E-2</v>
      </c>
    </row>
    <row r="97" spans="1:33" x14ac:dyDescent="0.35">
      <c r="K97" s="9" t="s">
        <v>241</v>
      </c>
      <c r="L97" s="9">
        <v>10.79</v>
      </c>
      <c r="M97" s="9">
        <v>0.05</v>
      </c>
      <c r="N97" s="14"/>
      <c r="O97" s="9">
        <v>396</v>
      </c>
      <c r="P97" s="15"/>
      <c r="Q97" s="11">
        <f>(O97-'Calibration lines '!$B$13)/'Calibration lines '!$B$14</f>
        <v>18.358636658948175</v>
      </c>
      <c r="R97" s="15"/>
      <c r="S97" s="11">
        <f t="shared" si="158"/>
        <v>85.072459031270512</v>
      </c>
      <c r="T97" s="92"/>
      <c r="U97" s="92"/>
      <c r="V97" s="91"/>
      <c r="W97" s="91"/>
      <c r="X97" s="92"/>
      <c r="Y97" s="91"/>
      <c r="Z97" s="93"/>
      <c r="AA97" s="91"/>
      <c r="AD97" s="9">
        <f t="shared" si="181"/>
        <v>40.012980380767772</v>
      </c>
      <c r="AF97" s="9">
        <f>AC97/('Total Values (Molar Ratio)'!C$47*1000)</f>
        <v>0</v>
      </c>
      <c r="AG97" s="9">
        <f>AD97/('Total Values (Molar Ratio)'!C$48*1000)</f>
        <v>6.0159252363407606E-2</v>
      </c>
    </row>
    <row r="98" spans="1:33" x14ac:dyDescent="0.35">
      <c r="A98" s="9" t="s">
        <v>242</v>
      </c>
      <c r="B98" s="9">
        <v>2538</v>
      </c>
      <c r="C98" s="9">
        <v>1.0188999999999999</v>
      </c>
      <c r="D98" s="9" t="s">
        <v>243</v>
      </c>
      <c r="E98" s="9">
        <v>315.7</v>
      </c>
      <c r="F98" s="9">
        <v>1015.25</v>
      </c>
      <c r="G98" s="9">
        <v>868.86</v>
      </c>
      <c r="H98" s="9">
        <f>G98-E98</f>
        <v>553.16000000000008</v>
      </c>
      <c r="I98" s="9">
        <f t="shared" si="159"/>
        <v>0.5531600000000001</v>
      </c>
      <c r="J98" s="12">
        <f>(F98-E98-H98)/H98</f>
        <v>0.26464314122496174</v>
      </c>
      <c r="K98" s="9" t="s">
        <v>244</v>
      </c>
      <c r="L98" s="9">
        <v>10.49</v>
      </c>
      <c r="M98" s="9">
        <v>0.05</v>
      </c>
      <c r="N98" s="14"/>
      <c r="O98" s="9">
        <v>1075.2</v>
      </c>
      <c r="P98" s="15"/>
      <c r="Q98" s="11">
        <f>(O98-'Calibration lines '!$B$13)/'Calibration lines '!$B$14</f>
        <v>49.793798997151377</v>
      </c>
      <c r="R98" s="15"/>
      <c r="S98" s="11">
        <f t="shared" si="158"/>
        <v>237.33936604933925</v>
      </c>
      <c r="T98" s="92"/>
      <c r="U98" s="92"/>
      <c r="V98" s="91">
        <f t="shared" ref="V98" si="209">AVERAGE(S98:S100)</f>
        <v>436.75702724631316</v>
      </c>
      <c r="W98" s="91">
        <f t="shared" ref="W98" si="210">_xlfn.STDEV.S(S98:S100)</f>
        <v>206.59208807049606</v>
      </c>
      <c r="X98" s="92"/>
      <c r="Y98" s="91">
        <f t="shared" ref="Y98" si="211">V98*I98</f>
        <v>241.59651719157063</v>
      </c>
      <c r="Z98" s="93"/>
      <c r="AA98" s="91">
        <f t="shared" ref="AA98" si="212">Y98/1000</f>
        <v>0.24159651719157063</v>
      </c>
      <c r="AD98" s="9">
        <f t="shared" si="180"/>
        <v>131.28664372385254</v>
      </c>
      <c r="AF98" s="9">
        <f>AC98/('Total Values (Molar Ratio)'!C$47*1000)</f>
        <v>0</v>
      </c>
      <c r="AG98" s="9">
        <f>AD98/('Total Values (Molar Ratio)'!C$48*1000)</f>
        <v>0.19738860381228313</v>
      </c>
    </row>
    <row r="99" spans="1:33" x14ac:dyDescent="0.35">
      <c r="K99" s="9" t="s">
        <v>245</v>
      </c>
      <c r="L99" s="9">
        <v>10.130000000000001</v>
      </c>
      <c r="M99" s="9">
        <v>0.05</v>
      </c>
      <c r="N99" s="14"/>
      <c r="O99" s="9">
        <v>2844</v>
      </c>
      <c r="P99" s="15"/>
      <c r="Q99" s="11">
        <f>(O99-'Calibration lines '!$B$13)/'Calibration lines '!$B$14</f>
        <v>131.65851505105866</v>
      </c>
      <c r="R99" s="15"/>
      <c r="S99" s="11">
        <f t="shared" si="158"/>
        <v>649.84459551361624</v>
      </c>
      <c r="T99" s="92"/>
      <c r="U99" s="92"/>
      <c r="V99" s="91"/>
      <c r="W99" s="91"/>
      <c r="X99" s="92"/>
      <c r="Y99" s="91"/>
      <c r="Z99" s="93"/>
      <c r="AA99" s="91"/>
      <c r="AD99" s="9">
        <f t="shared" si="186"/>
        <v>359.46803645431203</v>
      </c>
      <c r="AF99" s="9">
        <f>AC99/('Total Values (Molar Ratio)'!C$47*1000)</f>
        <v>0</v>
      </c>
      <c r="AG99" s="9">
        <f>AD99/('Total Values (Molar Ratio)'!C$48*1000)</f>
        <v>0.5404578243321202</v>
      </c>
    </row>
    <row r="100" spans="1:33" x14ac:dyDescent="0.35">
      <c r="K100" s="9" t="s">
        <v>246</v>
      </c>
      <c r="L100" s="9">
        <v>10.42</v>
      </c>
      <c r="M100" s="9">
        <v>0.05</v>
      </c>
      <c r="N100" s="14"/>
      <c r="O100" s="9">
        <v>1904.4</v>
      </c>
      <c r="P100" s="15"/>
      <c r="Q100" s="11">
        <f>(O100-'Calibration lines '!$B$13)/'Calibration lines '!$B$14</f>
        <v>88.171355844675077</v>
      </c>
      <c r="R100" s="15"/>
      <c r="S100" s="11">
        <f t="shared" si="158"/>
        <v>423.08712017598407</v>
      </c>
      <c r="T100" s="92"/>
      <c r="U100" s="92"/>
      <c r="V100" s="91"/>
      <c r="W100" s="91"/>
      <c r="X100" s="92"/>
      <c r="Y100" s="91"/>
      <c r="Z100" s="93"/>
      <c r="AA100" s="91"/>
      <c r="AD100" s="9">
        <f t="shared" si="181"/>
        <v>234.0348713965474</v>
      </c>
      <c r="AF100" s="9">
        <f>AC100/('Total Values (Molar Ratio)'!C$47*1000)</f>
        <v>0</v>
      </c>
      <c r="AG100" s="9">
        <f>AD100/('Total Values (Molar Ratio)'!C$48*1000)</f>
        <v>0.35186988712667305</v>
      </c>
    </row>
    <row r="101" spans="1:33" x14ac:dyDescent="0.35">
      <c r="D101" s="9" t="s">
        <v>247</v>
      </c>
      <c r="E101" s="9">
        <v>351.72</v>
      </c>
      <c r="F101" s="9">
        <v>1088.2</v>
      </c>
      <c r="G101" s="9">
        <v>951.08</v>
      </c>
      <c r="H101" s="9">
        <f>G101-E101</f>
        <v>599.36</v>
      </c>
      <c r="I101" s="9">
        <f t="shared" si="159"/>
        <v>0.59936</v>
      </c>
      <c r="J101" s="12">
        <f>(F101-E101-H101)/H101</f>
        <v>0.22877736252002137</v>
      </c>
      <c r="K101" s="9" t="s">
        <v>248</v>
      </c>
      <c r="L101" s="9">
        <v>10.69</v>
      </c>
      <c r="M101" s="9">
        <v>0.05</v>
      </c>
      <c r="N101" s="14"/>
      <c r="O101" s="9">
        <v>39.4</v>
      </c>
      <c r="P101" s="15"/>
      <c r="Q101" s="11">
        <f>(O101-'Calibration lines '!$B$13)/'Calibration lines '!$B$14</f>
        <v>1.8542507787902505</v>
      </c>
      <c r="R101" s="15"/>
      <c r="S101" s="11">
        <f t="shared" si="158"/>
        <v>8.6728287127701158</v>
      </c>
      <c r="T101" s="92"/>
      <c r="U101" s="92"/>
      <c r="V101" s="91">
        <f t="shared" ref="V101" si="213">AVERAGE(S101:S103)</f>
        <v>11.781585743121752</v>
      </c>
      <c r="W101" s="91">
        <f t="shared" ref="W101" si="214">_xlfn.STDEV.S(S101:S103)</f>
        <v>2.696332506903595</v>
      </c>
      <c r="X101" s="92"/>
      <c r="Y101" s="91">
        <f t="shared" ref="Y101" si="215">V101*I101</f>
        <v>7.0614112309974537</v>
      </c>
      <c r="Z101" s="93"/>
      <c r="AA101" s="91">
        <f t="shared" ref="AA101" si="216">Y101/1000</f>
        <v>7.0614112309974539E-3</v>
      </c>
      <c r="AD101" s="9">
        <f t="shared" si="180"/>
        <v>5.1981466172858966</v>
      </c>
      <c r="AF101" s="9">
        <f>AC101/('Total Values (Molar Ratio)'!C$47*1000)</f>
        <v>0</v>
      </c>
      <c r="AG101" s="9">
        <f>AD101/('Total Values (Molar Ratio)'!C$48*1000)</f>
        <v>7.8153791893393419E-3</v>
      </c>
    </row>
    <row r="102" spans="1:33" x14ac:dyDescent="0.35">
      <c r="K102" s="9" t="s">
        <v>249</v>
      </c>
      <c r="L102" s="9">
        <v>10.72</v>
      </c>
      <c r="M102" s="9">
        <v>0.05</v>
      </c>
      <c r="N102" s="14"/>
      <c r="O102" s="9">
        <v>61.8</v>
      </c>
      <c r="P102" s="15"/>
      <c r="Q102" s="11">
        <f>(O102-'Calibration lines '!$B$13)/'Calibration lines '!$B$14</f>
        <v>2.8909816921821112</v>
      </c>
      <c r="R102" s="15"/>
      <c r="S102" s="11">
        <f t="shared" si="158"/>
        <v>13.48405640010313</v>
      </c>
      <c r="T102" s="92"/>
      <c r="U102" s="92"/>
      <c r="V102" s="91"/>
      <c r="W102" s="91"/>
      <c r="X102" s="92"/>
      <c r="Y102" s="91"/>
      <c r="Z102" s="93"/>
      <c r="AA102" s="91"/>
      <c r="AD102" s="9">
        <f t="shared" si="186"/>
        <v>8.0818040439658123</v>
      </c>
      <c r="AF102" s="9">
        <f>AC102/('Total Values (Molar Ratio)'!C$47*1000)</f>
        <v>0</v>
      </c>
      <c r="AG102" s="9">
        <f>AD102/('Total Values (Molar Ratio)'!C$48*1000)</f>
        <v>1.2150939130398721E-2</v>
      </c>
    </row>
    <row r="103" spans="1:33" x14ac:dyDescent="0.35">
      <c r="K103" s="9" t="s">
        <v>250</v>
      </c>
      <c r="L103" s="9">
        <v>10.68</v>
      </c>
      <c r="M103" s="9">
        <v>0.05</v>
      </c>
      <c r="N103" s="14"/>
      <c r="O103" s="9">
        <v>60.2</v>
      </c>
      <c r="P103" s="15"/>
      <c r="Q103" s="11">
        <f>(O103-'Calibration lines '!$B$13)/'Calibration lines '!$B$14</f>
        <v>2.8169294840826926</v>
      </c>
      <c r="R103" s="15"/>
      <c r="S103" s="11">
        <f t="shared" si="158"/>
        <v>13.187872116492008</v>
      </c>
      <c r="T103" s="92"/>
      <c r="U103" s="92"/>
      <c r="V103" s="91"/>
      <c r="W103" s="91"/>
      <c r="X103" s="92"/>
      <c r="Y103" s="91"/>
      <c r="Z103" s="93"/>
      <c r="AA103" s="91"/>
      <c r="AD103" s="9">
        <f t="shared" si="181"/>
        <v>7.9042830317406496</v>
      </c>
      <c r="AF103" s="9">
        <f>AC103/('Total Values (Molar Ratio)'!C$47*1000)</f>
        <v>0</v>
      </c>
      <c r="AG103" s="9">
        <f>AD103/('Total Values (Molar Ratio)'!C$48*1000)</f>
        <v>1.1884037458175518E-2</v>
      </c>
    </row>
    <row r="104" spans="1:33" x14ac:dyDescent="0.35">
      <c r="D104" s="9" t="s">
        <v>251</v>
      </c>
      <c r="E104" s="9">
        <v>343.71</v>
      </c>
      <c r="F104" s="9">
        <v>1064.23</v>
      </c>
      <c r="G104" s="9">
        <v>930.99</v>
      </c>
      <c r="H104" s="9">
        <f>G104-E104</f>
        <v>587.28</v>
      </c>
      <c r="I104" s="9">
        <f t="shared" si="159"/>
        <v>0.58728000000000002</v>
      </c>
      <c r="J104" s="12">
        <f>(F104-E104-H104)/H104</f>
        <v>0.22687644735049722</v>
      </c>
      <c r="K104" s="9" t="s">
        <v>252</v>
      </c>
      <c r="L104" s="9">
        <v>10.83</v>
      </c>
      <c r="M104" s="9">
        <v>0.05</v>
      </c>
      <c r="N104" s="14"/>
      <c r="O104" s="9">
        <v>4.0999999999999996</v>
      </c>
      <c r="P104" s="15"/>
      <c r="Q104" s="11">
        <f>(O104-'Calibration lines '!$B$13)/'Calibration lines '!$B$14</f>
        <v>0.22047393759682735</v>
      </c>
      <c r="R104" s="15"/>
      <c r="S104" s="11">
        <f t="shared" si="158"/>
        <v>1.0178852151284734</v>
      </c>
      <c r="T104" s="92"/>
      <c r="U104" s="92"/>
      <c r="V104" s="91">
        <f t="shared" ref="V104" si="217">AVERAGE(S104:S106)</f>
        <v>0.68990813687998165</v>
      </c>
      <c r="W104" s="91">
        <f t="shared" ref="W104" si="218">_xlfn.STDEV.S(S104:S106)</f>
        <v>0.28486767597791535</v>
      </c>
      <c r="X104" s="92"/>
      <c r="Y104" s="91">
        <f t="shared" ref="Y104" si="219">V104*I104</f>
        <v>0.40516925062687564</v>
      </c>
      <c r="Z104" s="93"/>
      <c r="AA104" s="91">
        <f t="shared" ref="AA104" si="220">Y104/1000</f>
        <v>4.0516925062687563E-4</v>
      </c>
      <c r="AD104" s="9">
        <f t="shared" si="180"/>
        <v>0.59778362914064986</v>
      </c>
      <c r="AF104" s="9">
        <f>AC104/('Total Values (Molar Ratio)'!C$47*1000)</f>
        <v>0</v>
      </c>
      <c r="AG104" s="9">
        <f>AD104/('Total Values (Molar Ratio)'!C$48*1000)</f>
        <v>8.9876374771301077E-4</v>
      </c>
    </row>
    <row r="105" spans="1:33" x14ac:dyDescent="0.35">
      <c r="K105" s="9" t="s">
        <v>253</v>
      </c>
      <c r="L105" s="9">
        <v>10.41</v>
      </c>
      <c r="M105" s="9">
        <v>0.05</v>
      </c>
      <c r="N105" s="14"/>
      <c r="O105" s="9">
        <v>1.8</v>
      </c>
      <c r="P105" s="15"/>
      <c r="Q105" s="11">
        <f>(O105-'Calibration lines '!$B$13)/'Calibration lines '!$B$14</f>
        <v>0.11402388845391309</v>
      </c>
      <c r="R105" s="15"/>
      <c r="S105" s="11">
        <f t="shared" si="158"/>
        <v>0.54766517028776707</v>
      </c>
      <c r="T105" s="92"/>
      <c r="U105" s="92"/>
      <c r="V105" s="91"/>
      <c r="W105" s="91"/>
      <c r="X105" s="92"/>
      <c r="Y105" s="91"/>
      <c r="Z105" s="93"/>
      <c r="AA105" s="91"/>
      <c r="AD105" s="9">
        <f t="shared" si="186"/>
        <v>0.32163280120659987</v>
      </c>
      <c r="AF105" s="9">
        <f>AC105/('Total Values (Molar Ratio)'!C$47*1000)</f>
        <v>0</v>
      </c>
      <c r="AG105" s="9">
        <f>AD105/('Total Values (Molar Ratio)'!C$48*1000)</f>
        <v>4.8357279742745017E-4</v>
      </c>
    </row>
    <row r="106" spans="1:33" x14ac:dyDescent="0.35">
      <c r="K106" s="9" t="s">
        <v>254</v>
      </c>
      <c r="L106" s="9">
        <v>10.39</v>
      </c>
      <c r="M106" s="9">
        <v>0.05</v>
      </c>
      <c r="N106" s="14"/>
      <c r="O106" s="9">
        <v>1.6</v>
      </c>
      <c r="P106" s="15"/>
      <c r="Q106" s="11">
        <f>(O106-'Calibration lines '!$B$13)/'Calibration lines '!$B$14</f>
        <v>0.10476736244148578</v>
      </c>
      <c r="R106" s="15"/>
      <c r="S106" s="11">
        <f t="shared" si="158"/>
        <v>0.50417402522370447</v>
      </c>
      <c r="T106" s="92"/>
      <c r="U106" s="92"/>
      <c r="V106" s="91"/>
      <c r="W106" s="91"/>
      <c r="X106" s="92"/>
      <c r="Y106" s="91"/>
      <c r="Z106" s="93"/>
      <c r="AA106" s="91"/>
      <c r="AD106" s="9">
        <f t="shared" si="181"/>
        <v>0.29609132153337719</v>
      </c>
      <c r="AF106" s="9">
        <f>AC106/('Total Values (Molar Ratio)'!C$47*1000)</f>
        <v>0</v>
      </c>
      <c r="AG106" s="9">
        <f>AD106/('Total Values (Molar Ratio)'!C$48*1000)</f>
        <v>4.4517135102745158E-4</v>
      </c>
    </row>
    <row r="107" spans="1:33" x14ac:dyDescent="0.35">
      <c r="D107" s="9" t="s">
        <v>255</v>
      </c>
      <c r="E107" s="9">
        <v>329.18</v>
      </c>
      <c r="F107" s="9">
        <v>1107.6099999999999</v>
      </c>
      <c r="G107" s="9">
        <v>996.12</v>
      </c>
      <c r="H107" s="9">
        <f>G107-E107</f>
        <v>666.94</v>
      </c>
      <c r="I107" s="9">
        <f t="shared" si="159"/>
        <v>0.66694000000000009</v>
      </c>
      <c r="J107" s="12">
        <f>(F107-E107-H107)/H107</f>
        <v>0.16716646175068187</v>
      </c>
      <c r="K107" s="9" t="s">
        <v>256</v>
      </c>
      <c r="L107" s="9">
        <v>10.69</v>
      </c>
      <c r="M107" s="9">
        <v>0.05</v>
      </c>
      <c r="N107" s="14"/>
      <c r="O107" s="9">
        <v>0</v>
      </c>
      <c r="P107" s="15"/>
      <c r="Q107" s="11">
        <f>(O107-'Calibration lines '!$B$13)/'Calibration lines '!$B$14</f>
        <v>3.0715154342067157E-2</v>
      </c>
      <c r="R107" s="15"/>
      <c r="S107" s="11">
        <f t="shared" si="158"/>
        <v>0.14366302311537493</v>
      </c>
      <c r="T107" s="92"/>
      <c r="U107" s="92"/>
      <c r="V107" s="91">
        <f t="shared" ref="V107" si="221">AVERAGE(S107:S109)</f>
        <v>0.14754172849749289</v>
      </c>
      <c r="W107" s="91">
        <f t="shared" ref="W107" si="222">_xlfn.STDEV.S(S107:S109)</f>
        <v>3.6900754644311889E-3</v>
      </c>
      <c r="X107" s="92"/>
      <c r="Y107" s="91">
        <f t="shared" ref="Y107" si="223">V107*I107</f>
        <v>9.8401480404117919E-2</v>
      </c>
      <c r="Z107" s="93"/>
      <c r="AA107" s="91">
        <f t="shared" ref="AA107" si="224">Y107/1000</f>
        <v>9.8401480404117916E-5</v>
      </c>
      <c r="AD107" s="9">
        <f t="shared" si="180"/>
        <v>9.5814616636568165E-2</v>
      </c>
      <c r="AF107" s="9">
        <f>AC107/('Total Values (Molar Ratio)'!C$47*1000)</f>
        <v>0</v>
      </c>
      <c r="AG107" s="9">
        <f>AD107/('Total Values (Molar Ratio)'!C$48*1000)</f>
        <v>1.4405664480601868E-4</v>
      </c>
    </row>
    <row r="108" spans="1:33" x14ac:dyDescent="0.35">
      <c r="K108" s="9" t="s">
        <v>257</v>
      </c>
      <c r="L108" s="9">
        <v>10.17</v>
      </c>
      <c r="M108" s="9">
        <v>0.05</v>
      </c>
      <c r="N108" s="14"/>
      <c r="O108" s="9">
        <v>0</v>
      </c>
      <c r="P108" s="15"/>
      <c r="Q108" s="11">
        <f>(O108-'Calibration lines '!$B$13)/'Calibration lines '!$B$14</f>
        <v>3.0715154342067157E-2</v>
      </c>
      <c r="R108" s="15"/>
      <c r="S108" s="11">
        <f t="shared" si="158"/>
        <v>0.15100862508390936</v>
      </c>
      <c r="T108" s="92"/>
      <c r="U108" s="92"/>
      <c r="V108" s="91"/>
      <c r="W108" s="91"/>
      <c r="X108" s="92"/>
      <c r="Y108" s="91"/>
      <c r="Z108" s="93"/>
      <c r="AA108" s="91"/>
      <c r="AD108" s="9">
        <f t="shared" si="186"/>
        <v>0.10071369241346252</v>
      </c>
      <c r="AF108" s="9">
        <f>AC108/('Total Values (Molar Ratio)'!C$47*1000)</f>
        <v>0</v>
      </c>
      <c r="AG108" s="9">
        <f>AD108/('Total Values (Molar Ratio)'!C$48*1000)</f>
        <v>1.5142237295735889E-4</v>
      </c>
    </row>
    <row r="109" spans="1:33" x14ac:dyDescent="0.35">
      <c r="K109" s="9" t="s">
        <v>258</v>
      </c>
      <c r="L109" s="9">
        <v>10.38</v>
      </c>
      <c r="M109" s="9">
        <v>0.05</v>
      </c>
      <c r="N109" s="14"/>
      <c r="O109" s="9">
        <v>0</v>
      </c>
      <c r="P109" s="15"/>
      <c r="Q109" s="11">
        <f>(O109-'Calibration lines '!$B$13)/'Calibration lines '!$B$14</f>
        <v>3.0715154342067157E-2</v>
      </c>
      <c r="R109" s="15"/>
      <c r="S109" s="11">
        <f t="shared" si="158"/>
        <v>0.14795353729319441</v>
      </c>
      <c r="T109" s="92"/>
      <c r="U109" s="92"/>
      <c r="V109" s="91"/>
      <c r="W109" s="91"/>
      <c r="X109" s="92"/>
      <c r="Y109" s="91"/>
      <c r="Z109" s="93"/>
      <c r="AA109" s="91"/>
      <c r="AD109" s="9">
        <f t="shared" si="181"/>
        <v>9.8676132162323099E-2</v>
      </c>
      <c r="AF109" s="9">
        <f>AC109/('Total Values (Molar Ratio)'!C$47*1000)</f>
        <v>0</v>
      </c>
      <c r="AG109" s="9">
        <f>AD109/('Total Values (Molar Ratio)'!C$48*1000)</f>
        <v>1.4835891454492676E-4</v>
      </c>
    </row>
    <row r="110" spans="1:33" x14ac:dyDescent="0.35">
      <c r="A110" s="9" t="s">
        <v>259</v>
      </c>
      <c r="C110" s="9">
        <v>0</v>
      </c>
      <c r="D110" s="9" t="s">
        <v>260</v>
      </c>
      <c r="E110" s="9">
        <v>342.53</v>
      </c>
      <c r="F110" s="9">
        <v>1011.37</v>
      </c>
      <c r="G110" s="9">
        <v>891.11</v>
      </c>
      <c r="H110" s="9">
        <f>G110-E110</f>
        <v>548.58000000000004</v>
      </c>
      <c r="I110" s="9">
        <f t="shared" si="159"/>
        <v>0.54858000000000007</v>
      </c>
      <c r="J110" s="12">
        <f>(F110-E110-H110)/H110</f>
        <v>0.21922053301250499</v>
      </c>
      <c r="K110" s="9" t="s">
        <v>261</v>
      </c>
      <c r="L110" s="9">
        <v>10.06</v>
      </c>
      <c r="M110" s="9">
        <v>0.05</v>
      </c>
      <c r="N110" s="14"/>
      <c r="O110" s="14"/>
      <c r="P110" s="15"/>
      <c r="Q110" s="15"/>
      <c r="R110" s="15"/>
      <c r="S110" s="16"/>
      <c r="T110" s="92"/>
      <c r="U110" s="90"/>
      <c r="V110" s="93"/>
      <c r="W110" s="90"/>
      <c r="X110" s="92"/>
      <c r="Y110" s="92"/>
      <c r="Z110" s="93"/>
      <c r="AA110" s="92"/>
    </row>
    <row r="111" spans="1:33" x14ac:dyDescent="0.35">
      <c r="K111" s="9" t="s">
        <v>262</v>
      </c>
      <c r="L111" s="9">
        <v>10.44</v>
      </c>
      <c r="M111" s="9">
        <v>0.05</v>
      </c>
      <c r="N111" s="14"/>
      <c r="O111" s="14"/>
      <c r="P111" s="15"/>
      <c r="Q111" s="15"/>
      <c r="R111" s="15"/>
      <c r="S111" s="16"/>
      <c r="T111" s="90"/>
      <c r="U111" s="90"/>
      <c r="V111" s="90"/>
      <c r="W111" s="90"/>
      <c r="X111" s="92"/>
      <c r="Y111" s="92"/>
      <c r="Z111" s="93"/>
      <c r="AA111" s="92"/>
    </row>
    <row r="112" spans="1:33" x14ac:dyDescent="0.35">
      <c r="K112" s="9" t="s">
        <v>263</v>
      </c>
      <c r="L112" s="9">
        <v>10.029999999999999</v>
      </c>
      <c r="M112" s="9">
        <v>0.05</v>
      </c>
      <c r="N112" s="14"/>
      <c r="O112" s="14"/>
      <c r="P112" s="15"/>
      <c r="Q112" s="15"/>
      <c r="R112" s="15"/>
      <c r="S112" s="16"/>
      <c r="T112" s="90"/>
      <c r="U112" s="90"/>
      <c r="V112" s="90"/>
      <c r="W112" s="90"/>
      <c r="X112" s="92"/>
      <c r="Y112" s="92"/>
      <c r="Z112" s="93"/>
      <c r="AA112" s="92"/>
    </row>
    <row r="113" spans="4:27" x14ac:dyDescent="0.35">
      <c r="D113" s="9" t="s">
        <v>264</v>
      </c>
      <c r="E113" s="9">
        <v>349.03</v>
      </c>
      <c r="F113" s="9">
        <v>1200.76</v>
      </c>
      <c r="G113" s="9">
        <v>1054.99</v>
      </c>
      <c r="H113" s="9">
        <f>G113-E113</f>
        <v>705.96</v>
      </c>
      <c r="I113" s="9">
        <f t="shared" si="159"/>
        <v>0.70596000000000003</v>
      </c>
      <c r="J113" s="12">
        <f>(F113-E113-H113)/H113</f>
        <v>0.20648478667346587</v>
      </c>
      <c r="K113" s="9" t="s">
        <v>265</v>
      </c>
      <c r="L113" s="9">
        <v>10.61</v>
      </c>
      <c r="M113" s="9">
        <v>0.05</v>
      </c>
      <c r="N113" s="14"/>
      <c r="O113" s="14"/>
      <c r="P113" s="15"/>
      <c r="Q113" s="15"/>
      <c r="R113" s="15"/>
      <c r="S113" s="16"/>
      <c r="T113" s="92"/>
      <c r="U113" s="90"/>
      <c r="V113" s="93"/>
      <c r="W113" s="90"/>
      <c r="X113" s="92"/>
      <c r="Y113" s="92"/>
      <c r="Z113" s="93"/>
      <c r="AA113" s="92"/>
    </row>
    <row r="114" spans="4:27" x14ac:dyDescent="0.35">
      <c r="K114" s="9" t="s">
        <v>266</v>
      </c>
      <c r="L114" s="9">
        <v>10.94</v>
      </c>
      <c r="M114" s="9">
        <v>0.05</v>
      </c>
      <c r="N114" s="14"/>
      <c r="O114" s="14"/>
      <c r="P114" s="15"/>
      <c r="Q114" s="15"/>
      <c r="R114" s="15"/>
      <c r="S114" s="16"/>
      <c r="T114" s="90"/>
      <c r="U114" s="90"/>
      <c r="V114" s="90"/>
      <c r="W114" s="90"/>
      <c r="X114" s="92"/>
      <c r="Y114" s="92"/>
      <c r="Z114" s="93"/>
      <c r="AA114" s="92"/>
    </row>
    <row r="115" spans="4:27" x14ac:dyDescent="0.35">
      <c r="K115" s="9" t="s">
        <v>267</v>
      </c>
      <c r="L115" s="9">
        <v>10.95</v>
      </c>
      <c r="M115" s="9">
        <v>0.05</v>
      </c>
      <c r="N115" s="14"/>
      <c r="O115" s="14"/>
      <c r="P115" s="15"/>
      <c r="Q115" s="15"/>
      <c r="R115" s="15"/>
      <c r="S115" s="16"/>
      <c r="T115" s="90"/>
      <c r="U115" s="90"/>
      <c r="V115" s="90"/>
      <c r="W115" s="90"/>
      <c r="X115" s="92"/>
      <c r="Y115" s="92"/>
      <c r="Z115" s="93"/>
      <c r="AA115" s="92"/>
    </row>
    <row r="116" spans="4:27" x14ac:dyDescent="0.35">
      <c r="D116" s="9" t="s">
        <v>268</v>
      </c>
      <c r="E116" s="9">
        <v>342.85</v>
      </c>
      <c r="F116" s="9">
        <v>1146.3</v>
      </c>
      <c r="G116" s="9">
        <v>1013.52</v>
      </c>
      <c r="H116" s="9">
        <f>G116-E116</f>
        <v>670.67</v>
      </c>
      <c r="I116" s="9">
        <f t="shared" si="159"/>
        <v>0.67066999999999999</v>
      </c>
      <c r="J116" s="12">
        <f>(F116-E116-H116)/H116</f>
        <v>0.19798112335425766</v>
      </c>
      <c r="K116" s="9" t="s">
        <v>269</v>
      </c>
      <c r="L116" s="9">
        <v>10.42</v>
      </c>
      <c r="M116" s="9">
        <v>0.05</v>
      </c>
      <c r="N116" s="14"/>
      <c r="O116" s="14"/>
      <c r="P116" s="15"/>
      <c r="Q116" s="15"/>
      <c r="R116" s="15"/>
      <c r="S116" s="16"/>
      <c r="T116" s="92"/>
      <c r="U116" s="90"/>
      <c r="V116" s="93"/>
      <c r="W116" s="90"/>
      <c r="X116" s="92"/>
      <c r="Y116" s="92"/>
      <c r="Z116" s="93"/>
      <c r="AA116" s="92"/>
    </row>
    <row r="117" spans="4:27" x14ac:dyDescent="0.35">
      <c r="K117" s="9" t="s">
        <v>270</v>
      </c>
      <c r="L117" s="9">
        <v>10.46</v>
      </c>
      <c r="M117" s="9">
        <v>0.05</v>
      </c>
      <c r="N117" s="14"/>
      <c r="O117" s="14"/>
      <c r="P117" s="15"/>
      <c r="Q117" s="15"/>
      <c r="R117" s="15"/>
      <c r="S117" s="16"/>
      <c r="T117" s="90"/>
      <c r="U117" s="90"/>
      <c r="V117" s="90"/>
      <c r="W117" s="90"/>
      <c r="X117" s="92"/>
      <c r="Y117" s="92"/>
      <c r="Z117" s="93"/>
      <c r="AA117" s="92"/>
    </row>
    <row r="118" spans="4:27" x14ac:dyDescent="0.35">
      <c r="K118" s="9" t="s">
        <v>271</v>
      </c>
      <c r="L118" s="9">
        <v>10.28</v>
      </c>
      <c r="M118" s="9">
        <v>0.05</v>
      </c>
      <c r="N118" s="14"/>
      <c r="O118" s="14"/>
      <c r="P118" s="15"/>
      <c r="Q118" s="15"/>
      <c r="R118" s="15"/>
      <c r="S118" s="16"/>
      <c r="T118" s="90"/>
      <c r="U118" s="90"/>
      <c r="V118" s="90"/>
      <c r="W118" s="90"/>
      <c r="X118" s="92"/>
      <c r="Y118" s="92"/>
      <c r="Z118" s="93"/>
      <c r="AA118" s="92"/>
    </row>
    <row r="119" spans="4:27" x14ac:dyDescent="0.35">
      <c r="D119" s="9" t="s">
        <v>272</v>
      </c>
      <c r="E119" s="9">
        <v>280.23</v>
      </c>
      <c r="F119" s="9">
        <v>1151.8599999999999</v>
      </c>
      <c r="G119" s="9">
        <v>1016.08</v>
      </c>
      <c r="H119" s="9">
        <f>G119-E119</f>
        <v>735.85</v>
      </c>
      <c r="I119" s="9">
        <f t="shared" si="159"/>
        <v>0.73585</v>
      </c>
      <c r="J119" s="12">
        <f>(F119-E119-H119)/H119</f>
        <v>0.1845213018957666</v>
      </c>
      <c r="K119" s="9" t="s">
        <v>273</v>
      </c>
      <c r="L119" s="9">
        <v>10.48</v>
      </c>
      <c r="M119" s="9">
        <v>0.05</v>
      </c>
      <c r="N119" s="14"/>
      <c r="O119" s="14"/>
      <c r="P119" s="15"/>
      <c r="Q119" s="15"/>
      <c r="R119" s="15"/>
      <c r="S119" s="16"/>
      <c r="T119" s="92"/>
      <c r="U119" s="90"/>
      <c r="V119" s="93"/>
      <c r="W119" s="90"/>
      <c r="X119" s="92"/>
      <c r="Y119" s="92"/>
      <c r="Z119" s="93"/>
      <c r="AA119" s="92"/>
    </row>
    <row r="120" spans="4:27" x14ac:dyDescent="0.35">
      <c r="K120" s="9" t="s">
        <v>274</v>
      </c>
      <c r="L120" s="9">
        <v>10.95</v>
      </c>
      <c r="M120" s="9">
        <v>0.05</v>
      </c>
      <c r="N120" s="14"/>
      <c r="O120" s="14"/>
      <c r="P120" s="15"/>
      <c r="Q120" s="15"/>
      <c r="R120" s="15"/>
      <c r="S120" s="16"/>
      <c r="T120" s="90"/>
      <c r="U120" s="90"/>
      <c r="V120" s="90"/>
      <c r="W120" s="90"/>
      <c r="X120" s="92"/>
      <c r="Y120" s="92"/>
      <c r="Z120" s="93"/>
      <c r="AA120" s="92"/>
    </row>
    <row r="121" spans="4:27" x14ac:dyDescent="0.35">
      <c r="K121" s="9" t="s">
        <v>275</v>
      </c>
      <c r="L121" s="9">
        <v>10.4</v>
      </c>
      <c r="M121" s="9">
        <v>0.05</v>
      </c>
      <c r="N121" s="14"/>
      <c r="O121" s="14"/>
      <c r="P121" s="15"/>
      <c r="Q121" s="15"/>
      <c r="R121" s="15"/>
      <c r="S121" s="16"/>
      <c r="T121" s="90"/>
      <c r="U121" s="90"/>
      <c r="V121" s="90"/>
      <c r="W121" s="90"/>
      <c r="X121" s="92"/>
      <c r="Y121" s="92"/>
      <c r="Z121" s="93"/>
      <c r="AA121" s="92"/>
    </row>
  </sheetData>
  <mergeCells count="320">
    <mergeCell ref="Z110:Z112"/>
    <mergeCell ref="AA110:AA112"/>
    <mergeCell ref="Z113:Z115"/>
    <mergeCell ref="AA113:AA115"/>
    <mergeCell ref="Z116:Z118"/>
    <mergeCell ref="AA116:AA118"/>
    <mergeCell ref="Z119:Z121"/>
    <mergeCell ref="AA119:AA121"/>
    <mergeCell ref="Z95:Z97"/>
    <mergeCell ref="AA95:AA97"/>
    <mergeCell ref="Z98:Z100"/>
    <mergeCell ref="AA98:AA100"/>
    <mergeCell ref="Z101:Z103"/>
    <mergeCell ref="AA101:AA103"/>
    <mergeCell ref="Z104:Z106"/>
    <mergeCell ref="AA104:AA106"/>
    <mergeCell ref="Z107:Z109"/>
    <mergeCell ref="AA107:AA109"/>
    <mergeCell ref="Z80:Z82"/>
    <mergeCell ref="AA80:AA82"/>
    <mergeCell ref="Z83:Z85"/>
    <mergeCell ref="AA83:AA85"/>
    <mergeCell ref="Z86:Z88"/>
    <mergeCell ref="AA86:AA88"/>
    <mergeCell ref="Z89:Z91"/>
    <mergeCell ref="AA89:AA91"/>
    <mergeCell ref="Z92:Z94"/>
    <mergeCell ref="AA92:AA94"/>
    <mergeCell ref="Z65:Z67"/>
    <mergeCell ref="AA65:AA67"/>
    <mergeCell ref="Z68:Z70"/>
    <mergeCell ref="AA68:AA70"/>
    <mergeCell ref="Z71:Z73"/>
    <mergeCell ref="AA71:AA73"/>
    <mergeCell ref="Z74:Z76"/>
    <mergeCell ref="AA74:AA76"/>
    <mergeCell ref="Z77:Z79"/>
    <mergeCell ref="AA77:AA79"/>
    <mergeCell ref="Z50:Z52"/>
    <mergeCell ref="AA50:AA52"/>
    <mergeCell ref="Z53:Z55"/>
    <mergeCell ref="AA53:AA55"/>
    <mergeCell ref="Z56:Z58"/>
    <mergeCell ref="AA56:AA58"/>
    <mergeCell ref="Z59:Z61"/>
    <mergeCell ref="AA59:AA61"/>
    <mergeCell ref="Z62:Z64"/>
    <mergeCell ref="AA62:AA64"/>
    <mergeCell ref="Z35:Z37"/>
    <mergeCell ref="AA35:AA37"/>
    <mergeCell ref="Z38:Z40"/>
    <mergeCell ref="AA38:AA40"/>
    <mergeCell ref="Z41:Z43"/>
    <mergeCell ref="AA41:AA43"/>
    <mergeCell ref="Z44:Z46"/>
    <mergeCell ref="AA44:AA46"/>
    <mergeCell ref="Z47:Z49"/>
    <mergeCell ref="AA47:AA49"/>
    <mergeCell ref="Y116:Y118"/>
    <mergeCell ref="Y119:Y121"/>
    <mergeCell ref="Z2:Z4"/>
    <mergeCell ref="AA2:AA4"/>
    <mergeCell ref="Z5:Z7"/>
    <mergeCell ref="AA5:AA7"/>
    <mergeCell ref="Z8:Z10"/>
    <mergeCell ref="AA8:AA10"/>
    <mergeCell ref="Z11:Z13"/>
    <mergeCell ref="AA11:AA13"/>
    <mergeCell ref="Z14:Z16"/>
    <mergeCell ref="AA14:AA16"/>
    <mergeCell ref="Z17:Z19"/>
    <mergeCell ref="AA17:AA19"/>
    <mergeCell ref="Z20:Z22"/>
    <mergeCell ref="AA20:AA22"/>
    <mergeCell ref="Z23:Z25"/>
    <mergeCell ref="AA23:AA25"/>
    <mergeCell ref="Z26:Z28"/>
    <mergeCell ref="AA26:AA28"/>
    <mergeCell ref="Z29:Z31"/>
    <mergeCell ref="AA29:AA31"/>
    <mergeCell ref="Z32:Z34"/>
    <mergeCell ref="AA32:AA34"/>
    <mergeCell ref="Y89:Y91"/>
    <mergeCell ref="Y92:Y94"/>
    <mergeCell ref="Y95:Y97"/>
    <mergeCell ref="Y98:Y100"/>
    <mergeCell ref="Y101:Y103"/>
    <mergeCell ref="Y104:Y106"/>
    <mergeCell ref="Y107:Y109"/>
    <mergeCell ref="Y110:Y112"/>
    <mergeCell ref="Y113:Y115"/>
    <mergeCell ref="Y62:Y64"/>
    <mergeCell ref="Y65:Y67"/>
    <mergeCell ref="Y68:Y70"/>
    <mergeCell ref="Y71:Y73"/>
    <mergeCell ref="Y74:Y76"/>
    <mergeCell ref="Y77:Y79"/>
    <mergeCell ref="Y80:Y82"/>
    <mergeCell ref="Y83:Y85"/>
    <mergeCell ref="Y86:Y88"/>
    <mergeCell ref="X110:X112"/>
    <mergeCell ref="X113:X115"/>
    <mergeCell ref="X116:X118"/>
    <mergeCell ref="X119:X121"/>
    <mergeCell ref="Y2:Y4"/>
    <mergeCell ref="Y5:Y7"/>
    <mergeCell ref="Y8:Y10"/>
    <mergeCell ref="Y11:Y13"/>
    <mergeCell ref="Y14:Y16"/>
    <mergeCell ref="Y17:Y19"/>
    <mergeCell ref="Y20:Y22"/>
    <mergeCell ref="Y23:Y25"/>
    <mergeCell ref="Y26:Y28"/>
    <mergeCell ref="Y29:Y31"/>
    <mergeCell ref="Y32:Y34"/>
    <mergeCell ref="Y35:Y37"/>
    <mergeCell ref="Y38:Y40"/>
    <mergeCell ref="Y41:Y43"/>
    <mergeCell ref="Y44:Y46"/>
    <mergeCell ref="Y47:Y49"/>
    <mergeCell ref="Y50:Y52"/>
    <mergeCell ref="Y53:Y55"/>
    <mergeCell ref="Y56:Y58"/>
    <mergeCell ref="Y59:Y61"/>
    <mergeCell ref="X83:X85"/>
    <mergeCell ref="X86:X88"/>
    <mergeCell ref="X89:X91"/>
    <mergeCell ref="X92:X94"/>
    <mergeCell ref="X95:X97"/>
    <mergeCell ref="X98:X100"/>
    <mergeCell ref="X101:X103"/>
    <mergeCell ref="X104:X106"/>
    <mergeCell ref="X107:X109"/>
    <mergeCell ref="X56:X58"/>
    <mergeCell ref="X59:X61"/>
    <mergeCell ref="X62:X64"/>
    <mergeCell ref="X65:X67"/>
    <mergeCell ref="X68:X70"/>
    <mergeCell ref="X71:X73"/>
    <mergeCell ref="X74:X76"/>
    <mergeCell ref="X77:X79"/>
    <mergeCell ref="X80:X82"/>
    <mergeCell ref="X29:X31"/>
    <mergeCell ref="X32:X34"/>
    <mergeCell ref="X35:X37"/>
    <mergeCell ref="X38:X40"/>
    <mergeCell ref="X41:X43"/>
    <mergeCell ref="X44:X46"/>
    <mergeCell ref="X47:X49"/>
    <mergeCell ref="X50:X52"/>
    <mergeCell ref="X53:X55"/>
    <mergeCell ref="X2:X4"/>
    <mergeCell ref="X5:X7"/>
    <mergeCell ref="X8:X10"/>
    <mergeCell ref="X11:X13"/>
    <mergeCell ref="X14:X16"/>
    <mergeCell ref="X17:X19"/>
    <mergeCell ref="X20:X22"/>
    <mergeCell ref="X23:X25"/>
    <mergeCell ref="X26:X28"/>
    <mergeCell ref="T2:T4"/>
    <mergeCell ref="T5:T7"/>
    <mergeCell ref="T8:T10"/>
    <mergeCell ref="T11:T13"/>
    <mergeCell ref="T14:T16"/>
    <mergeCell ref="T17:T19"/>
    <mergeCell ref="T38:T40"/>
    <mergeCell ref="T41:T43"/>
    <mergeCell ref="T44:T46"/>
    <mergeCell ref="T47:T49"/>
    <mergeCell ref="T50:T52"/>
    <mergeCell ref="T53:T55"/>
    <mergeCell ref="T20:T22"/>
    <mergeCell ref="T23:T25"/>
    <mergeCell ref="T26:T28"/>
    <mergeCell ref="T29:T31"/>
    <mergeCell ref="T32:T34"/>
    <mergeCell ref="T35:T37"/>
    <mergeCell ref="T74:T76"/>
    <mergeCell ref="T77:T79"/>
    <mergeCell ref="T80:T82"/>
    <mergeCell ref="T83:T85"/>
    <mergeCell ref="T86:T88"/>
    <mergeCell ref="T89:T91"/>
    <mergeCell ref="T56:T58"/>
    <mergeCell ref="T59:T61"/>
    <mergeCell ref="T62:T64"/>
    <mergeCell ref="T65:T67"/>
    <mergeCell ref="T68:T70"/>
    <mergeCell ref="T71:T73"/>
    <mergeCell ref="T110:T112"/>
    <mergeCell ref="T113:T115"/>
    <mergeCell ref="T116:T118"/>
    <mergeCell ref="T119:T121"/>
    <mergeCell ref="T92:T94"/>
    <mergeCell ref="T95:T97"/>
    <mergeCell ref="T98:T100"/>
    <mergeCell ref="T101:T103"/>
    <mergeCell ref="T104:T106"/>
    <mergeCell ref="T107:T109"/>
    <mergeCell ref="V29:V31"/>
    <mergeCell ref="V32:V34"/>
    <mergeCell ref="V35:V37"/>
    <mergeCell ref="V38:V40"/>
    <mergeCell ref="V41:V43"/>
    <mergeCell ref="V44:V46"/>
    <mergeCell ref="V2:V4"/>
    <mergeCell ref="V5:V7"/>
    <mergeCell ref="V8:V10"/>
    <mergeCell ref="V11:V13"/>
    <mergeCell ref="V14:V16"/>
    <mergeCell ref="V17:V19"/>
    <mergeCell ref="V20:V22"/>
    <mergeCell ref="V23:V25"/>
    <mergeCell ref="V26:V28"/>
    <mergeCell ref="V71:V73"/>
    <mergeCell ref="V74:V76"/>
    <mergeCell ref="V77:V79"/>
    <mergeCell ref="V80:V82"/>
    <mergeCell ref="V47:V49"/>
    <mergeCell ref="V50:V52"/>
    <mergeCell ref="V53:V55"/>
    <mergeCell ref="V56:V58"/>
    <mergeCell ref="V59:V61"/>
    <mergeCell ref="V62:V64"/>
    <mergeCell ref="V119:V121"/>
    <mergeCell ref="U2:U4"/>
    <mergeCell ref="W2:W4"/>
    <mergeCell ref="U5:U7"/>
    <mergeCell ref="U8:U10"/>
    <mergeCell ref="U11:U13"/>
    <mergeCell ref="U14:U16"/>
    <mergeCell ref="U17:U19"/>
    <mergeCell ref="U20:U22"/>
    <mergeCell ref="U23:U25"/>
    <mergeCell ref="V101:V103"/>
    <mergeCell ref="V104:V106"/>
    <mergeCell ref="V107:V109"/>
    <mergeCell ref="V110:V112"/>
    <mergeCell ref="V113:V115"/>
    <mergeCell ref="V116:V118"/>
    <mergeCell ref="V83:V85"/>
    <mergeCell ref="V86:V88"/>
    <mergeCell ref="V89:V91"/>
    <mergeCell ref="V92:V94"/>
    <mergeCell ref="V95:V97"/>
    <mergeCell ref="V98:V100"/>
    <mergeCell ref="V65:V67"/>
    <mergeCell ref="V68:V70"/>
    <mergeCell ref="U44:U46"/>
    <mergeCell ref="U47:U49"/>
    <mergeCell ref="U50:U52"/>
    <mergeCell ref="U53:U55"/>
    <mergeCell ref="U56:U58"/>
    <mergeCell ref="U59:U61"/>
    <mergeCell ref="U26:U28"/>
    <mergeCell ref="U29:U31"/>
    <mergeCell ref="U32:U34"/>
    <mergeCell ref="U35:U37"/>
    <mergeCell ref="U38:U40"/>
    <mergeCell ref="U41:U43"/>
    <mergeCell ref="U86:U88"/>
    <mergeCell ref="U89:U91"/>
    <mergeCell ref="U92:U94"/>
    <mergeCell ref="U95:U97"/>
    <mergeCell ref="U62:U64"/>
    <mergeCell ref="U65:U67"/>
    <mergeCell ref="U68:U70"/>
    <mergeCell ref="U71:U73"/>
    <mergeCell ref="U74:U76"/>
    <mergeCell ref="U77:U79"/>
    <mergeCell ref="W29:W31"/>
    <mergeCell ref="W32:W34"/>
    <mergeCell ref="W35:W37"/>
    <mergeCell ref="W38:W40"/>
    <mergeCell ref="W41:W43"/>
    <mergeCell ref="W44:W46"/>
    <mergeCell ref="U116:U118"/>
    <mergeCell ref="U119:U121"/>
    <mergeCell ref="W5:W7"/>
    <mergeCell ref="W8:W10"/>
    <mergeCell ref="W11:W13"/>
    <mergeCell ref="W14:W16"/>
    <mergeCell ref="W17:W19"/>
    <mergeCell ref="W20:W22"/>
    <mergeCell ref="W23:W25"/>
    <mergeCell ref="W26:W28"/>
    <mergeCell ref="U98:U100"/>
    <mergeCell ref="U101:U103"/>
    <mergeCell ref="U104:U106"/>
    <mergeCell ref="U107:U109"/>
    <mergeCell ref="U110:U112"/>
    <mergeCell ref="U113:U115"/>
    <mergeCell ref="U80:U82"/>
    <mergeCell ref="U83:U85"/>
    <mergeCell ref="W65:W67"/>
    <mergeCell ref="W68:W70"/>
    <mergeCell ref="W71:W73"/>
    <mergeCell ref="W74:W76"/>
    <mergeCell ref="W77:W79"/>
    <mergeCell ref="W80:W82"/>
    <mergeCell ref="W47:W49"/>
    <mergeCell ref="W50:W52"/>
    <mergeCell ref="W53:W55"/>
    <mergeCell ref="W56:W58"/>
    <mergeCell ref="W59:W61"/>
    <mergeCell ref="W62:W64"/>
    <mergeCell ref="W119:W121"/>
    <mergeCell ref="W101:W103"/>
    <mergeCell ref="W104:W106"/>
    <mergeCell ref="W107:W109"/>
    <mergeCell ref="W110:W112"/>
    <mergeCell ref="W113:W115"/>
    <mergeCell ref="W116:W118"/>
    <mergeCell ref="W83:W85"/>
    <mergeCell ref="W86:W88"/>
    <mergeCell ref="W89:W91"/>
    <mergeCell ref="W92:W94"/>
    <mergeCell ref="W95:W97"/>
    <mergeCell ref="W98:W100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B1944-9896-4058-8D63-A8B29E77DF99}">
  <dimension ref="A1:DH53"/>
  <sheetViews>
    <sheetView zoomScale="70" zoomScaleNormal="70" workbookViewId="0">
      <selection activeCell="M24" sqref="M24:M28"/>
    </sheetView>
  </sheetViews>
  <sheetFormatPr defaultColWidth="8.81640625" defaultRowHeight="14.5" x14ac:dyDescent="0.35"/>
  <cols>
    <col min="1" max="1" width="20" style="9" customWidth="1"/>
    <col min="2" max="2" width="10.7265625" style="9" customWidth="1"/>
    <col min="3" max="5" width="8.81640625" style="9"/>
    <col min="6" max="6" width="10.1796875" style="9" customWidth="1"/>
    <col min="7" max="7" width="8.453125" style="9" customWidth="1"/>
    <col min="8" max="10" width="8.81640625" style="9"/>
    <col min="11" max="13" width="11.7265625" style="9" customWidth="1"/>
    <col min="14" max="14" width="10.7265625" style="9" customWidth="1"/>
    <col min="15" max="15" width="20.81640625" style="9" customWidth="1"/>
    <col min="16" max="16" width="11.81640625" style="9" customWidth="1"/>
    <col min="17" max="17" width="13.453125" style="9" customWidth="1"/>
    <col min="18" max="29" width="8.81640625" style="9"/>
    <col min="30" max="30" width="8.81640625" style="77"/>
    <col min="31" max="32" width="8.81640625" style="9"/>
    <col min="33" max="34" width="9" style="9" bestFit="1" customWidth="1"/>
    <col min="35" max="36" width="9" style="9" customWidth="1"/>
    <col min="37" max="37" width="9.54296875" style="9" bestFit="1" customWidth="1"/>
    <col min="38" max="39" width="11.26953125" style="9" customWidth="1"/>
    <col min="40" max="40" width="11.26953125" style="9" bestFit="1" customWidth="1"/>
    <col min="41" max="47" width="11.26953125" style="9" customWidth="1"/>
    <col min="48" max="99" width="8.81640625" style="9"/>
    <col min="100" max="100" width="11.26953125" style="9" bestFit="1" customWidth="1"/>
    <col min="101" max="101" width="8.81640625" style="9"/>
    <col min="102" max="102" width="17" style="9" customWidth="1"/>
    <col min="103" max="108" width="8.81640625" style="9"/>
    <col min="109" max="109" width="10.453125" style="9" customWidth="1"/>
    <col min="110" max="110" width="10.81640625" style="9" customWidth="1"/>
    <col min="111" max="111" width="17.54296875" style="9" customWidth="1"/>
    <col min="112" max="16384" width="8.81640625" style="9"/>
  </cols>
  <sheetData>
    <row r="1" spans="1:112" x14ac:dyDescent="0.35">
      <c r="AH1" s="89" t="s">
        <v>276</v>
      </c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 t="s">
        <v>277</v>
      </c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</row>
    <row r="2" spans="1:112" x14ac:dyDescent="0.35">
      <c r="AK2" s="89" t="s">
        <v>278</v>
      </c>
      <c r="AL2" s="89"/>
      <c r="AM2" s="89"/>
      <c r="AN2" s="89" t="s">
        <v>279</v>
      </c>
      <c r="AO2" s="89"/>
      <c r="AP2" s="89"/>
      <c r="AQ2" s="89" t="s">
        <v>280</v>
      </c>
      <c r="AR2" s="89"/>
      <c r="AS2" s="89"/>
      <c r="AW2" s="89" t="s">
        <v>278</v>
      </c>
      <c r="AX2" s="89"/>
      <c r="AY2" s="89"/>
      <c r="AZ2" s="89" t="s">
        <v>279</v>
      </c>
      <c r="BA2" s="89"/>
      <c r="BB2" s="89"/>
      <c r="BC2" s="89" t="s">
        <v>280</v>
      </c>
      <c r="BD2" s="89"/>
      <c r="BE2" s="89"/>
      <c r="CR2" s="98" t="s">
        <v>281</v>
      </c>
      <c r="CS2" s="98"/>
      <c r="CT2" s="98"/>
      <c r="CU2" s="98"/>
      <c r="CV2" s="98"/>
      <c r="CW2" s="98"/>
      <c r="CX2" s="98"/>
      <c r="CY2" s="98"/>
      <c r="DA2" s="98" t="s">
        <v>282</v>
      </c>
      <c r="DB2" s="98"/>
      <c r="DC2" s="98"/>
      <c r="DD2" s="98"/>
      <c r="DE2" s="98"/>
      <c r="DF2" s="98"/>
      <c r="DG2" s="98"/>
      <c r="DH2" s="98"/>
    </row>
    <row r="3" spans="1:112" ht="93" x14ac:dyDescent="0.35">
      <c r="A3" s="6" t="s">
        <v>75</v>
      </c>
      <c r="C3" s="8" t="s">
        <v>283</v>
      </c>
      <c r="D3" s="8" t="s">
        <v>284</v>
      </c>
      <c r="E3" s="8" t="s">
        <v>87</v>
      </c>
      <c r="F3" s="8" t="s">
        <v>88</v>
      </c>
      <c r="G3" s="8" t="s">
        <v>285</v>
      </c>
      <c r="H3" s="8" t="s">
        <v>286</v>
      </c>
      <c r="I3" s="8" t="s">
        <v>287</v>
      </c>
      <c r="J3" s="8" t="s">
        <v>288</v>
      </c>
      <c r="K3" s="8" t="s">
        <v>289</v>
      </c>
      <c r="L3" s="8" t="s">
        <v>290</v>
      </c>
      <c r="M3" s="8" t="s">
        <v>291</v>
      </c>
      <c r="N3" s="8" t="s">
        <v>292</v>
      </c>
      <c r="O3" s="6" t="s">
        <v>75</v>
      </c>
      <c r="P3" s="8" t="s">
        <v>293</v>
      </c>
      <c r="Q3" s="8" t="s">
        <v>294</v>
      </c>
      <c r="R3" s="8" t="s">
        <v>295</v>
      </c>
      <c r="S3" s="8" t="s">
        <v>296</v>
      </c>
      <c r="T3" s="8" t="s">
        <v>297</v>
      </c>
      <c r="U3" s="8" t="s">
        <v>298</v>
      </c>
      <c r="V3" s="8" t="s">
        <v>299</v>
      </c>
      <c r="W3" s="8" t="s">
        <v>300</v>
      </c>
      <c r="Y3" s="6" t="s">
        <v>75</v>
      </c>
      <c r="Z3" s="8" t="s">
        <v>301</v>
      </c>
      <c r="AA3" s="8" t="s">
        <v>302</v>
      </c>
      <c r="AB3" s="8" t="s">
        <v>303</v>
      </c>
      <c r="AC3" s="8" t="s">
        <v>304</v>
      </c>
      <c r="AD3" s="78"/>
      <c r="AE3" s="96" t="s">
        <v>10</v>
      </c>
      <c r="AF3" s="6" t="s">
        <v>75</v>
      </c>
      <c r="AG3" s="8" t="s">
        <v>301</v>
      </c>
      <c r="AH3" s="8" t="s">
        <v>302</v>
      </c>
      <c r="AI3" s="8" t="s">
        <v>305</v>
      </c>
      <c r="AJ3" s="8" t="s">
        <v>306</v>
      </c>
      <c r="AK3" s="8" t="s">
        <v>307</v>
      </c>
      <c r="AL3" s="8" t="s">
        <v>308</v>
      </c>
      <c r="AM3" s="8" t="s">
        <v>309</v>
      </c>
      <c r="AN3" s="8" t="s">
        <v>310</v>
      </c>
      <c r="AO3" s="8" t="s">
        <v>311</v>
      </c>
      <c r="AP3" s="8" t="s">
        <v>309</v>
      </c>
      <c r="AQ3" s="8" t="s">
        <v>312</v>
      </c>
      <c r="AR3" s="8" t="s">
        <v>313</v>
      </c>
      <c r="AS3" s="8" t="s">
        <v>309</v>
      </c>
      <c r="AT3" s="8" t="s">
        <v>303</v>
      </c>
      <c r="AU3" s="8" t="s">
        <v>304</v>
      </c>
      <c r="AV3" s="8" t="s">
        <v>306</v>
      </c>
      <c r="AW3" s="8" t="s">
        <v>307</v>
      </c>
      <c r="AX3" s="8" t="s">
        <v>308</v>
      </c>
      <c r="AY3" s="8" t="s">
        <v>309</v>
      </c>
      <c r="AZ3" s="8" t="s">
        <v>314</v>
      </c>
      <c r="BA3" s="8" t="s">
        <v>311</v>
      </c>
      <c r="BB3" s="8" t="s">
        <v>309</v>
      </c>
      <c r="BC3" s="8" t="s">
        <v>312</v>
      </c>
      <c r="BD3" s="8" t="s">
        <v>313</v>
      </c>
      <c r="BE3" s="8" t="s">
        <v>309</v>
      </c>
      <c r="BF3" s="8"/>
      <c r="BG3" s="8"/>
      <c r="BH3" s="6" t="s">
        <v>75</v>
      </c>
      <c r="BI3" s="5" t="s">
        <v>315</v>
      </c>
      <c r="BJ3" s="5"/>
      <c r="CR3" s="80" t="s">
        <v>75</v>
      </c>
      <c r="CS3" s="81" t="s">
        <v>316</v>
      </c>
      <c r="CT3" s="81" t="s">
        <v>308</v>
      </c>
      <c r="CU3" s="81" t="s">
        <v>309</v>
      </c>
      <c r="CV3" s="81" t="s">
        <v>311</v>
      </c>
      <c r="CW3" s="81" t="s">
        <v>309</v>
      </c>
      <c r="CX3" s="81" t="s">
        <v>313</v>
      </c>
      <c r="CY3" s="81" t="s">
        <v>309</v>
      </c>
      <c r="DA3" s="80" t="s">
        <v>75</v>
      </c>
      <c r="DB3" s="81" t="s">
        <v>317</v>
      </c>
      <c r="DC3" s="81" t="s">
        <v>308</v>
      </c>
      <c r="DD3" s="81" t="s">
        <v>309</v>
      </c>
      <c r="DE3" s="81" t="s">
        <v>311</v>
      </c>
      <c r="DF3" s="81" t="s">
        <v>309</v>
      </c>
      <c r="DG3" s="81" t="s">
        <v>313</v>
      </c>
      <c r="DH3" s="81" t="s">
        <v>309</v>
      </c>
    </row>
    <row r="4" spans="1:112" x14ac:dyDescent="0.35">
      <c r="A4" s="9" t="s">
        <v>104</v>
      </c>
      <c r="B4" s="7" t="s">
        <v>318</v>
      </c>
      <c r="C4" s="9">
        <v>550</v>
      </c>
      <c r="D4" s="9">
        <f>C4/1000</f>
        <v>0.55000000000000004</v>
      </c>
      <c r="E4" s="9">
        <v>1185.4000000000001</v>
      </c>
      <c r="F4" s="14"/>
      <c r="G4" s="11">
        <f>(E4-'Calibration lines '!$B$7)/'Calibration lines '!$B$8</f>
        <v>1309.6724409448818</v>
      </c>
      <c r="H4" s="15"/>
      <c r="I4" s="11">
        <f>G4*D4</f>
        <v>720.31984251968504</v>
      </c>
      <c r="J4" s="15"/>
      <c r="K4" s="91">
        <f>SUM(I4:I7)</f>
        <v>851.17324767358627</v>
      </c>
      <c r="L4" s="95">
        <f>SUM(I4:I7)/('Total Values (Molar Ratio)'!C$47*1000)</f>
        <v>0.84724766681733255</v>
      </c>
      <c r="M4" s="90"/>
      <c r="O4" s="9" t="s">
        <v>10</v>
      </c>
      <c r="Y4" s="9" t="s">
        <v>10</v>
      </c>
      <c r="Z4" s="9">
        <f>'Total Values '!$B$17</f>
        <v>1.0046333333333335</v>
      </c>
      <c r="AE4" s="96"/>
      <c r="AF4" s="9" t="s">
        <v>10</v>
      </c>
      <c r="AG4" s="9">
        <f>'Total Values (Molar Ratio)'!C47</f>
        <v>1.0046333333333335</v>
      </c>
      <c r="BH4" s="9" t="s">
        <v>10</v>
      </c>
      <c r="CR4" s="82" t="s">
        <v>10</v>
      </c>
      <c r="CS4" s="82">
        <f>AG4</f>
        <v>1.0046333333333335</v>
      </c>
      <c r="CT4" s="83">
        <f>AL5</f>
        <v>-5.0142816469145746E-3</v>
      </c>
      <c r="CU4" s="83">
        <f>AM5</f>
        <v>0.84280348197646859</v>
      </c>
      <c r="CV4" s="84">
        <f>AO5</f>
        <v>-1.5596596560501384E-5</v>
      </c>
      <c r="CW4" s="83">
        <f>AP5</f>
        <v>0.83204459257731589</v>
      </c>
      <c r="CX4" s="85">
        <f>AR5</f>
        <v>-4.8589383212482833E-8</v>
      </c>
      <c r="CY4" s="83">
        <f>AS5</f>
        <v>0.82095176294728911</v>
      </c>
      <c r="DA4" s="82" t="s">
        <v>11</v>
      </c>
      <c r="DB4" s="82">
        <f>AG32</f>
        <v>0.33994901960784429</v>
      </c>
      <c r="DC4" s="83">
        <f>AL33</f>
        <v>-5.3466509998488732E-2</v>
      </c>
      <c r="DD4" s="83">
        <f>AM33</f>
        <v>0.87733989025525094</v>
      </c>
      <c r="DE4" s="84">
        <f>AO33</f>
        <v>-1.3858812491185151</v>
      </c>
      <c r="DF4" s="84">
        <f>AP33</f>
        <v>0.70840672211102984</v>
      </c>
      <c r="DG4" s="83">
        <f>BA5</f>
        <v>-1.5668860791231698E-2</v>
      </c>
      <c r="DH4" s="83">
        <f>BB5</f>
        <v>0.83204459257731544</v>
      </c>
    </row>
    <row r="5" spans="1:112" x14ac:dyDescent="0.35">
      <c r="B5" s="7" t="s">
        <v>319</v>
      </c>
      <c r="C5" s="9">
        <v>800</v>
      </c>
      <c r="D5" s="9">
        <f t="shared" ref="D5:D53" si="0">C5/1000</f>
        <v>0.8</v>
      </c>
      <c r="E5" s="9">
        <v>61.3</v>
      </c>
      <c r="F5" s="14"/>
      <c r="G5" s="11">
        <f>(E5-'Calibration lines '!$B$7)/'Calibration lines '!$B$8</f>
        <v>67.690801717967062</v>
      </c>
      <c r="H5" s="15"/>
      <c r="I5" s="11">
        <f t="shared" ref="I5:I53" si="1">G5*D5</f>
        <v>54.152641374373651</v>
      </c>
      <c r="J5" s="15"/>
      <c r="K5" s="89"/>
      <c r="L5" s="95"/>
      <c r="M5" s="90"/>
      <c r="O5" s="7" t="s">
        <v>318</v>
      </c>
      <c r="P5" s="11">
        <f t="shared" ref="P5:Q9" si="2">AVERAGE(G4,G9,G14)</f>
        <v>514.27827487473155</v>
      </c>
      <c r="Q5" s="11" t="e">
        <f t="shared" si="2"/>
        <v>#DIV/0!</v>
      </c>
      <c r="R5" s="11">
        <f>AVERAGE(P5:P8)</f>
        <v>138.55700787401571</v>
      </c>
      <c r="S5" s="11" t="e">
        <f>AVERAGE(Q5:Q8)</f>
        <v>#DIV/0!</v>
      </c>
      <c r="T5" s="11">
        <f>AVERAGE(K4:K18)</f>
        <v>343.42187902648533</v>
      </c>
      <c r="U5" s="11">
        <v>0</v>
      </c>
      <c r="V5" s="25">
        <f>T5/1000</f>
        <v>0.34342187902648535</v>
      </c>
      <c r="W5" s="10"/>
      <c r="Y5" s="7" t="s">
        <v>318</v>
      </c>
      <c r="AA5" s="11">
        <f>(I4+I9+I14)/3</f>
        <v>298.00179277022193</v>
      </c>
      <c r="AB5" s="50">
        <f>AA5/(Z$4*1000)</f>
        <v>0.29662741906190176</v>
      </c>
      <c r="AC5" s="50">
        <f>AB5</f>
        <v>0.29662741906190176</v>
      </c>
      <c r="AD5" s="79"/>
      <c r="AE5" s="96"/>
      <c r="AF5" s="7">
        <v>1</v>
      </c>
      <c r="AH5" s="11">
        <f>AA5</f>
        <v>298.00179277022193</v>
      </c>
      <c r="AI5" s="11">
        <f>AH5</f>
        <v>298.00179277022193</v>
      </c>
      <c r="AJ5" s="11">
        <f>AI5/AF5</f>
        <v>298.00179277022193</v>
      </c>
      <c r="AK5" s="11">
        <f>LN(AI5)</f>
        <v>5.6970995024947646</v>
      </c>
      <c r="AL5" s="97">
        <f>-(SLOPE(AK5:AK8,$AF5:$AF8))</f>
        <v>-5.0142816469145746E-3</v>
      </c>
      <c r="AM5" s="97">
        <f>(RSQ(AK5:AK8,$AF5:$AF8))</f>
        <v>0.84280348197646859</v>
      </c>
      <c r="AN5" s="11">
        <f>1/AI5</f>
        <v>3.3556845101635436E-3</v>
      </c>
      <c r="AO5" s="97">
        <f>(SLOPE(AN5:AN8,$AF5:$AF8))</f>
        <v>-1.5596596560501384E-5</v>
      </c>
      <c r="AP5" s="97">
        <f>(RSQ(AN5:AN8,$AF5:$AF8))</f>
        <v>0.83204459257731589</v>
      </c>
      <c r="AQ5" s="11">
        <f>1/(AI5*AI5)</f>
        <v>1.1260618531751542E-5</v>
      </c>
      <c r="AR5" s="97">
        <f>(SLOPE(AQ5:AQ8,$AF5:$AF8))/2</f>
        <v>-4.8589383212482833E-8</v>
      </c>
      <c r="AS5" s="97">
        <f>(RSQ(AQ5:AQ8,$AF5:$AF8))</f>
        <v>0.82095176294728911</v>
      </c>
      <c r="AT5" s="50">
        <f>AH5/(AG$4*1000)</f>
        <v>0.29662741906190176</v>
      </c>
      <c r="AU5" s="50">
        <f>AT5</f>
        <v>0.29662741906190176</v>
      </c>
      <c r="AV5" s="50">
        <f>AU5/AF5</f>
        <v>0.29662741906190176</v>
      </c>
      <c r="AW5" s="11">
        <f>LN(AU5)</f>
        <v>-1.2152784089728164</v>
      </c>
      <c r="AX5" s="97">
        <f>-(SLOPE(AW5:AW8,$AF5:$AF8))</f>
        <v>-5.0142816469145755E-3</v>
      </c>
      <c r="AY5" s="97">
        <f>(RSQ(AW5:AW8,$AF5:$AF8))</f>
        <v>0.84280348197646637</v>
      </c>
      <c r="AZ5" s="11">
        <f>1/AU5</f>
        <v>3.371232515060635</v>
      </c>
      <c r="BA5" s="97">
        <f>(SLOPE(AZ5:AZ8,$AF5:$AF8))</f>
        <v>-1.5668860791231698E-2</v>
      </c>
      <c r="BB5" s="97">
        <f>(RSQ(AZ5:AZ8,$AF5:$AF8))</f>
        <v>0.83204459257731544</v>
      </c>
      <c r="BC5" s="11">
        <f>1/(AU5*AU5)</f>
        <v>11.365208670602055</v>
      </c>
      <c r="BD5" s="97">
        <f>-(SLOPE(BC5:BC8,$AF5:$AF8))</f>
        <v>9.8081375872666049E-2</v>
      </c>
      <c r="BE5" s="97">
        <f>(RSQ(BC5:BC8,$AF5:$AF8))</f>
        <v>0.82095176294728955</v>
      </c>
      <c r="BF5" s="50"/>
      <c r="BG5" s="50"/>
      <c r="BH5" s="7" t="s">
        <v>318</v>
      </c>
      <c r="CR5" s="82" t="s">
        <v>11</v>
      </c>
      <c r="CS5" s="82">
        <f>AG10</f>
        <v>0.66511764705882581</v>
      </c>
      <c r="CT5" s="83">
        <f>AL11</f>
        <v>-1.2941269269278546E-2</v>
      </c>
      <c r="CU5" s="83">
        <f>AM11</f>
        <v>0.56040044516249565</v>
      </c>
      <c r="CV5" s="84">
        <f>AO11</f>
        <v>-4.5248008306068809E-5</v>
      </c>
      <c r="CW5" s="83">
        <f>AP11</f>
        <v>0.53784516497631041</v>
      </c>
      <c r="CX5" s="85">
        <f>AR11</f>
        <v>-1.607805151204113E-7</v>
      </c>
      <c r="CY5" s="83">
        <f>AS11</f>
        <v>0.51815682953732245</v>
      </c>
      <c r="DA5" s="82" t="s">
        <v>12</v>
      </c>
      <c r="DB5" s="82">
        <f>Z38</f>
        <v>1.0124</v>
      </c>
      <c r="DC5" s="83" t="e">
        <f>AL39</f>
        <v>#NUM!</v>
      </c>
      <c r="DD5" s="83">
        <f>AV11</f>
        <v>0.34622037143358597</v>
      </c>
      <c r="DE5" s="84">
        <f>AO397</f>
        <v>0</v>
      </c>
      <c r="DF5" s="84">
        <f>AP397</f>
        <v>0</v>
      </c>
      <c r="DG5" s="83">
        <f>BA11</f>
        <v>-3.0095248818630693E-2</v>
      </c>
      <c r="DH5" s="83">
        <f>BB11</f>
        <v>0.5378451649763103</v>
      </c>
    </row>
    <row r="6" spans="1:112" x14ac:dyDescent="0.35">
      <c r="B6" s="7" t="s">
        <v>320</v>
      </c>
      <c r="C6" s="9">
        <v>2270</v>
      </c>
      <c r="D6" s="9">
        <f t="shared" si="0"/>
        <v>2.27</v>
      </c>
      <c r="E6" s="9">
        <v>21.6</v>
      </c>
      <c r="F6" s="14"/>
      <c r="G6" s="11">
        <f>(E6-'Calibration lines '!$B$7)/'Calibration lines '!$B$8</f>
        <v>23.827559055118112</v>
      </c>
      <c r="H6" s="15"/>
      <c r="I6" s="11">
        <f t="shared" si="1"/>
        <v>54.088559055118111</v>
      </c>
      <c r="J6" s="15"/>
      <c r="K6" s="89"/>
      <c r="L6" s="95"/>
      <c r="M6" s="90"/>
      <c r="O6" s="7" t="s">
        <v>319</v>
      </c>
      <c r="P6" s="11">
        <f t="shared" si="2"/>
        <v>24.195848246241948</v>
      </c>
      <c r="Q6" s="11" t="e">
        <f t="shared" si="2"/>
        <v>#DIV/0!</v>
      </c>
      <c r="V6" s="25"/>
      <c r="W6" s="10"/>
      <c r="Y6" s="7" t="s">
        <v>319</v>
      </c>
      <c r="AA6" s="11">
        <f>(I5+I10+I15)/3</f>
        <v>19.445170722977807</v>
      </c>
      <c r="AB6" s="50">
        <f t="shared" ref="AB6:AB9" si="3">AA6/(Z$4*1000)</f>
        <v>1.9355490284658886E-2</v>
      </c>
      <c r="AC6" s="50">
        <f>AC5+AB6</f>
        <v>0.31598290934656065</v>
      </c>
      <c r="AD6" s="79"/>
      <c r="AE6" s="96"/>
      <c r="AF6" s="7">
        <v>7</v>
      </c>
      <c r="AH6" s="11">
        <f>AA6</f>
        <v>19.445170722977807</v>
      </c>
      <c r="AI6" s="11">
        <f>AH6+AI5</f>
        <v>317.44696349319975</v>
      </c>
      <c r="AJ6" s="11">
        <f>AI6/AF6</f>
        <v>45.349566213314247</v>
      </c>
      <c r="AK6" s="11">
        <f t="shared" ref="AK6:AK8" si="4">LN(AI6)</f>
        <v>5.760310760263418</v>
      </c>
      <c r="AL6" s="97"/>
      <c r="AM6" s="97"/>
      <c r="AN6" s="11">
        <f t="shared" ref="AN6:AN8" si="5">1/AI6</f>
        <v>3.1501325103127711E-3</v>
      </c>
      <c r="AO6" s="97"/>
      <c r="AP6" s="97"/>
      <c r="AQ6" s="11">
        <f t="shared" ref="AQ6:AQ8" si="6">1/(AI6*AI6)</f>
        <v>9.9233348325294427E-6</v>
      </c>
      <c r="AR6" s="97"/>
      <c r="AS6" s="97"/>
      <c r="AT6" s="50">
        <f>AH6/(AG$4*1000)</f>
        <v>1.9355490284658886E-2</v>
      </c>
      <c r="AU6" s="50">
        <f>AU5+AT6</f>
        <v>0.31598290934656065</v>
      </c>
      <c r="AV6" s="50">
        <f t="shared" ref="AV6:AV8" si="7">AU6/AF6</f>
        <v>4.5140415620937235E-2</v>
      </c>
      <c r="AW6" s="11">
        <f t="shared" ref="AW6:AW8" si="8">LN(AU6)</f>
        <v>-1.1520671512041629</v>
      </c>
      <c r="AX6" s="97"/>
      <c r="AY6" s="97"/>
      <c r="AZ6" s="11">
        <f t="shared" ref="AZ6:AZ8" si="9">1/AU6</f>
        <v>3.1647281242772207</v>
      </c>
      <c r="BA6" s="97"/>
      <c r="BB6" s="97"/>
      <c r="BC6" s="11">
        <f t="shared" ref="BC6:BC8" si="10">1/(AU6*AU6)</f>
        <v>10.015504100591217</v>
      </c>
      <c r="BD6" s="97"/>
      <c r="BE6" s="97"/>
      <c r="BF6" s="50"/>
      <c r="BG6" s="50"/>
      <c r="BH6" s="7" t="s">
        <v>319</v>
      </c>
    </row>
    <row r="7" spans="1:112" x14ac:dyDescent="0.35">
      <c r="B7" s="7" t="s">
        <v>321</v>
      </c>
      <c r="C7" s="9">
        <v>1000</v>
      </c>
      <c r="D7" s="9">
        <f t="shared" si="0"/>
        <v>1</v>
      </c>
      <c r="E7" s="9">
        <v>20.5</v>
      </c>
      <c r="F7" s="14"/>
      <c r="G7" s="11">
        <f>(E7-'Calibration lines '!$B$7)/'Calibration lines '!$B$8</f>
        <v>22.612204724409448</v>
      </c>
      <c r="H7" s="15"/>
      <c r="I7" s="11">
        <f t="shared" si="1"/>
        <v>22.612204724409448</v>
      </c>
      <c r="J7" s="15"/>
      <c r="K7" s="89"/>
      <c r="L7" s="95"/>
      <c r="M7" s="90"/>
      <c r="O7" s="7" t="s">
        <v>320</v>
      </c>
      <c r="P7" s="11">
        <f t="shared" si="2"/>
        <v>8.2415604867573382</v>
      </c>
      <c r="Q7" s="11" t="e">
        <f t="shared" si="2"/>
        <v>#DIV/0!</v>
      </c>
      <c r="V7" s="25"/>
      <c r="W7" s="10"/>
      <c r="Y7" s="7" t="s">
        <v>320</v>
      </c>
      <c r="AA7" s="11">
        <f>(I6+I11+I16)/3</f>
        <v>18.462567644953474</v>
      </c>
      <c r="AB7" s="50">
        <f t="shared" si="3"/>
        <v>1.8377418937211062E-2</v>
      </c>
      <c r="AC7" s="50">
        <f t="shared" ref="AC7:AC9" si="11">AC6+AB7</f>
        <v>0.33436032828377171</v>
      </c>
      <c r="AD7" s="79"/>
      <c r="AE7" s="96"/>
      <c r="AF7" s="7">
        <v>14</v>
      </c>
      <c r="AH7" s="11">
        <f t="shared" ref="AH7:AH9" si="12">AA7</f>
        <v>18.462567644953474</v>
      </c>
      <c r="AI7" s="11">
        <f t="shared" ref="AI7:AI8" si="13">AH7+AI6</f>
        <v>335.90953113815323</v>
      </c>
      <c r="AJ7" s="11">
        <f t="shared" ref="AJ7:AJ8" si="14">AI7/AF7</f>
        <v>23.993537938439516</v>
      </c>
      <c r="AK7" s="11">
        <f t="shared" si="4"/>
        <v>5.8168418711432039</v>
      </c>
      <c r="AL7" s="97"/>
      <c r="AM7" s="97"/>
      <c r="AN7" s="11">
        <f t="shared" si="5"/>
        <v>2.9769920389330034E-3</v>
      </c>
      <c r="AO7" s="97"/>
      <c r="AP7" s="97"/>
      <c r="AQ7" s="11">
        <f t="shared" si="6"/>
        <v>8.8624815998704815E-6</v>
      </c>
      <c r="AR7" s="97"/>
      <c r="AS7" s="97"/>
      <c r="AT7" s="50">
        <f>AH7/(AG$4*1000)</f>
        <v>1.8377418937211062E-2</v>
      </c>
      <c r="AU7" s="50">
        <f>AU6+AT7</f>
        <v>0.33436032828377171</v>
      </c>
      <c r="AV7" s="50">
        <f t="shared" si="7"/>
        <v>2.3882880591697981E-2</v>
      </c>
      <c r="AW7" s="11">
        <f t="shared" si="8"/>
        <v>-1.0955360403243766</v>
      </c>
      <c r="AX7" s="97"/>
      <c r="AY7" s="97"/>
      <c r="AZ7" s="11">
        <f t="shared" si="9"/>
        <v>2.9907854353800603</v>
      </c>
      <c r="BA7" s="97"/>
      <c r="BB7" s="97"/>
      <c r="BC7" s="11">
        <f t="shared" si="10"/>
        <v>8.9447975204814956</v>
      </c>
      <c r="BD7" s="97"/>
      <c r="BE7" s="97"/>
      <c r="BF7" s="50"/>
      <c r="BG7" s="50"/>
      <c r="BH7" s="7" t="s">
        <v>320</v>
      </c>
    </row>
    <row r="8" spans="1:112" x14ac:dyDescent="0.35">
      <c r="B8" s="62" t="s">
        <v>322</v>
      </c>
      <c r="C8" s="64">
        <v>820</v>
      </c>
      <c r="D8" s="64">
        <f t="shared" si="0"/>
        <v>0.82</v>
      </c>
      <c r="E8" s="64">
        <v>956.5</v>
      </c>
      <c r="F8" s="64"/>
      <c r="G8" s="63">
        <f>(E8-'Calibration lines '!$B$7)/'Calibration lines '!$B$8</f>
        <v>1056.7682534001431</v>
      </c>
      <c r="H8" s="63"/>
      <c r="I8" s="63">
        <f t="shared" si="1"/>
        <v>866.54996778811721</v>
      </c>
      <c r="J8" s="15"/>
      <c r="K8" s="89"/>
      <c r="L8" s="95"/>
      <c r="M8" s="90"/>
      <c r="O8" s="7" t="s">
        <v>321</v>
      </c>
      <c r="P8" s="11">
        <f t="shared" si="2"/>
        <v>7.5123478883321404</v>
      </c>
      <c r="Q8" s="11" t="e">
        <f t="shared" si="2"/>
        <v>#DIV/0!</v>
      </c>
      <c r="V8" s="25"/>
      <c r="W8" s="10"/>
      <c r="Y8" s="7" t="s">
        <v>321</v>
      </c>
      <c r="AA8" s="11">
        <f>(I7+I12+I17)/3</f>
        <v>7.5123478883321404</v>
      </c>
      <c r="AB8" s="50">
        <f t="shared" si="3"/>
        <v>7.4777012060773147E-3</v>
      </c>
      <c r="AC8" s="50">
        <f t="shared" si="11"/>
        <v>0.34183802948984904</v>
      </c>
      <c r="AD8" s="79"/>
      <c r="AE8" s="96"/>
      <c r="AF8" s="7">
        <v>28</v>
      </c>
      <c r="AH8" s="11">
        <f t="shared" si="12"/>
        <v>7.5123478883321404</v>
      </c>
      <c r="AI8" s="11">
        <f t="shared" si="13"/>
        <v>343.42187902648539</v>
      </c>
      <c r="AJ8" s="11">
        <f t="shared" si="14"/>
        <v>12.265067108088763</v>
      </c>
      <c r="AK8" s="11">
        <f t="shared" si="4"/>
        <v>5.8389596593822057</v>
      </c>
      <c r="AL8" s="97"/>
      <c r="AM8" s="97"/>
      <c r="AN8" s="11">
        <f t="shared" si="5"/>
        <v>2.911870387625705E-3</v>
      </c>
      <c r="AO8" s="97"/>
      <c r="AP8" s="97"/>
      <c r="AQ8" s="11">
        <f t="shared" si="6"/>
        <v>8.4789891543314744E-6</v>
      </c>
      <c r="AR8" s="97"/>
      <c r="AS8" s="97"/>
      <c r="AT8" s="50">
        <f>AH8/(AG$4*1000)</f>
        <v>7.4777012060773147E-3</v>
      </c>
      <c r="AU8" s="50">
        <f>AU7+AT8</f>
        <v>0.34183802948984904</v>
      </c>
      <c r="AV8" s="50">
        <f t="shared" si="7"/>
        <v>1.2208501053208894E-2</v>
      </c>
      <c r="AW8" s="11">
        <f t="shared" si="8"/>
        <v>-1.0734182520853752</v>
      </c>
      <c r="AX8" s="97"/>
      <c r="AY8" s="97"/>
      <c r="AZ8" s="11">
        <f t="shared" si="9"/>
        <v>2.925362053755038</v>
      </c>
      <c r="BA8" s="97"/>
      <c r="BB8" s="97"/>
      <c r="BC8" s="11">
        <f t="shared" si="10"/>
        <v>8.5577431455498925</v>
      </c>
      <c r="BD8" s="97"/>
      <c r="BE8" s="97"/>
      <c r="BF8" s="50"/>
      <c r="BG8" s="50"/>
      <c r="BH8" s="7" t="s">
        <v>321</v>
      </c>
    </row>
    <row r="9" spans="1:112" x14ac:dyDescent="0.35">
      <c r="A9" s="9" t="s">
        <v>121</v>
      </c>
      <c r="B9" s="7" t="s">
        <v>318</v>
      </c>
      <c r="C9" s="9">
        <v>740</v>
      </c>
      <c r="D9" s="9">
        <f t="shared" si="0"/>
        <v>0.74</v>
      </c>
      <c r="E9" s="9">
        <v>107.4</v>
      </c>
      <c r="F9" s="14"/>
      <c r="G9" s="11">
        <f>(E9-'Calibration lines '!$B$7)/'Calibration lines '!$B$8</f>
        <v>118.62519685039371</v>
      </c>
      <c r="H9" s="15"/>
      <c r="I9" s="11">
        <f t="shared" si="1"/>
        <v>87.782645669291341</v>
      </c>
      <c r="J9" s="15"/>
      <c r="K9" s="91">
        <f>SUM(I9:I12)</f>
        <v>89.568979778095922</v>
      </c>
      <c r="L9" s="95">
        <f>SUM(I9:I12)/('Total Values (Molar Ratio)'!C$47*1000)</f>
        <v>8.9155890817309041E-2</v>
      </c>
      <c r="M9" s="90"/>
      <c r="O9" s="62" t="s">
        <v>322</v>
      </c>
      <c r="P9" s="63">
        <f t="shared" si="2"/>
        <v>644.43167501789537</v>
      </c>
      <c r="Q9" s="63" t="e">
        <f t="shared" si="2"/>
        <v>#DIV/0!</v>
      </c>
      <c r="S9" s="7"/>
      <c r="U9" s="7"/>
      <c r="V9" s="25"/>
      <c r="W9" s="10"/>
      <c r="Y9" s="62" t="s">
        <v>322</v>
      </c>
      <c r="Z9" s="64"/>
      <c r="AA9" s="63">
        <f>(I8+I13+I18)/3</f>
        <v>434.9340264853256</v>
      </c>
      <c r="AB9" s="65">
        <f t="shared" si="3"/>
        <v>0.43292812616741655</v>
      </c>
      <c r="AC9" s="65">
        <f t="shared" si="11"/>
        <v>0.77476615565726559</v>
      </c>
      <c r="AD9" s="79"/>
      <c r="AE9" s="96"/>
      <c r="AF9" s="62">
        <v>35</v>
      </c>
      <c r="AG9" s="64"/>
      <c r="AH9" s="63">
        <f t="shared" si="12"/>
        <v>434.9340264853256</v>
      </c>
      <c r="AI9" s="63"/>
      <c r="AJ9" s="63"/>
      <c r="AK9" s="65"/>
      <c r="AL9" s="65"/>
      <c r="AM9" s="65"/>
      <c r="AN9" s="65"/>
      <c r="AO9" s="65"/>
      <c r="AP9" s="65"/>
      <c r="AQ9" s="65"/>
      <c r="AR9" s="65"/>
      <c r="AS9" s="65"/>
      <c r="AT9" s="65">
        <f>AH9/(AG$4*1000)</f>
        <v>0.43292812616741655</v>
      </c>
      <c r="AU9" s="65">
        <f>AU8+AT9</f>
        <v>0.77476615565726559</v>
      </c>
      <c r="AV9" s="50"/>
      <c r="AW9" s="65"/>
      <c r="AX9" s="65"/>
      <c r="AY9" s="65"/>
      <c r="AZ9" s="65"/>
      <c r="BA9" s="65"/>
      <c r="BB9" s="65"/>
      <c r="BC9" s="65"/>
      <c r="BD9" s="65"/>
      <c r="BE9" s="65"/>
      <c r="BF9" s="50"/>
      <c r="BG9" s="50"/>
      <c r="BH9" s="7" t="s">
        <v>322</v>
      </c>
    </row>
    <row r="10" spans="1:112" x14ac:dyDescent="0.35">
      <c r="B10" s="7" t="s">
        <v>319</v>
      </c>
      <c r="C10" s="9">
        <v>810</v>
      </c>
      <c r="D10" s="9">
        <f t="shared" si="0"/>
        <v>0.81</v>
      </c>
      <c r="E10" s="9">
        <v>1.2</v>
      </c>
      <c r="F10" s="14"/>
      <c r="G10" s="11">
        <f>(E10-'Calibration lines '!$B$7)/'Calibration lines '!$B$8</f>
        <v>1.288260558339299</v>
      </c>
      <c r="H10" s="15"/>
      <c r="I10" s="11">
        <f t="shared" si="1"/>
        <v>1.0434910522548322</v>
      </c>
      <c r="J10" s="15"/>
      <c r="K10" s="89"/>
      <c r="L10" s="95"/>
      <c r="M10" s="90"/>
      <c r="O10" s="9" t="s">
        <v>11</v>
      </c>
      <c r="V10" s="25"/>
      <c r="W10" s="10"/>
      <c r="Y10" s="9" t="s">
        <v>11</v>
      </c>
      <c r="Z10" s="9">
        <f>'Total Values (Molar Ratio)'!C48</f>
        <v>0.66511764705882581</v>
      </c>
      <c r="AE10" s="96"/>
      <c r="AF10" s="9" t="s">
        <v>11</v>
      </c>
      <c r="AG10" s="9">
        <f>'Total Values (Molar Ratio)'!C48</f>
        <v>0.66511764705882581</v>
      </c>
      <c r="BH10" s="9" t="s">
        <v>11</v>
      </c>
    </row>
    <row r="11" spans="1:112" x14ac:dyDescent="0.35">
      <c r="B11" s="7" t="s">
        <v>320</v>
      </c>
      <c r="C11" s="9">
        <v>2230</v>
      </c>
      <c r="D11" s="9">
        <f t="shared" si="0"/>
        <v>2.23</v>
      </c>
      <c r="E11" s="9">
        <v>0.35</v>
      </c>
      <c r="F11" s="14"/>
      <c r="G11" s="11">
        <f>(E11-'Calibration lines '!$B$7)/'Calibration lines '!$B$8</f>
        <v>0.34912312097351533</v>
      </c>
      <c r="H11" s="15"/>
      <c r="I11" s="11">
        <f t="shared" si="1"/>
        <v>0.77854455977093917</v>
      </c>
      <c r="J11" s="15"/>
      <c r="K11" s="89"/>
      <c r="L11" s="95"/>
      <c r="M11" s="90"/>
      <c r="O11" s="7" t="s">
        <v>318</v>
      </c>
      <c r="P11" s="11">
        <f>AVERAGE(G19,G24,G29)</f>
        <v>429.24030064423761</v>
      </c>
      <c r="Q11" s="11">
        <f>AVERAGE(H19,H24,H29)</f>
        <v>3.0715154342067157E-2</v>
      </c>
      <c r="R11" s="11">
        <f>AVERAGE(P11:P14)</f>
        <v>148.75493557623477</v>
      </c>
      <c r="S11" s="11">
        <f>AVERAGE(Q11:Q14)</f>
        <v>3.0715154342067157E-2</v>
      </c>
      <c r="T11" s="11">
        <f>AVERAGE(K19:K33)</f>
        <v>353.0970790980673</v>
      </c>
      <c r="U11" s="11">
        <f>AVERAGE(M19:M33)</f>
        <v>8.7742957570505167E-2</v>
      </c>
      <c r="V11" s="25">
        <f>T11/1000</f>
        <v>0.35309707909806731</v>
      </c>
      <c r="W11" s="10">
        <f t="shared" ref="W11:W17" si="15">U11/1000</f>
        <v>8.7742957570505163E-5</v>
      </c>
      <c r="Y11" s="7" t="s">
        <v>318</v>
      </c>
      <c r="AA11" s="9">
        <f>(I19+I24+I29)/3</f>
        <v>230.27727881173942</v>
      </c>
      <c r="AB11" s="50">
        <f>AA11/(Z$10*1000)</f>
        <v>0.34622037143358597</v>
      </c>
      <c r="AC11" s="50">
        <f>AB11</f>
        <v>0.34622037143358597</v>
      </c>
      <c r="AD11" s="79"/>
      <c r="AE11" s="96"/>
      <c r="AF11" s="7">
        <v>1</v>
      </c>
      <c r="AH11" s="9">
        <f>AA11</f>
        <v>230.27727881173942</v>
      </c>
      <c r="AI11" s="11">
        <f>AH11</f>
        <v>230.27727881173942</v>
      </c>
      <c r="AJ11" s="11">
        <f>AI11/AF11</f>
        <v>230.27727881173942</v>
      </c>
      <c r="AK11" s="11">
        <f>LN(AI11)</f>
        <v>5.4392841428702337</v>
      </c>
      <c r="AL11" s="97">
        <f>-(SLOPE(AK11:AK14,$AF11:$AF14))</f>
        <v>-1.2941269269278546E-2</v>
      </c>
      <c r="AM11" s="97">
        <f>(RSQ(AK11:AK14,$AF11:$AF14))</f>
        <v>0.56040044516249565</v>
      </c>
      <c r="AN11" s="11">
        <f>1/AI11</f>
        <v>4.342590832930324E-3</v>
      </c>
      <c r="AO11" s="97">
        <f>(SLOPE(AN11:AN14,$AF11:$AF14))</f>
        <v>-4.5248008306068809E-5</v>
      </c>
      <c r="AP11" s="97">
        <f>(RSQ(AN11:AN14,$AF11:$AF14))</f>
        <v>0.53784516497631041</v>
      </c>
      <c r="AQ11" s="11">
        <f>1/(AI11*AI11)</f>
        <v>1.8858095142250487E-5</v>
      </c>
      <c r="AR11" s="97">
        <f>(SLOPE(AQ11:AQ14,$AF11:$AF14))/2</f>
        <v>-1.607805151204113E-7</v>
      </c>
      <c r="AS11" s="97">
        <f>(RSQ(AQ11:AQ14,$AF11:$AF14))</f>
        <v>0.51815682953732245</v>
      </c>
      <c r="AT11" s="50">
        <f>AH11/(AG$10*1000)</f>
        <v>0.34622037143358597</v>
      </c>
      <c r="AU11" s="50">
        <f>AT11</f>
        <v>0.34622037143358597</v>
      </c>
      <c r="AV11" s="50">
        <f>AU11/AF11</f>
        <v>0.34622037143358597</v>
      </c>
      <c r="AW11" s="11">
        <f>LN(AU11)</f>
        <v>-1.0606797950087985</v>
      </c>
      <c r="AX11" s="97">
        <f>-(SLOPE(AW11:AW14,$AF11:$AF14))</f>
        <v>-1.2941269269278514E-2</v>
      </c>
      <c r="AY11" s="97">
        <f>(RSQ(AW11:AW14,$AF11:$AF14))</f>
        <v>0.56040044516249432</v>
      </c>
      <c r="AZ11" s="11">
        <f>1/AU11</f>
        <v>2.888333796937844</v>
      </c>
      <c r="BA11" s="97">
        <f>(SLOPE(AZ11:AZ14,$AF11:$AF14))</f>
        <v>-3.0095248818630693E-2</v>
      </c>
      <c r="BB11" s="97">
        <f>(RSQ(AZ11:AZ14,$AF11:$AF14))</f>
        <v>0.5378451649763103</v>
      </c>
      <c r="BC11" s="11">
        <f>1/(AU11*AU11)</f>
        <v>8.3424721225333816</v>
      </c>
      <c r="BD11" s="97">
        <f>-(SLOPE(BC11:BC14,$AF11:$AF14))</f>
        <v>0.14225264589247574</v>
      </c>
      <c r="BE11" s="97">
        <f>(RSQ(BC11:BC14,$AF11:$AF14))</f>
        <v>0.51815682953732223</v>
      </c>
      <c r="BF11" s="50"/>
      <c r="BG11" s="50"/>
      <c r="BH11" s="7" t="s">
        <v>318</v>
      </c>
    </row>
    <row r="12" spans="1:112" x14ac:dyDescent="0.35">
      <c r="B12" s="7" t="s">
        <v>321</v>
      </c>
      <c r="C12" s="9">
        <v>950</v>
      </c>
      <c r="D12" s="9">
        <f t="shared" si="0"/>
        <v>0.95</v>
      </c>
      <c r="E12" s="9">
        <v>0</v>
      </c>
      <c r="F12" s="14"/>
      <c r="G12" s="11">
        <f>(E12-'Calibration lines '!$B$7)/'Calibration lines '!$B$8</f>
        <v>-3.7580529706513259E-2</v>
      </c>
      <c r="H12" s="15"/>
      <c r="I12" s="11">
        <f t="shared" si="1"/>
        <v>-3.5701503221187592E-2</v>
      </c>
      <c r="J12" s="15"/>
      <c r="K12" s="89"/>
      <c r="L12" s="95"/>
      <c r="M12" s="90"/>
      <c r="O12" s="7" t="s">
        <v>319</v>
      </c>
      <c r="P12" s="11">
        <f>AVERAGE(G20,G30,G25)</f>
        <v>137.07648532569792</v>
      </c>
      <c r="Q12" s="11">
        <f>AVERAGE(H20,H30,H25)</f>
        <v>3.0715154342067157E-2</v>
      </c>
      <c r="V12" s="25"/>
      <c r="W12" s="10"/>
      <c r="Y12" s="7" t="s">
        <v>319</v>
      </c>
      <c r="AA12" s="9">
        <f>(I20+I25+I30)/3</f>
        <v>100.46679098067285</v>
      </c>
      <c r="AB12" s="50">
        <f t="shared" ref="AB12:AB15" si="16">AA12/(Z$10*1000)</f>
        <v>0.15105115827995336</v>
      </c>
      <c r="AC12" s="50">
        <f>AC11+AB12</f>
        <v>0.49727152971353933</v>
      </c>
      <c r="AD12" s="79"/>
      <c r="AE12" s="96"/>
      <c r="AF12" s="7">
        <v>7</v>
      </c>
      <c r="AH12" s="9">
        <f t="shared" ref="AH12:AH15" si="17">AA12</f>
        <v>100.46679098067285</v>
      </c>
      <c r="AI12" s="11">
        <f>AH12+AI11</f>
        <v>330.74406979241229</v>
      </c>
      <c r="AJ12" s="11">
        <f t="shared" ref="AJ12:AJ14" si="18">AI12/AF12</f>
        <v>47.249152827487471</v>
      </c>
      <c r="AK12" s="11">
        <f t="shared" ref="AK12:AK14" si="19">LN(AI12)</f>
        <v>5.8013448732573432</v>
      </c>
      <c r="AL12" s="97"/>
      <c r="AM12" s="97"/>
      <c r="AN12" s="11">
        <f t="shared" ref="AN12:AN14" si="20">1/AI12</f>
        <v>3.0234858046816636E-3</v>
      </c>
      <c r="AO12" s="97"/>
      <c r="AP12" s="97"/>
      <c r="AQ12" s="11">
        <f t="shared" ref="AQ12:AQ14" si="21">1/(AI12*AI12)</f>
        <v>9.1414664111115279E-6</v>
      </c>
      <c r="AR12" s="97"/>
      <c r="AS12" s="97"/>
      <c r="AT12" s="50">
        <f>AH12/(AG$10*1000)</f>
        <v>0.15105115827995336</v>
      </c>
      <c r="AU12" s="50">
        <f>AU11+AT12</f>
        <v>0.49727152971353933</v>
      </c>
      <c r="AV12" s="50">
        <f t="shared" ref="AV12:AV14" si="22">AU12/AF12</f>
        <v>7.1038789959077045E-2</v>
      </c>
      <c r="AW12" s="11">
        <f t="shared" ref="AW12:AW14" si="23">LN(AU12)</f>
        <v>-0.69861906462168899</v>
      </c>
      <c r="AX12" s="97"/>
      <c r="AY12" s="97"/>
      <c r="AZ12" s="11">
        <f t="shared" ref="AZ12:AZ14" si="24">1/AU12</f>
        <v>2.0109737643256289</v>
      </c>
      <c r="BA12" s="97"/>
      <c r="BB12" s="97"/>
      <c r="BC12" s="11">
        <f t="shared" ref="BC12:BC14" si="25">1/(AU12*AU12)</f>
        <v>4.0440154808059896</v>
      </c>
      <c r="BD12" s="97"/>
      <c r="BE12" s="97"/>
      <c r="BF12" s="50"/>
      <c r="BG12" s="50"/>
      <c r="BH12" s="7" t="s">
        <v>319</v>
      </c>
    </row>
    <row r="13" spans="1:112" x14ac:dyDescent="0.35">
      <c r="B13" s="62" t="s">
        <v>322</v>
      </c>
      <c r="C13" s="64">
        <v>500</v>
      </c>
      <c r="D13" s="64">
        <f t="shared" si="0"/>
        <v>0.5</v>
      </c>
      <c r="E13" s="64">
        <v>793.4</v>
      </c>
      <c r="F13" s="64"/>
      <c r="G13" s="63">
        <f>(E13-'Calibration lines '!$B$7)/'Calibration lines '!$B$8</f>
        <v>876.56435218324975</v>
      </c>
      <c r="H13" s="63"/>
      <c r="I13" s="63">
        <f t="shared" si="1"/>
        <v>438.28217609162488</v>
      </c>
      <c r="J13" s="15"/>
      <c r="K13" s="89"/>
      <c r="L13" s="95"/>
      <c r="M13" s="90"/>
      <c r="O13" s="7" t="s">
        <v>320</v>
      </c>
      <c r="P13" s="11">
        <f>AVERAGE(G26,G36,G21)</f>
        <v>17.640300644237652</v>
      </c>
      <c r="Q13" s="11">
        <f>AVERAGE(H26,H36,H21)</f>
        <v>3.0715154342067157E-2</v>
      </c>
      <c r="V13" s="25"/>
      <c r="W13" s="10"/>
      <c r="Y13" s="7" t="s">
        <v>320</v>
      </c>
      <c r="AA13" s="9">
        <f>(I21+I26+I31)/3</f>
        <v>14.381279527559053</v>
      </c>
      <c r="AB13" s="50">
        <f t="shared" si="16"/>
        <v>2.1622159013752813E-2</v>
      </c>
      <c r="AC13" s="50">
        <f t="shared" ref="AC13:AC15" si="26">AC12+AB13</f>
        <v>0.51889368872729213</v>
      </c>
      <c r="AD13" s="79"/>
      <c r="AE13" s="96"/>
      <c r="AF13" s="7">
        <v>14</v>
      </c>
      <c r="AH13" s="9">
        <f t="shared" si="17"/>
        <v>14.381279527559053</v>
      </c>
      <c r="AI13" s="11">
        <f t="shared" ref="AI13:AI14" si="27">AH13+AI12</f>
        <v>345.12534931997135</v>
      </c>
      <c r="AJ13" s="11">
        <f t="shared" si="18"/>
        <v>24.65181066571224</v>
      </c>
      <c r="AK13" s="11">
        <f t="shared" si="19"/>
        <v>5.8439076824047396</v>
      </c>
      <c r="AL13" s="97"/>
      <c r="AM13" s="97"/>
      <c r="AN13" s="11">
        <f t="shared" si="20"/>
        <v>2.8974979727521655E-3</v>
      </c>
      <c r="AO13" s="97"/>
      <c r="AP13" s="97"/>
      <c r="AQ13" s="11">
        <f t="shared" si="21"/>
        <v>8.3954945021029095E-6</v>
      </c>
      <c r="AR13" s="97"/>
      <c r="AS13" s="97"/>
      <c r="AT13" s="50">
        <f>AH13/(AG$10*1000)</f>
        <v>2.1622159013752813E-2</v>
      </c>
      <c r="AU13" s="50">
        <f>AU12+AT13</f>
        <v>0.51889368872729213</v>
      </c>
      <c r="AV13" s="50">
        <f t="shared" si="22"/>
        <v>3.7063834909092298E-2</v>
      </c>
      <c r="AW13" s="11">
        <f t="shared" si="23"/>
        <v>-0.65605625547429303</v>
      </c>
      <c r="AX13" s="97"/>
      <c r="AY13" s="97"/>
      <c r="AZ13" s="11">
        <f t="shared" si="24"/>
        <v>1.9271770339946384</v>
      </c>
      <c r="BA13" s="97"/>
      <c r="BB13" s="97"/>
      <c r="BC13" s="11">
        <f t="shared" si="25"/>
        <v>3.7140113203563714</v>
      </c>
      <c r="BD13" s="97"/>
      <c r="BE13" s="97"/>
      <c r="BF13" s="50"/>
      <c r="BG13" s="50"/>
      <c r="BH13" s="7" t="s">
        <v>320</v>
      </c>
    </row>
    <row r="14" spans="1:112" x14ac:dyDescent="0.35">
      <c r="A14" s="9" t="s">
        <v>138</v>
      </c>
      <c r="B14" s="7" t="s">
        <v>318</v>
      </c>
      <c r="C14" s="9">
        <v>750</v>
      </c>
      <c r="D14" s="9">
        <f t="shared" si="0"/>
        <v>0.75</v>
      </c>
      <c r="E14" s="9">
        <v>103.7</v>
      </c>
      <c r="F14" s="14"/>
      <c r="G14" s="11">
        <f>(E14-'Calibration lines '!$B$7)/'Calibration lines '!$B$8</f>
        <v>114.53718682891909</v>
      </c>
      <c r="H14" s="15"/>
      <c r="I14" s="11">
        <f t="shared" si="1"/>
        <v>85.902890121689325</v>
      </c>
      <c r="J14" s="15"/>
      <c r="K14" s="91">
        <f>SUM(I14:I17)</f>
        <v>89.523409627773788</v>
      </c>
      <c r="L14" s="95">
        <f>SUM(I14:I17)/('Total Values (Molar Ratio)'!C$47*1000)</f>
        <v>8.9110530834905388E-2</v>
      </c>
      <c r="M14" s="90"/>
      <c r="O14" s="7" t="s">
        <v>321</v>
      </c>
      <c r="P14" s="11">
        <f>AVERAGE(G27,G22,G32)</f>
        <v>11.062655690765927</v>
      </c>
      <c r="Q14" s="11">
        <f>AVERAGE(H27,H22,H32)</f>
        <v>3.0715154342067157E-2</v>
      </c>
      <c r="V14" s="25"/>
      <c r="W14" s="10"/>
      <c r="Y14" s="7" t="s">
        <v>321</v>
      </c>
      <c r="AA14" s="9">
        <f>(I22+I27+I32)/3</f>
        <v>7.97172977809592</v>
      </c>
      <c r="AB14" s="50">
        <f t="shared" si="16"/>
        <v>1.198544319692493E-2</v>
      </c>
      <c r="AC14" s="50">
        <f t="shared" si="26"/>
        <v>0.5308791319242171</v>
      </c>
      <c r="AD14" s="79"/>
      <c r="AE14" s="96"/>
      <c r="AF14" s="7">
        <v>28</v>
      </c>
      <c r="AH14" s="9">
        <f t="shared" si="17"/>
        <v>7.97172977809592</v>
      </c>
      <c r="AI14" s="11">
        <f t="shared" si="27"/>
        <v>353.0970790980673</v>
      </c>
      <c r="AJ14" s="11">
        <f t="shared" si="18"/>
        <v>12.610609967788118</v>
      </c>
      <c r="AK14" s="11">
        <f t="shared" si="19"/>
        <v>5.866743030733792</v>
      </c>
      <c r="AL14" s="97"/>
      <c r="AM14" s="97"/>
      <c r="AN14" s="11">
        <f t="shared" si="20"/>
        <v>2.8320823342814039E-3</v>
      </c>
      <c r="AO14" s="97"/>
      <c r="AP14" s="97"/>
      <c r="AQ14" s="11">
        <f t="shared" si="21"/>
        <v>8.020690348148807E-6</v>
      </c>
      <c r="AR14" s="97"/>
      <c r="AS14" s="97"/>
      <c r="AT14" s="50">
        <f>AH14/(AG$10*1000)</f>
        <v>1.198544319692493E-2</v>
      </c>
      <c r="AU14" s="50">
        <f>AU13+AT14</f>
        <v>0.5308791319242171</v>
      </c>
      <c r="AV14" s="50">
        <f t="shared" si="22"/>
        <v>1.8959968997293467E-2</v>
      </c>
      <c r="AW14" s="11">
        <f t="shared" si="23"/>
        <v>-0.63322090714524093</v>
      </c>
      <c r="AX14" s="97"/>
      <c r="AY14" s="97"/>
      <c r="AZ14" s="11">
        <f t="shared" si="24"/>
        <v>1.8836679384541146</v>
      </c>
      <c r="BA14" s="97"/>
      <c r="BB14" s="97"/>
      <c r="BC14" s="11">
        <f t="shared" si="25"/>
        <v>3.548204902359974</v>
      </c>
      <c r="BD14" s="97"/>
      <c r="BE14" s="97"/>
      <c r="BF14" s="50"/>
      <c r="BG14" s="50"/>
      <c r="BH14" s="7" t="s">
        <v>321</v>
      </c>
    </row>
    <row r="15" spans="1:112" x14ac:dyDescent="0.35">
      <c r="B15" s="7" t="s">
        <v>319</v>
      </c>
      <c r="C15" s="9">
        <v>870</v>
      </c>
      <c r="D15" s="9">
        <f t="shared" si="0"/>
        <v>0.87</v>
      </c>
      <c r="E15" s="9">
        <v>3.3</v>
      </c>
      <c r="F15" s="14"/>
      <c r="G15" s="11">
        <f>(E15-'Calibration lines '!$B$7)/'Calibration lines '!$B$8</f>
        <v>3.6084824624194702</v>
      </c>
      <c r="H15" s="15"/>
      <c r="I15" s="11">
        <f t="shared" si="1"/>
        <v>3.1393797423049392</v>
      </c>
      <c r="J15" s="15"/>
      <c r="K15" s="89"/>
      <c r="L15" s="95"/>
      <c r="M15" s="90"/>
      <c r="O15" s="62" t="s">
        <v>322</v>
      </c>
      <c r="P15" s="63">
        <f>AVERAGE(G23,G33,G28)</f>
        <v>1.3619183965640662</v>
      </c>
      <c r="Q15" s="63">
        <f>AVERAGE(H23,H33,H28)</f>
        <v>3.0715154342067157E-2</v>
      </c>
      <c r="V15" s="25"/>
      <c r="W15" s="10"/>
      <c r="Y15" s="62" t="s">
        <v>322</v>
      </c>
      <c r="Z15" s="64"/>
      <c r="AA15" s="64">
        <f>(I23+I28+I33)/3</f>
        <v>1.0932927702219044</v>
      </c>
      <c r="AB15" s="65">
        <f t="shared" si="16"/>
        <v>1.6437584764988336E-3</v>
      </c>
      <c r="AC15" s="65">
        <f t="shared" si="26"/>
        <v>0.53252289040071588</v>
      </c>
      <c r="AD15" s="79"/>
      <c r="AE15" s="96"/>
      <c r="AF15" s="62">
        <v>35</v>
      </c>
      <c r="AG15" s="64"/>
      <c r="AH15" s="64">
        <f t="shared" si="17"/>
        <v>1.0932927702219044</v>
      </c>
      <c r="AI15" s="64"/>
      <c r="AJ15" s="64"/>
      <c r="AK15" s="65"/>
      <c r="AL15" s="65"/>
      <c r="AM15" s="65"/>
      <c r="AN15" s="65"/>
      <c r="AO15" s="65"/>
      <c r="AP15" s="65"/>
      <c r="AQ15" s="65"/>
      <c r="AR15" s="65"/>
      <c r="AS15" s="65"/>
      <c r="AT15" s="65">
        <f>AH15/(AG$10*1000)</f>
        <v>1.6437584764988336E-3</v>
      </c>
      <c r="AU15" s="65">
        <f>AU14+AT15</f>
        <v>0.53252289040071588</v>
      </c>
      <c r="AV15" s="50"/>
      <c r="AW15" s="65"/>
      <c r="AX15" s="65"/>
      <c r="AY15" s="65"/>
      <c r="AZ15" s="65"/>
      <c r="BA15" s="65"/>
      <c r="BB15" s="65"/>
      <c r="BC15" s="65"/>
      <c r="BD15" s="65"/>
      <c r="BE15" s="65"/>
      <c r="BF15" s="50"/>
      <c r="BG15" s="50"/>
      <c r="BH15" s="7" t="s">
        <v>322</v>
      </c>
    </row>
    <row r="16" spans="1:112" x14ac:dyDescent="0.35">
      <c r="B16" s="7" t="s">
        <v>320</v>
      </c>
      <c r="C16" s="9">
        <v>950</v>
      </c>
      <c r="D16" s="9">
        <f t="shared" si="0"/>
        <v>0.95</v>
      </c>
      <c r="E16" s="9">
        <v>0.53</v>
      </c>
      <c r="F16" s="14"/>
      <c r="G16" s="11">
        <f>(E16-'Calibration lines '!$B$7)/'Calibration lines '!$B$8</f>
        <v>0.54799928418038724</v>
      </c>
      <c r="H16" s="15"/>
      <c r="I16" s="11">
        <f t="shared" si="1"/>
        <v>0.52059931997136788</v>
      </c>
      <c r="J16" s="15"/>
      <c r="K16" s="89"/>
      <c r="L16" s="95"/>
      <c r="M16" s="90"/>
      <c r="O16" s="9" t="s">
        <v>12</v>
      </c>
      <c r="P16" s="11"/>
      <c r="V16" s="25"/>
      <c r="W16" s="10"/>
      <c r="Y16" s="9" t="s">
        <v>12</v>
      </c>
      <c r="Z16" s="9">
        <f>'Total Values '!$B$35</f>
        <v>1.0124</v>
      </c>
      <c r="AE16" s="96"/>
      <c r="AF16" s="9" t="s">
        <v>12</v>
      </c>
      <c r="BH16" s="9" t="s">
        <v>12</v>
      </c>
    </row>
    <row r="17" spans="1:60" x14ac:dyDescent="0.35">
      <c r="B17" s="7" t="s">
        <v>321</v>
      </c>
      <c r="C17" s="9">
        <v>1050</v>
      </c>
      <c r="D17" s="9">
        <f t="shared" si="0"/>
        <v>1.05</v>
      </c>
      <c r="F17" s="14"/>
      <c r="G17" s="11">
        <f>(E17-'Calibration lines '!$B$7)/'Calibration lines '!$B$8</f>
        <v>-3.7580529706513259E-2</v>
      </c>
      <c r="H17" s="15"/>
      <c r="I17" s="11">
        <f t="shared" si="1"/>
        <v>-3.9459556191838926E-2</v>
      </c>
      <c r="J17" s="15"/>
      <c r="K17" s="89"/>
      <c r="L17" s="95"/>
      <c r="M17" s="90"/>
      <c r="O17" s="7" t="s">
        <v>318</v>
      </c>
      <c r="P17" s="11">
        <f t="shared" ref="P17:Q21" si="28">AVERAGE(G39,G44,G34)</f>
        <v>-3.7580529706513259E-2</v>
      </c>
      <c r="Q17" s="11">
        <f t="shared" si="28"/>
        <v>3.0715154342067157E-2</v>
      </c>
      <c r="R17" s="11">
        <f>AVERAGE(P17:P20)</f>
        <v>-3.7580529706513259E-2</v>
      </c>
      <c r="S17" s="11">
        <f>AVERAGE(Q17:Q20)</f>
        <v>3.0715154342067157E-2</v>
      </c>
      <c r="T17" s="11"/>
      <c r="U17" s="11">
        <f>AVERAGE(M34:M48)</f>
        <v>5.4980126272300207E-2</v>
      </c>
      <c r="V17" s="25"/>
      <c r="W17" s="10">
        <f t="shared" si="15"/>
        <v>5.4980126272300205E-5</v>
      </c>
      <c r="Y17" s="7" t="s">
        <v>318</v>
      </c>
      <c r="AA17" s="11">
        <f>(I34+I39+I44)/3</f>
        <v>0</v>
      </c>
      <c r="AB17" s="50">
        <f>AA17/(Z$16*1000)</f>
        <v>0</v>
      </c>
      <c r="AC17" s="50">
        <f>AB17</f>
        <v>0</v>
      </c>
      <c r="AD17" s="79"/>
      <c r="AE17" s="96"/>
      <c r="AF17" s="7">
        <v>1</v>
      </c>
      <c r="AH17" s="11">
        <f>AA17</f>
        <v>0</v>
      </c>
      <c r="AI17" s="11">
        <f>AH17</f>
        <v>0</v>
      </c>
      <c r="AJ17" s="11">
        <f>AI17/AF17</f>
        <v>0</v>
      </c>
      <c r="AK17" s="11" t="e">
        <f>LN(AI17)</f>
        <v>#NUM!</v>
      </c>
      <c r="AL17" s="91" t="e">
        <f>-(SLOPE(AK17:AK20,$AF17:$AF20))</f>
        <v>#NUM!</v>
      </c>
      <c r="AM17" s="91" t="e">
        <f>(RSQ(AK17:AK20,$AF17:$AF20))</f>
        <v>#NUM!</v>
      </c>
      <c r="AN17" s="11" t="e">
        <f>1/AI17</f>
        <v>#DIV/0!</v>
      </c>
      <c r="AO17" s="97" t="e">
        <f>(SLOPE(AN17:AN20,$AF17:$AF20))</f>
        <v>#DIV/0!</v>
      </c>
      <c r="AP17" s="97" t="e">
        <f>(RSQ(AN17:AN20,$AF17:$AF20))</f>
        <v>#DIV/0!</v>
      </c>
      <c r="AQ17" s="11" t="e">
        <f>1/(AI17*AI17)</f>
        <v>#DIV/0!</v>
      </c>
      <c r="AR17" s="97" t="e">
        <f>(SLOPE(AQ17:AQ20,$AF17:$AF20))/2</f>
        <v>#DIV/0!</v>
      </c>
      <c r="AS17" s="97" t="e">
        <f>(RSQ(AQ17:AQ20,$AF17:$AF20))</f>
        <v>#DIV/0!</v>
      </c>
      <c r="AT17" s="50">
        <f>AH17/(AG$38*1000)</f>
        <v>0</v>
      </c>
      <c r="AU17" s="50">
        <f>AT17</f>
        <v>0</v>
      </c>
      <c r="AV17" s="50">
        <f>AU17/AF17</f>
        <v>0</v>
      </c>
      <c r="AW17" s="11" t="e">
        <f>LN(AU17)</f>
        <v>#NUM!</v>
      </c>
      <c r="AX17" s="97" t="e">
        <f>-(SLOPE(AW17:AW20,$AF17:$AF20))</f>
        <v>#NUM!</v>
      </c>
      <c r="AY17" s="97" t="e">
        <f>(RSQ(AW17:AW20,$AF17:$AF20))</f>
        <v>#NUM!</v>
      </c>
      <c r="AZ17" s="11" t="e">
        <f>1/AU17</f>
        <v>#DIV/0!</v>
      </c>
      <c r="BA17" s="97" t="e">
        <f>(SLOPE(AZ17:AZ20,$AF17:$AF20))</f>
        <v>#DIV/0!</v>
      </c>
      <c r="BB17" s="97" t="e">
        <f>(RSQ(AZ17:AZ20,$AF17:$AF20))</f>
        <v>#DIV/0!</v>
      </c>
      <c r="BC17" s="11" t="e">
        <f>1/(AU17*AU17)</f>
        <v>#DIV/0!</v>
      </c>
      <c r="BD17" s="91" t="e">
        <f>-(SLOPE(BC17:BC20,$AF17:$AF20))</f>
        <v>#DIV/0!</v>
      </c>
      <c r="BE17" s="91" t="e">
        <f>(RSQ(BC17:BC20,$AF17:$AF20))</f>
        <v>#DIV/0!</v>
      </c>
      <c r="BF17" s="50"/>
      <c r="BG17" s="50"/>
      <c r="BH17" s="7" t="s">
        <v>318</v>
      </c>
    </row>
    <row r="18" spans="1:60" x14ac:dyDescent="0.35">
      <c r="B18" s="62" t="s">
        <v>322</v>
      </c>
      <c r="C18" s="64">
        <v>800</v>
      </c>
      <c r="D18" s="64">
        <f t="shared" si="0"/>
        <v>0.8</v>
      </c>
      <c r="E18" s="64"/>
      <c r="F18" s="64"/>
      <c r="G18" s="63">
        <f>(E18-'Calibration lines '!$B$7)/'Calibration lines '!$B$8</f>
        <v>-3.7580529706513259E-2</v>
      </c>
      <c r="H18" s="63"/>
      <c r="I18" s="63">
        <f t="shared" si="1"/>
        <v>-3.006442376521061E-2</v>
      </c>
      <c r="J18" s="15"/>
      <c r="K18" s="89"/>
      <c r="L18" s="95"/>
      <c r="M18" s="90"/>
      <c r="O18" s="7" t="s">
        <v>319</v>
      </c>
      <c r="P18" s="11">
        <f t="shared" si="28"/>
        <v>-3.7580529706513259E-2</v>
      </c>
      <c r="Q18" s="11">
        <f t="shared" si="28"/>
        <v>3.0715154342067157E-2</v>
      </c>
      <c r="Y18" s="7" t="s">
        <v>319</v>
      </c>
      <c r="AA18" s="11">
        <f>(I35+I40+I45)/3</f>
        <v>0</v>
      </c>
      <c r="AB18" s="50">
        <f t="shared" ref="AB18:AB21" si="29">AA18/(Z$16*1000)</f>
        <v>0</v>
      </c>
      <c r="AC18" s="50">
        <f>AC17+AB18</f>
        <v>0</v>
      </c>
      <c r="AD18" s="79"/>
      <c r="AE18" s="96"/>
      <c r="AF18" s="7">
        <v>7</v>
      </c>
      <c r="AH18" s="11">
        <f t="shared" ref="AH18:AH21" si="30">AA18</f>
        <v>0</v>
      </c>
      <c r="AI18" s="11">
        <f>AH18+AI17</f>
        <v>0</v>
      </c>
      <c r="AJ18" s="11">
        <f t="shared" ref="AJ18:AJ20" si="31">AI18/AF18</f>
        <v>0</v>
      </c>
      <c r="AK18" s="11" t="e">
        <f t="shared" ref="AK18:AK20" si="32">LN(AI18)</f>
        <v>#NUM!</v>
      </c>
      <c r="AL18" s="91"/>
      <c r="AM18" s="91"/>
      <c r="AN18" s="11" t="e">
        <f t="shared" ref="AN18:AN20" si="33">1/AI18</f>
        <v>#DIV/0!</v>
      </c>
      <c r="AO18" s="97"/>
      <c r="AP18" s="97"/>
      <c r="AQ18" s="11" t="e">
        <f t="shared" ref="AQ18:AQ20" si="34">1/(AI18*AI18)</f>
        <v>#DIV/0!</v>
      </c>
      <c r="AR18" s="97"/>
      <c r="AS18" s="97"/>
      <c r="AT18" s="50">
        <f>AH18/(AG$38*1000)</f>
        <v>0</v>
      </c>
      <c r="AU18" s="50">
        <f>AU17+AT18</f>
        <v>0</v>
      </c>
      <c r="AV18" s="50">
        <f t="shared" ref="AV18:AV20" si="35">AU18/AF18</f>
        <v>0</v>
      </c>
      <c r="AW18" s="11" t="e">
        <f t="shared" ref="AW18:AW20" si="36">LN(AU18)</f>
        <v>#NUM!</v>
      </c>
      <c r="AX18" s="97"/>
      <c r="AY18" s="97"/>
      <c r="AZ18" s="11" t="e">
        <f t="shared" ref="AZ18:AZ20" si="37">1/AU18</f>
        <v>#DIV/0!</v>
      </c>
      <c r="BA18" s="97"/>
      <c r="BB18" s="97"/>
      <c r="BC18" s="11" t="e">
        <f t="shared" ref="BC18:BC20" si="38">1/(AU18*AU18)</f>
        <v>#DIV/0!</v>
      </c>
      <c r="BD18" s="91"/>
      <c r="BE18" s="91"/>
      <c r="BF18" s="50"/>
      <c r="BG18" s="50"/>
      <c r="BH18" s="7" t="s">
        <v>319</v>
      </c>
    </row>
    <row r="19" spans="1:60" x14ac:dyDescent="0.35">
      <c r="A19" s="9" t="s">
        <v>155</v>
      </c>
      <c r="B19" s="7" t="s">
        <v>318</v>
      </c>
      <c r="C19" s="9">
        <v>680</v>
      </c>
      <c r="D19" s="9">
        <f t="shared" si="0"/>
        <v>0.68</v>
      </c>
      <c r="E19" s="9">
        <v>181.5</v>
      </c>
      <c r="F19" s="9">
        <v>0</v>
      </c>
      <c r="G19" s="11">
        <f>(E19-'Calibration lines '!$B$7)/'Calibration lines '!$B$8</f>
        <v>200.49588403722259</v>
      </c>
      <c r="H19" s="11">
        <f>(F19-'Calibration lines '!$B$13)/'Calibration lines '!$B$14</f>
        <v>3.0715154342067157E-2</v>
      </c>
      <c r="I19" s="11">
        <f t="shared" si="1"/>
        <v>136.33720114531138</v>
      </c>
      <c r="J19" s="11">
        <f t="shared" ref="J19:J53" si="39">H19*D19</f>
        <v>2.0886304952605669E-2</v>
      </c>
      <c r="K19" s="91">
        <f>SUM(I19:I22)</f>
        <v>349.40899606299212</v>
      </c>
      <c r="L19" s="95">
        <f>SUM(I19:I22)/('Total Values (Molar Ratio)'!C$48*1000)</f>
        <v>0.52533412338116614</v>
      </c>
      <c r="M19" s="91">
        <f>SUM(J19:J22)</f>
        <v>9.9209948524876926E-2</v>
      </c>
      <c r="N19" s="95">
        <f>SUM(J19:J22)/('Total Values (Molar Ratio)'!E$48*1000)</f>
        <v>2.9183772507808007E-4</v>
      </c>
      <c r="O19" s="7" t="s">
        <v>320</v>
      </c>
      <c r="P19" s="11">
        <f t="shared" si="28"/>
        <v>-3.7580529706513259E-2</v>
      </c>
      <c r="Q19" s="11">
        <f t="shared" si="28"/>
        <v>3.0715154342067157E-2</v>
      </c>
      <c r="Y19" s="7" t="s">
        <v>320</v>
      </c>
      <c r="AA19" s="11">
        <f>(I36+I41+I46)/3</f>
        <v>0</v>
      </c>
      <c r="AB19" s="50">
        <f t="shared" si="29"/>
        <v>0</v>
      </c>
      <c r="AC19" s="50">
        <f t="shared" ref="AC19:AC21" si="40">AC18+AB19</f>
        <v>0</v>
      </c>
      <c r="AD19" s="79"/>
      <c r="AE19" s="96"/>
      <c r="AF19" s="7">
        <v>14</v>
      </c>
      <c r="AH19" s="11">
        <f t="shared" si="30"/>
        <v>0</v>
      </c>
      <c r="AI19" s="11">
        <f t="shared" ref="AI19:AI20" si="41">AH19+AI18</f>
        <v>0</v>
      </c>
      <c r="AJ19" s="11">
        <f t="shared" si="31"/>
        <v>0</v>
      </c>
      <c r="AK19" s="11" t="e">
        <f t="shared" si="32"/>
        <v>#NUM!</v>
      </c>
      <c r="AL19" s="91"/>
      <c r="AM19" s="91"/>
      <c r="AN19" s="11" t="e">
        <f t="shared" si="33"/>
        <v>#DIV/0!</v>
      </c>
      <c r="AO19" s="97"/>
      <c r="AP19" s="97"/>
      <c r="AQ19" s="11" t="e">
        <f t="shared" si="34"/>
        <v>#DIV/0!</v>
      </c>
      <c r="AR19" s="97"/>
      <c r="AS19" s="97"/>
      <c r="AT19" s="50">
        <f>AH19/(AG$38*1000)</f>
        <v>0</v>
      </c>
      <c r="AU19" s="50">
        <f>AU18+AT19</f>
        <v>0</v>
      </c>
      <c r="AV19" s="50">
        <f t="shared" si="35"/>
        <v>0</v>
      </c>
      <c r="AW19" s="11" t="e">
        <f t="shared" si="36"/>
        <v>#NUM!</v>
      </c>
      <c r="AX19" s="97"/>
      <c r="AY19" s="97"/>
      <c r="AZ19" s="11" t="e">
        <f t="shared" si="37"/>
        <v>#DIV/0!</v>
      </c>
      <c r="BA19" s="97"/>
      <c r="BB19" s="97"/>
      <c r="BC19" s="11" t="e">
        <f t="shared" si="38"/>
        <v>#DIV/0!</v>
      </c>
      <c r="BD19" s="91"/>
      <c r="BE19" s="91"/>
      <c r="BF19" s="50"/>
      <c r="BG19" s="50"/>
      <c r="BH19" s="7" t="s">
        <v>320</v>
      </c>
    </row>
    <row r="20" spans="1:60" x14ac:dyDescent="0.35">
      <c r="B20" s="7" t="s">
        <v>319</v>
      </c>
      <c r="C20" s="9">
        <v>1300</v>
      </c>
      <c r="D20" s="9">
        <f t="shared" si="0"/>
        <v>1.3</v>
      </c>
      <c r="E20" s="9">
        <v>123.7</v>
      </c>
      <c r="F20" s="9">
        <v>0</v>
      </c>
      <c r="G20" s="11">
        <f>(E20-'Calibration lines '!$B$7)/'Calibration lines '!$B$8</f>
        <v>136.63453829634929</v>
      </c>
      <c r="H20" s="11">
        <f>(F20-'Calibration lines '!$B$13)/'Calibration lines '!$B$14</f>
        <v>3.0715154342067157E-2</v>
      </c>
      <c r="I20" s="11">
        <f t="shared" si="1"/>
        <v>177.62489978525409</v>
      </c>
      <c r="J20" s="11">
        <f>H20*D20</f>
        <v>3.9929700644687309E-2</v>
      </c>
      <c r="K20" s="89"/>
      <c r="L20" s="95"/>
      <c r="M20" s="91"/>
      <c r="N20" s="95"/>
      <c r="O20" s="7" t="s">
        <v>321</v>
      </c>
      <c r="P20" s="11">
        <f t="shared" si="28"/>
        <v>-3.7580529706513259E-2</v>
      </c>
      <c r="Q20" s="11">
        <f t="shared" si="28"/>
        <v>3.0715154342067157E-2</v>
      </c>
      <c r="Y20" s="7" t="s">
        <v>321</v>
      </c>
      <c r="AA20" s="11">
        <f>(I37+I42+I47)/3</f>
        <v>-6.7269148174658719E-2</v>
      </c>
      <c r="AB20" s="50">
        <f t="shared" si="29"/>
        <v>-6.6445227355451121E-5</v>
      </c>
      <c r="AC20" s="50">
        <f>AC19+AB20</f>
        <v>-6.6445227355451121E-5</v>
      </c>
      <c r="AD20" s="79"/>
      <c r="AE20" s="96"/>
      <c r="AF20" s="7">
        <v>28</v>
      </c>
      <c r="AH20" s="11">
        <f t="shared" si="30"/>
        <v>-6.7269148174658719E-2</v>
      </c>
      <c r="AI20" s="11">
        <f t="shared" si="41"/>
        <v>-6.7269148174658719E-2</v>
      </c>
      <c r="AJ20" s="11">
        <f t="shared" si="31"/>
        <v>-2.402469577666383E-3</v>
      </c>
      <c r="AK20" s="11" t="e">
        <f t="shared" si="32"/>
        <v>#NUM!</v>
      </c>
      <c r="AL20" s="91"/>
      <c r="AM20" s="91"/>
      <c r="AN20" s="11">
        <f t="shared" si="33"/>
        <v>-14.865655759510789</v>
      </c>
      <c r="AO20" s="97"/>
      <c r="AP20" s="97"/>
      <c r="AQ20" s="11">
        <f t="shared" si="34"/>
        <v>220.98772116027627</v>
      </c>
      <c r="AR20" s="97"/>
      <c r="AS20" s="97"/>
      <c r="AT20" s="50">
        <f>AH20/(AG$38*1000)</f>
        <v>-6.6445227355451121E-5</v>
      </c>
      <c r="AU20" s="50">
        <f>AU19+AT20</f>
        <v>-6.6445227355451121E-5</v>
      </c>
      <c r="AV20" s="50">
        <f t="shared" si="35"/>
        <v>-2.3730438341232543E-6</v>
      </c>
      <c r="AW20" s="11" t="e">
        <f t="shared" si="36"/>
        <v>#NUM!</v>
      </c>
      <c r="AX20" s="97"/>
      <c r="AY20" s="97"/>
      <c r="AZ20" s="11">
        <f t="shared" si="37"/>
        <v>-15049.989890928722</v>
      </c>
      <c r="BA20" s="97"/>
      <c r="BB20" s="97"/>
      <c r="BC20" s="11">
        <f t="shared" si="38"/>
        <v>226502195.71705675</v>
      </c>
      <c r="BD20" s="91"/>
      <c r="BE20" s="91"/>
      <c r="BF20" s="50"/>
      <c r="BG20" s="50"/>
      <c r="BH20" s="7" t="s">
        <v>321</v>
      </c>
    </row>
    <row r="21" spans="1:60" x14ac:dyDescent="0.35">
      <c r="B21" s="7" t="s">
        <v>320</v>
      </c>
      <c r="C21" s="9">
        <v>750</v>
      </c>
      <c r="D21" s="9">
        <f t="shared" si="0"/>
        <v>0.75</v>
      </c>
      <c r="E21" s="9">
        <v>27.3</v>
      </c>
      <c r="F21" s="9">
        <v>0</v>
      </c>
      <c r="G21" s="11">
        <f>(E21-'Calibration lines '!$B$7)/'Calibration lines '!$B$8</f>
        <v>30.125304223335718</v>
      </c>
      <c r="H21" s="11">
        <f>(F21-'Calibration lines '!$B$13)/'Calibration lines '!$B$14</f>
        <v>3.0715154342067157E-2</v>
      </c>
      <c r="I21" s="11">
        <f t="shared" si="1"/>
        <v>22.593978167501788</v>
      </c>
      <c r="J21" s="11">
        <f t="shared" si="39"/>
        <v>2.3036365756550367E-2</v>
      </c>
      <c r="K21" s="89"/>
      <c r="L21" s="95"/>
      <c r="M21" s="91"/>
      <c r="N21" s="95"/>
      <c r="O21" s="62" t="s">
        <v>322</v>
      </c>
      <c r="P21" s="63">
        <f t="shared" si="28"/>
        <v>-3.7580529706513259E-2</v>
      </c>
      <c r="Q21" s="63">
        <f t="shared" si="28"/>
        <v>3.0715154342067157E-2</v>
      </c>
      <c r="Y21" s="62" t="s">
        <v>322</v>
      </c>
      <c r="Z21" s="64"/>
      <c r="AA21" s="63">
        <f>(I38+I43+I48)/3</f>
        <v>-5.1360057265568117E-2</v>
      </c>
      <c r="AB21" s="65">
        <f t="shared" si="29"/>
        <v>-5.0730992952951521E-5</v>
      </c>
      <c r="AC21" s="65">
        <f t="shared" si="40"/>
        <v>-1.1717622030840264E-4</v>
      </c>
      <c r="AD21" s="79"/>
      <c r="AE21" s="96"/>
      <c r="AF21" s="62">
        <v>35</v>
      </c>
      <c r="AG21" s="64"/>
      <c r="AH21" s="63">
        <f t="shared" si="30"/>
        <v>-5.1360057265568117E-2</v>
      </c>
      <c r="AI21" s="63"/>
      <c r="AJ21" s="63"/>
      <c r="AK21" s="65"/>
      <c r="AL21" s="65"/>
      <c r="AM21" s="65"/>
      <c r="AN21" s="65"/>
      <c r="AO21" s="65"/>
      <c r="AP21" s="65"/>
      <c r="AQ21" s="65"/>
      <c r="AR21" s="65"/>
      <c r="AS21" s="65"/>
      <c r="AT21" s="65">
        <f>AH21/(AG$38*1000)</f>
        <v>-5.0730992952951521E-5</v>
      </c>
      <c r="AU21" s="65">
        <f>AU20+AT21</f>
        <v>-1.1717622030840264E-4</v>
      </c>
      <c r="AV21" s="50"/>
      <c r="AW21" s="65"/>
      <c r="AX21" s="65"/>
      <c r="AY21" s="65"/>
      <c r="AZ21" s="65"/>
      <c r="BA21" s="65"/>
      <c r="BB21" s="65"/>
      <c r="BC21" s="50"/>
      <c r="BD21" s="50"/>
      <c r="BE21" s="7" t="s">
        <v>322</v>
      </c>
    </row>
    <row r="22" spans="1:60" x14ac:dyDescent="0.35">
      <c r="B22" s="7" t="s">
        <v>321</v>
      </c>
      <c r="C22" s="9">
        <v>500</v>
      </c>
      <c r="D22" s="9">
        <f t="shared" si="0"/>
        <v>0.5</v>
      </c>
      <c r="E22" s="9">
        <v>23.3</v>
      </c>
      <c r="F22" s="9">
        <v>0</v>
      </c>
      <c r="G22" s="11">
        <f>(E22-'Calibration lines '!$B$7)/'Calibration lines '!$B$8</f>
        <v>25.705833929849678</v>
      </c>
      <c r="H22" s="11">
        <f>(F22-'Calibration lines '!$B$13)/'Calibration lines '!$B$14</f>
        <v>3.0715154342067157E-2</v>
      </c>
      <c r="I22" s="11">
        <f t="shared" si="1"/>
        <v>12.852916964924839</v>
      </c>
      <c r="J22" s="11">
        <f t="shared" si="39"/>
        <v>1.5357577171033579E-2</v>
      </c>
      <c r="K22" s="89"/>
      <c r="L22" s="95"/>
      <c r="M22" s="91"/>
      <c r="N22" s="95"/>
    </row>
    <row r="23" spans="1:60" x14ac:dyDescent="0.35">
      <c r="B23" s="62" t="s">
        <v>322</v>
      </c>
      <c r="C23" s="64">
        <v>800</v>
      </c>
      <c r="D23" s="64">
        <f t="shared" si="0"/>
        <v>0.8</v>
      </c>
      <c r="E23" s="64">
        <v>3.8</v>
      </c>
      <c r="F23" s="64">
        <v>0</v>
      </c>
      <c r="G23" s="63">
        <f>(E23-'Calibration lines '!$B$7)/'Calibration lines '!$B$8</f>
        <v>4.1609162491052256</v>
      </c>
      <c r="H23" s="63">
        <f>(F23-'Calibration lines '!$B$13)/'Calibration lines '!$B$14</f>
        <v>3.0715154342067157E-2</v>
      </c>
      <c r="I23" s="63">
        <f t="shared" si="1"/>
        <v>3.3287329992841808</v>
      </c>
      <c r="J23" s="63">
        <f t="shared" si="39"/>
        <v>2.4572123473653729E-2</v>
      </c>
      <c r="K23" s="89"/>
      <c r="L23" s="95"/>
      <c r="M23" s="91"/>
      <c r="N23" s="95"/>
      <c r="AH23" s="89" t="s">
        <v>276</v>
      </c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 t="s">
        <v>277</v>
      </c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</row>
    <row r="24" spans="1:60" x14ac:dyDescent="0.35">
      <c r="A24" s="9" t="s">
        <v>172</v>
      </c>
      <c r="B24" s="7" t="s">
        <v>318</v>
      </c>
      <c r="C24" s="9">
        <v>630</v>
      </c>
      <c r="D24" s="9">
        <f t="shared" si="0"/>
        <v>0.63</v>
      </c>
      <c r="E24" s="9">
        <v>196.9</v>
      </c>
      <c r="F24" s="9">
        <v>0</v>
      </c>
      <c r="G24" s="11">
        <f>(E24-'Calibration lines '!$B$7)/'Calibration lines '!$B$8</f>
        <v>217.51084466714389</v>
      </c>
      <c r="H24" s="11">
        <f>(F24-'Calibration lines '!$B$13)/'Calibration lines '!$B$14</f>
        <v>3.0715154342067157E-2</v>
      </c>
      <c r="I24" s="11">
        <f t="shared" si="1"/>
        <v>137.03183214030065</v>
      </c>
      <c r="J24" s="11">
        <f t="shared" si="39"/>
        <v>1.9350547235502308E-2</v>
      </c>
      <c r="K24" s="91">
        <f>SUM(I24:I27)</f>
        <v>291.67841768074442</v>
      </c>
      <c r="L24" s="95">
        <f>SUM(I24:I27)/('Total Values (Molar Ratio)'!C$48*1000)</f>
        <v>0.43853657916093025</v>
      </c>
      <c r="M24" s="91">
        <f>SUM(J24:J27)</f>
        <v>0.12009625347748258</v>
      </c>
      <c r="N24" s="95">
        <f>SUM(J24:J27)/('Total Values (Molar Ratio)'!E$48*1000)</f>
        <v>3.5327724614714952E-4</v>
      </c>
      <c r="AK24" s="89" t="s">
        <v>278</v>
      </c>
      <c r="AL24" s="89"/>
      <c r="AM24" s="89"/>
      <c r="AN24" s="89" t="s">
        <v>279</v>
      </c>
      <c r="AO24" s="89"/>
      <c r="AP24" s="89"/>
      <c r="AQ24" s="89" t="s">
        <v>280</v>
      </c>
      <c r="AR24" s="89"/>
      <c r="AS24" s="89"/>
      <c r="AW24" s="89" t="s">
        <v>278</v>
      </c>
      <c r="AX24" s="89"/>
      <c r="AY24" s="89"/>
      <c r="AZ24" s="89" t="s">
        <v>279</v>
      </c>
      <c r="BA24" s="89"/>
      <c r="BB24" s="89"/>
      <c r="BC24" s="89" t="s">
        <v>280</v>
      </c>
      <c r="BD24" s="89"/>
      <c r="BE24" s="89"/>
    </row>
    <row r="25" spans="1:60" ht="87" x14ac:dyDescent="0.35">
      <c r="B25" s="7" t="s">
        <v>319</v>
      </c>
      <c r="C25" s="9">
        <v>840</v>
      </c>
      <c r="D25" s="9">
        <f t="shared" si="0"/>
        <v>0.84</v>
      </c>
      <c r="E25" s="9">
        <v>133.4</v>
      </c>
      <c r="F25" s="9">
        <v>0</v>
      </c>
      <c r="G25" s="11">
        <f>(E25-'Calibration lines '!$B$7)/'Calibration lines '!$B$8</f>
        <v>147.35175375805298</v>
      </c>
      <c r="H25" s="11">
        <f>(F25-'Calibration lines '!$B$13)/'Calibration lines '!$B$14</f>
        <v>3.0715154342067157E-2</v>
      </c>
      <c r="I25" s="11">
        <f t="shared" si="1"/>
        <v>123.77547315676449</v>
      </c>
      <c r="J25" s="11">
        <f t="shared" si="39"/>
        <v>2.5800729647336412E-2</v>
      </c>
      <c r="K25" s="89"/>
      <c r="L25" s="95"/>
      <c r="M25" s="91"/>
      <c r="N25" s="95"/>
      <c r="Y25" s="6" t="s">
        <v>75</v>
      </c>
      <c r="Z25" s="8" t="s">
        <v>301</v>
      </c>
      <c r="AA25" s="8" t="s">
        <v>323</v>
      </c>
      <c r="AB25" s="8" t="s">
        <v>324</v>
      </c>
      <c r="AC25" s="8" t="s">
        <v>325</v>
      </c>
      <c r="AE25" s="96" t="s">
        <v>12</v>
      </c>
      <c r="AF25" s="6" t="s">
        <v>75</v>
      </c>
      <c r="AG25" s="8" t="s">
        <v>301</v>
      </c>
      <c r="AH25" s="8" t="s">
        <v>323</v>
      </c>
      <c r="AI25" s="8" t="s">
        <v>326</v>
      </c>
      <c r="AJ25" s="8" t="s">
        <v>306</v>
      </c>
      <c r="AK25" s="8" t="s">
        <v>307</v>
      </c>
      <c r="AL25" s="8" t="s">
        <v>308</v>
      </c>
      <c r="AM25" s="8" t="s">
        <v>309</v>
      </c>
      <c r="AN25" s="8" t="s">
        <v>310</v>
      </c>
      <c r="AO25" s="8" t="s">
        <v>311</v>
      </c>
      <c r="AP25" s="8" t="s">
        <v>309</v>
      </c>
      <c r="AQ25" s="8" t="s">
        <v>312</v>
      </c>
      <c r="AR25" s="8" t="s">
        <v>313</v>
      </c>
      <c r="AS25" s="8" t="s">
        <v>309</v>
      </c>
      <c r="AT25" s="8" t="s">
        <v>324</v>
      </c>
      <c r="AU25" s="8" t="s">
        <v>325</v>
      </c>
      <c r="AV25" s="8" t="s">
        <v>306</v>
      </c>
      <c r="AW25" s="8" t="s">
        <v>307</v>
      </c>
      <c r="AX25" s="8" t="s">
        <v>308</v>
      </c>
      <c r="AY25" s="8" t="s">
        <v>309</v>
      </c>
      <c r="AZ25" s="8" t="s">
        <v>314</v>
      </c>
      <c r="BA25" s="8" t="s">
        <v>311</v>
      </c>
      <c r="BB25" s="8" t="s">
        <v>309</v>
      </c>
      <c r="BC25" s="8" t="s">
        <v>312</v>
      </c>
      <c r="BD25" s="8" t="s">
        <v>313</v>
      </c>
      <c r="BE25" s="8" t="s">
        <v>309</v>
      </c>
    </row>
    <row r="26" spans="1:60" x14ac:dyDescent="0.35">
      <c r="B26" s="7" t="s">
        <v>320</v>
      </c>
      <c r="C26" s="9">
        <v>900</v>
      </c>
      <c r="D26" s="9">
        <f t="shared" si="0"/>
        <v>0.9</v>
      </c>
      <c r="E26" s="9">
        <v>20.7</v>
      </c>
      <c r="F26" s="9">
        <v>0</v>
      </c>
      <c r="G26" s="11">
        <f>(E26-'Calibration lines '!$B$7)/'Calibration lines '!$B$8</f>
        <v>22.833178239083747</v>
      </c>
      <c r="H26" s="11">
        <f>(F26-'Calibration lines '!$B$13)/'Calibration lines '!$B$14</f>
        <v>3.0715154342067157E-2</v>
      </c>
      <c r="I26" s="11">
        <f t="shared" si="1"/>
        <v>20.549860415175374</v>
      </c>
      <c r="J26" s="11">
        <f t="shared" si="39"/>
        <v>2.7643638907860441E-2</v>
      </c>
      <c r="K26" s="89"/>
      <c r="L26" s="95"/>
      <c r="M26" s="91"/>
      <c r="N26" s="95"/>
      <c r="Y26" s="9" t="s">
        <v>10</v>
      </c>
      <c r="Z26" s="9">
        <f t="shared" ref="Z26:Z38" si="42">AG26</f>
        <v>0</v>
      </c>
      <c r="AE26" s="96"/>
      <c r="AF26" s="9" t="s">
        <v>10</v>
      </c>
      <c r="AG26" s="9">
        <v>0</v>
      </c>
    </row>
    <row r="27" spans="1:60" x14ac:dyDescent="0.35">
      <c r="B27" s="7" t="s">
        <v>321</v>
      </c>
      <c r="C27" s="9">
        <v>1540</v>
      </c>
      <c r="D27" s="9">
        <f t="shared" si="0"/>
        <v>1.54</v>
      </c>
      <c r="E27" s="9">
        <v>6.1</v>
      </c>
      <c r="F27" s="9">
        <v>0</v>
      </c>
      <c r="G27" s="11">
        <f>(E27-'Calibration lines '!$B$7)/'Calibration lines '!$B$8</f>
        <v>6.7021116678596986</v>
      </c>
      <c r="H27" s="11">
        <f>(F27-'Calibration lines '!$B$13)/'Calibration lines '!$B$14</f>
        <v>3.0715154342067157E-2</v>
      </c>
      <c r="I27" s="11">
        <f t="shared" si="1"/>
        <v>10.321251968503937</v>
      </c>
      <c r="J27" s="11">
        <f t="shared" si="39"/>
        <v>4.7301337686783421E-2</v>
      </c>
      <c r="K27" s="89"/>
      <c r="L27" s="95"/>
      <c r="M27" s="91"/>
      <c r="N27" s="95"/>
      <c r="Y27" s="7" t="s">
        <v>318</v>
      </c>
      <c r="AA27" s="11">
        <v>0</v>
      </c>
      <c r="AB27" s="50">
        <f>AA27/(Z$4*1000)</f>
        <v>0</v>
      </c>
      <c r="AC27" s="50">
        <f>AB27</f>
        <v>0</v>
      </c>
      <c r="AE27" s="96"/>
      <c r="AF27" s="7">
        <v>1</v>
      </c>
      <c r="AH27" s="11">
        <f>AA27</f>
        <v>0</v>
      </c>
      <c r="AI27" s="11">
        <f>AH27</f>
        <v>0</v>
      </c>
      <c r="AJ27" s="11">
        <f>AI27/AF27</f>
        <v>0</v>
      </c>
      <c r="AK27" s="11" t="e">
        <f>LN(AI27)</f>
        <v>#NUM!</v>
      </c>
      <c r="AL27" s="97" t="e">
        <f>-(SLOPE(AK27:AK30,$AF27:$AF30))</f>
        <v>#NUM!</v>
      </c>
      <c r="AM27" s="97" t="e">
        <f>(RSQ(AK27:AK30,$AF27:$AF30))</f>
        <v>#NUM!</v>
      </c>
      <c r="AN27" s="11" t="e">
        <f>1/AI27</f>
        <v>#DIV/0!</v>
      </c>
      <c r="AO27" s="97" t="e">
        <f>(SLOPE(AN27:AN30,$AF27:$AF30))</f>
        <v>#DIV/0!</v>
      </c>
      <c r="AP27" s="97" t="e">
        <f>(RSQ(AN27:AN30,$AF27:$AF30))</f>
        <v>#DIV/0!</v>
      </c>
      <c r="AQ27" s="11" t="e">
        <f>1/(AI27*AI27)</f>
        <v>#DIV/0!</v>
      </c>
      <c r="AR27" s="97" t="e">
        <f>(SLOPE(AQ27:AQ30,$AF27:$AF30))/2</f>
        <v>#DIV/0!</v>
      </c>
      <c r="AS27" s="97" t="e">
        <f>(RSQ(AQ27:AQ30,$AF27:$AF30))</f>
        <v>#DIV/0!</v>
      </c>
      <c r="AT27" s="50">
        <f>AH27/(AG$4*1000)</f>
        <v>0</v>
      </c>
      <c r="AU27" s="50">
        <f>AT27</f>
        <v>0</v>
      </c>
      <c r="AV27" s="50">
        <f>AU27/AF27</f>
        <v>0</v>
      </c>
      <c r="AW27" s="11" t="e">
        <f>LN(AU27)</f>
        <v>#NUM!</v>
      </c>
      <c r="AX27" s="97" t="e">
        <f>-(SLOPE(AW27:AW30,$AF27:$AF30))</f>
        <v>#NUM!</v>
      </c>
      <c r="AY27" s="97" t="e">
        <f>(RSQ(AW27:AW30,$AF27:$AF30))</f>
        <v>#NUM!</v>
      </c>
      <c r="AZ27" s="11" t="e">
        <f>1/AU27</f>
        <v>#DIV/0!</v>
      </c>
      <c r="BA27" s="97" t="e">
        <f>(SLOPE(AZ27:AZ30,$AF27:$AF30))</f>
        <v>#DIV/0!</v>
      </c>
      <c r="BB27" s="97" t="e">
        <f>(RSQ(AZ27:AZ30,$AF27:$AF30))</f>
        <v>#DIV/0!</v>
      </c>
      <c r="BC27" s="11" t="e">
        <f>1/(AU27*AU27)</f>
        <v>#DIV/0!</v>
      </c>
      <c r="BD27" s="97" t="e">
        <f>-(SLOPE(BC27:BC30,$AF27:$AF30))</f>
        <v>#DIV/0!</v>
      </c>
      <c r="BE27" s="97" t="e">
        <f>(RSQ(BC27:BC30,$AF27:$AF30))</f>
        <v>#DIV/0!</v>
      </c>
    </row>
    <row r="28" spans="1:60" x14ac:dyDescent="0.35">
      <c r="B28" s="62" t="s">
        <v>322</v>
      </c>
      <c r="C28" s="64">
        <v>800</v>
      </c>
      <c r="D28" s="64">
        <f t="shared" si="0"/>
        <v>0.8</v>
      </c>
      <c r="E28" s="64">
        <v>0</v>
      </c>
      <c r="F28" s="64">
        <v>0</v>
      </c>
      <c r="G28" s="63">
        <f>(E28-'Calibration lines '!$B$7)/'Calibration lines '!$B$8</f>
        <v>-3.7580529706513259E-2</v>
      </c>
      <c r="H28" s="63">
        <f>(F28-'Calibration lines '!$B$13)/'Calibration lines '!$B$14</f>
        <v>3.0715154342067157E-2</v>
      </c>
      <c r="I28" s="63">
        <f t="shared" si="1"/>
        <v>-3.006442376521061E-2</v>
      </c>
      <c r="J28" s="63">
        <f t="shared" si="39"/>
        <v>2.4572123473653729E-2</v>
      </c>
      <c r="K28" s="89"/>
      <c r="L28" s="95"/>
      <c r="M28" s="91"/>
      <c r="N28" s="95"/>
      <c r="Y28" s="7" t="s">
        <v>319</v>
      </c>
      <c r="AA28" s="11">
        <v>0</v>
      </c>
      <c r="AB28" s="50">
        <f t="shared" ref="AB28:AB31" si="43">AA28/(Z$4*1000)</f>
        <v>0</v>
      </c>
      <c r="AC28" s="50">
        <f>AC27+AB28</f>
        <v>0</v>
      </c>
      <c r="AE28" s="96"/>
      <c r="AF28" s="7">
        <v>7</v>
      </c>
      <c r="AH28" s="11">
        <f>AA28</f>
        <v>0</v>
      </c>
      <c r="AI28" s="11">
        <f>AH28+AI27</f>
        <v>0</v>
      </c>
      <c r="AJ28" s="11">
        <f>AI28/AF28</f>
        <v>0</v>
      </c>
      <c r="AK28" s="11" t="e">
        <f t="shared" ref="AK28:AK30" si="44">LN(AI28)</f>
        <v>#NUM!</v>
      </c>
      <c r="AL28" s="97"/>
      <c r="AM28" s="97"/>
      <c r="AN28" s="11" t="e">
        <f t="shared" ref="AN28:AN30" si="45">1/AI28</f>
        <v>#DIV/0!</v>
      </c>
      <c r="AO28" s="97"/>
      <c r="AP28" s="97"/>
      <c r="AQ28" s="11" t="e">
        <f t="shared" ref="AQ28:AQ30" si="46">1/(AI28*AI28)</f>
        <v>#DIV/0!</v>
      </c>
      <c r="AR28" s="97"/>
      <c r="AS28" s="97"/>
      <c r="AT28" s="50">
        <f>AH28/(AG$4*1000)</f>
        <v>0</v>
      </c>
      <c r="AU28" s="50">
        <f>AU27+AT28</f>
        <v>0</v>
      </c>
      <c r="AV28" s="50">
        <f t="shared" ref="AV28:AV30" si="47">AU28/AF28</f>
        <v>0</v>
      </c>
      <c r="AW28" s="11" t="e">
        <f t="shared" ref="AW28:AW30" si="48">LN(AU28)</f>
        <v>#NUM!</v>
      </c>
      <c r="AX28" s="97"/>
      <c r="AY28" s="97"/>
      <c r="AZ28" s="11" t="e">
        <f t="shared" ref="AZ28:AZ30" si="49">1/AU28</f>
        <v>#DIV/0!</v>
      </c>
      <c r="BA28" s="97"/>
      <c r="BB28" s="97"/>
      <c r="BC28" s="11" t="e">
        <f t="shared" ref="BC28:BC30" si="50">1/(AU28*AU28)</f>
        <v>#DIV/0!</v>
      </c>
      <c r="BD28" s="97"/>
      <c r="BE28" s="97"/>
    </row>
    <row r="29" spans="1:60" x14ac:dyDescent="0.35">
      <c r="A29" s="9" t="s">
        <v>189</v>
      </c>
      <c r="B29" s="7" t="s">
        <v>318</v>
      </c>
      <c r="C29" s="9">
        <v>480</v>
      </c>
      <c r="D29" s="9">
        <f t="shared" si="0"/>
        <v>0.48</v>
      </c>
      <c r="E29" s="9">
        <v>787.2</v>
      </c>
      <c r="F29" s="9">
        <v>0</v>
      </c>
      <c r="G29" s="11">
        <f>(E29-'Calibration lines '!$B$7)/'Calibration lines '!$B$8</f>
        <v>869.71417322834645</v>
      </c>
      <c r="H29" s="11">
        <f>(F29-'Calibration lines '!$B$13)/'Calibration lines '!$B$14</f>
        <v>3.0715154342067157E-2</v>
      </c>
      <c r="I29" s="11">
        <f t="shared" si="1"/>
        <v>417.46280314960626</v>
      </c>
      <c r="J29" s="11">
        <f t="shared" si="39"/>
        <v>1.4743274084192235E-2</v>
      </c>
      <c r="K29" s="91">
        <f>SUM(I29:I32)</f>
        <v>418.20382355046524</v>
      </c>
      <c r="L29" s="95">
        <f>SUM(I29:I32)/('Total Values (Molar Ratio)'!C$48*1000)</f>
        <v>0.6287666932305549</v>
      </c>
      <c r="M29" s="91">
        <f>SUM(J29:J32)</f>
        <v>4.3922670709156036E-2</v>
      </c>
      <c r="N29" s="95">
        <f>SUM(J29:J32)/('Total Values (Molar Ratio)'!E$48*1000)</f>
        <v>1.2920369871877849E-4</v>
      </c>
      <c r="Y29" s="7" t="s">
        <v>320</v>
      </c>
      <c r="AA29" s="11">
        <v>0</v>
      </c>
      <c r="AB29" s="50">
        <f t="shared" si="43"/>
        <v>0</v>
      </c>
      <c r="AC29" s="50">
        <f t="shared" ref="AC29:AC31" si="51">AC28+AB29</f>
        <v>0</v>
      </c>
      <c r="AE29" s="96"/>
      <c r="AF29" s="7">
        <v>14</v>
      </c>
      <c r="AH29" s="11">
        <f t="shared" ref="AH29:AH30" si="52">AA29</f>
        <v>0</v>
      </c>
      <c r="AI29" s="11">
        <f t="shared" ref="AI29:AI30" si="53">AH29+AI28</f>
        <v>0</v>
      </c>
      <c r="AJ29" s="11">
        <f t="shared" ref="AJ29:AJ30" si="54">AI29/AF29</f>
        <v>0</v>
      </c>
      <c r="AK29" s="11" t="e">
        <f t="shared" si="44"/>
        <v>#NUM!</v>
      </c>
      <c r="AL29" s="97"/>
      <c r="AM29" s="97"/>
      <c r="AN29" s="11" t="e">
        <f t="shared" si="45"/>
        <v>#DIV/0!</v>
      </c>
      <c r="AO29" s="97"/>
      <c r="AP29" s="97"/>
      <c r="AQ29" s="11" t="e">
        <f t="shared" si="46"/>
        <v>#DIV/0!</v>
      </c>
      <c r="AR29" s="97"/>
      <c r="AS29" s="97"/>
      <c r="AT29" s="50">
        <f>AH29/(AG$4*1000)</f>
        <v>0</v>
      </c>
      <c r="AU29" s="50">
        <f>AU28+AT29</f>
        <v>0</v>
      </c>
      <c r="AV29" s="50">
        <f t="shared" si="47"/>
        <v>0</v>
      </c>
      <c r="AW29" s="11" t="e">
        <f t="shared" si="48"/>
        <v>#NUM!</v>
      </c>
      <c r="AX29" s="97"/>
      <c r="AY29" s="97"/>
      <c r="AZ29" s="11" t="e">
        <f t="shared" si="49"/>
        <v>#DIV/0!</v>
      </c>
      <c r="BA29" s="97"/>
      <c r="BB29" s="97"/>
      <c r="BC29" s="11" t="e">
        <f t="shared" si="50"/>
        <v>#DIV/0!</v>
      </c>
      <c r="BD29" s="97"/>
      <c r="BE29" s="97"/>
    </row>
    <row r="30" spans="1:60" x14ac:dyDescent="0.35">
      <c r="B30" s="7" t="s">
        <v>319</v>
      </c>
      <c r="C30" s="9">
        <v>0</v>
      </c>
      <c r="D30" s="9">
        <f t="shared" si="0"/>
        <v>0</v>
      </c>
      <c r="E30" s="9">
        <v>115.2</v>
      </c>
      <c r="F30" s="9">
        <v>0</v>
      </c>
      <c r="G30" s="11">
        <f>(E30-'Calibration lines '!$B$7)/'Calibration lines '!$B$8</f>
        <v>127.24316392269147</v>
      </c>
      <c r="H30" s="11">
        <f>(F30-'Calibration lines '!$B$13)/'Calibration lines '!$B$14</f>
        <v>3.0715154342067157E-2</v>
      </c>
      <c r="I30" s="11">
        <f t="shared" si="1"/>
        <v>0</v>
      </c>
      <c r="J30" s="11">
        <f t="shared" si="39"/>
        <v>0</v>
      </c>
      <c r="K30" s="89"/>
      <c r="L30" s="95"/>
      <c r="M30" s="91"/>
      <c r="N30" s="95"/>
      <c r="Y30" s="7" t="s">
        <v>321</v>
      </c>
      <c r="AA30" s="11">
        <v>0</v>
      </c>
      <c r="AB30" s="50">
        <f t="shared" si="43"/>
        <v>0</v>
      </c>
      <c r="AC30" s="50">
        <f t="shared" si="51"/>
        <v>0</v>
      </c>
      <c r="AE30" s="96"/>
      <c r="AF30" s="7">
        <v>28</v>
      </c>
      <c r="AH30" s="11">
        <f t="shared" si="52"/>
        <v>0</v>
      </c>
      <c r="AI30" s="11">
        <f t="shared" si="53"/>
        <v>0</v>
      </c>
      <c r="AJ30" s="11">
        <f t="shared" si="54"/>
        <v>0</v>
      </c>
      <c r="AK30" s="11" t="e">
        <f t="shared" si="44"/>
        <v>#NUM!</v>
      </c>
      <c r="AL30" s="97"/>
      <c r="AM30" s="97"/>
      <c r="AN30" s="11" t="e">
        <f t="shared" si="45"/>
        <v>#DIV/0!</v>
      </c>
      <c r="AO30" s="97"/>
      <c r="AP30" s="97"/>
      <c r="AQ30" s="11" t="e">
        <f t="shared" si="46"/>
        <v>#DIV/0!</v>
      </c>
      <c r="AR30" s="97"/>
      <c r="AS30" s="97"/>
      <c r="AT30" s="50">
        <f>AH30/(AG$4*1000)</f>
        <v>0</v>
      </c>
      <c r="AU30" s="50">
        <f>AU29+AT30</f>
        <v>0</v>
      </c>
      <c r="AV30" s="50">
        <f t="shared" si="47"/>
        <v>0</v>
      </c>
      <c r="AW30" s="11" t="e">
        <f t="shared" si="48"/>
        <v>#NUM!</v>
      </c>
      <c r="AX30" s="97"/>
      <c r="AY30" s="97"/>
      <c r="AZ30" s="11" t="e">
        <f t="shared" si="49"/>
        <v>#DIV/0!</v>
      </c>
      <c r="BA30" s="97"/>
      <c r="BB30" s="97"/>
      <c r="BC30" s="11" t="e">
        <f t="shared" si="50"/>
        <v>#DIV/0!</v>
      </c>
      <c r="BD30" s="97"/>
      <c r="BE30" s="97"/>
    </row>
    <row r="31" spans="1:60" x14ac:dyDescent="0.35">
      <c r="B31" s="7" t="s">
        <v>320</v>
      </c>
      <c r="C31" s="9">
        <v>0</v>
      </c>
      <c r="D31" s="9">
        <f t="shared" si="0"/>
        <v>0</v>
      </c>
      <c r="E31" s="9">
        <v>3.7</v>
      </c>
      <c r="F31" s="9">
        <v>0</v>
      </c>
      <c r="G31" s="11">
        <f>(E31-'Calibration lines '!$B$7)/'Calibration lines '!$B$8</f>
        <v>4.0504294917680745</v>
      </c>
      <c r="H31" s="11">
        <f>(F31-'Calibration lines '!$B$13)/'Calibration lines '!$B$14</f>
        <v>3.0715154342067157E-2</v>
      </c>
      <c r="I31" s="11">
        <f t="shared" si="1"/>
        <v>0</v>
      </c>
      <c r="J31" s="11">
        <f t="shared" si="39"/>
        <v>0</v>
      </c>
      <c r="K31" s="89"/>
      <c r="L31" s="95"/>
      <c r="M31" s="91"/>
      <c r="N31" s="95"/>
      <c r="Y31" s="62" t="s">
        <v>322</v>
      </c>
      <c r="Z31" s="64"/>
      <c r="AA31" s="63">
        <v>0</v>
      </c>
      <c r="AB31" s="65">
        <f t="shared" si="43"/>
        <v>0</v>
      </c>
      <c r="AC31" s="65">
        <f t="shared" si="51"/>
        <v>0</v>
      </c>
      <c r="AE31" s="96"/>
      <c r="AF31" s="62">
        <v>35</v>
      </c>
      <c r="AL31" s="65"/>
      <c r="AM31" s="65"/>
      <c r="AN31" s="65"/>
      <c r="AO31" s="65"/>
      <c r="AP31" s="65"/>
      <c r="AQ31" s="65"/>
      <c r="AR31" s="65"/>
      <c r="AS31" s="65"/>
      <c r="AT31" s="65">
        <f>AH31/(AG$4*1000)</f>
        <v>0</v>
      </c>
      <c r="AU31" s="65">
        <f>AU30+AT31</f>
        <v>0</v>
      </c>
      <c r="AV31" s="50"/>
      <c r="AW31" s="65"/>
      <c r="AX31" s="65"/>
      <c r="AY31" s="65"/>
      <c r="AZ31" s="65"/>
      <c r="BA31" s="65"/>
      <c r="BB31" s="65"/>
      <c r="BC31" s="65"/>
      <c r="BD31" s="65"/>
      <c r="BE31" s="65"/>
    </row>
    <row r="32" spans="1:60" x14ac:dyDescent="0.35">
      <c r="B32" s="7" t="s">
        <v>321</v>
      </c>
      <c r="C32" s="9">
        <v>950</v>
      </c>
      <c r="D32" s="9">
        <f t="shared" si="0"/>
        <v>0.95</v>
      </c>
      <c r="E32" s="9">
        <v>0.74</v>
      </c>
      <c r="F32" s="9">
        <v>0</v>
      </c>
      <c r="G32" s="11">
        <f>(E32-'Calibration lines '!$B$7)/'Calibration lines '!$B$8</f>
        <v>0.78002147458840432</v>
      </c>
      <c r="H32" s="11">
        <f>(F32-'Calibration lines '!$B$13)/'Calibration lines '!$B$14</f>
        <v>3.0715154342067157E-2</v>
      </c>
      <c r="I32" s="11">
        <f t="shared" si="1"/>
        <v>0.74102040085898402</v>
      </c>
      <c r="J32" s="11">
        <f t="shared" si="39"/>
        <v>2.9179396624963799E-2</v>
      </c>
      <c r="K32" s="89"/>
      <c r="L32" s="95"/>
      <c r="M32" s="91"/>
      <c r="N32" s="95"/>
      <c r="Y32" s="9" t="s">
        <v>11</v>
      </c>
      <c r="Z32" s="9">
        <f t="shared" si="42"/>
        <v>0.33994901960784429</v>
      </c>
      <c r="AE32" s="96"/>
      <c r="AF32" s="9" t="s">
        <v>11</v>
      </c>
      <c r="AG32" s="9">
        <f>'Total Values (Molar Ratio)'!E48</f>
        <v>0.33994901960784429</v>
      </c>
    </row>
    <row r="33" spans="1:57" x14ac:dyDescent="0.35">
      <c r="B33" s="62" t="s">
        <v>322</v>
      </c>
      <c r="C33" s="64">
        <v>500</v>
      </c>
      <c r="D33" s="64">
        <f t="shared" si="0"/>
        <v>0.5</v>
      </c>
      <c r="E33" s="64">
        <v>0</v>
      </c>
      <c r="F33" s="64">
        <v>0</v>
      </c>
      <c r="G33" s="63">
        <f>(E33-'Calibration lines '!$B$7)/'Calibration lines '!$B$8</f>
        <v>-3.7580529706513259E-2</v>
      </c>
      <c r="H33" s="63">
        <f>(F33-'Calibration lines '!$B$13)/'Calibration lines '!$B$14</f>
        <v>3.0715154342067157E-2</v>
      </c>
      <c r="I33" s="63">
        <f t="shared" si="1"/>
        <v>-1.879026485325663E-2</v>
      </c>
      <c r="J33" s="63">
        <f t="shared" si="39"/>
        <v>1.5357577171033579E-2</v>
      </c>
      <c r="K33" s="89"/>
      <c r="L33" s="95"/>
      <c r="M33" s="91"/>
      <c r="N33" s="95"/>
      <c r="Y33" s="7" t="s">
        <v>318</v>
      </c>
      <c r="AA33" s="9">
        <f>(J19+J24+J29)/3</f>
        <v>1.8326708757433405E-2</v>
      </c>
      <c r="AB33" s="50">
        <f>AA33/(Z$10*1000)</f>
        <v>2.7554085865071798E-5</v>
      </c>
      <c r="AC33" s="50">
        <f>AB33</f>
        <v>2.7554085865071798E-5</v>
      </c>
      <c r="AE33" s="96"/>
      <c r="AF33" s="7">
        <v>1</v>
      </c>
      <c r="AH33" s="9">
        <f>AA33</f>
        <v>1.8326708757433405E-2</v>
      </c>
      <c r="AI33" s="11">
        <f>AH33</f>
        <v>1.8326708757433405E-2</v>
      </c>
      <c r="AJ33" s="11">
        <f>AI33/AF33</f>
        <v>1.8326708757433405E-2</v>
      </c>
      <c r="AK33" s="11">
        <f>LN(AI33)</f>
        <v>-3.9993957882206188</v>
      </c>
      <c r="AL33" s="97">
        <f>-(SLOPE(AK33:AK36,$AF33:$AF36))</f>
        <v>-5.3466509998488732E-2</v>
      </c>
      <c r="AM33" s="97">
        <f>(RSQ(AK33:AK36,$AF33:$AF36))</f>
        <v>0.87733989025525094</v>
      </c>
      <c r="AN33" s="11">
        <f>1/AI33</f>
        <v>54.565171151879355</v>
      </c>
      <c r="AO33" s="97">
        <f>(SLOPE(AN33:AN36,$AF33:$AF36))</f>
        <v>-1.3858812491185151</v>
      </c>
      <c r="AP33" s="97">
        <f>(RSQ(AN33:AN36,$AF33:$AF36))</f>
        <v>0.70840672211102984</v>
      </c>
      <c r="AQ33" s="11">
        <f>1/(AI33*AI33)</f>
        <v>2977.3579028338872</v>
      </c>
      <c r="AR33" s="97">
        <f>(SLOPE(AQ33:AQ36,$AF33:$AF36))/2</f>
        <v>-43.41221365247462</v>
      </c>
      <c r="AS33" s="97">
        <f>(RSQ(AQ33:AQ36,$AF33:$AF36))</f>
        <v>0.57669871128554195</v>
      </c>
      <c r="AT33" s="50">
        <f>AH33/(AG$10*1000)</f>
        <v>2.7554085865071798E-5</v>
      </c>
      <c r="AU33" s="50">
        <f>AT33</f>
        <v>2.7554085865071798E-5</v>
      </c>
      <c r="AV33" s="50">
        <f>AU33/AF33</f>
        <v>2.7554085865071798E-5</v>
      </c>
      <c r="AW33" s="11">
        <f>LN(AU33)</f>
        <v>-10.499359726099652</v>
      </c>
      <c r="AX33" s="97">
        <f>-(SLOPE(AW33:AW36,$AF33:$AF36))</f>
        <v>-5.3466509998488759E-2</v>
      </c>
      <c r="AY33" s="97">
        <f>(RSQ(AW33:AW36,$AF33:$AF36))</f>
        <v>0.87733989025525139</v>
      </c>
      <c r="AZ33" s="11">
        <f>1/AU33</f>
        <v>36292.258247900114</v>
      </c>
      <c r="BA33" s="97">
        <f>(SLOPE(AZ33:AZ36,$AF33:$AF36))</f>
        <v>-921.77407551665306</v>
      </c>
      <c r="BB33" s="97">
        <f>(RSQ(AZ33:AZ36,$AF33:$AF36))</f>
        <v>0.7084067221110304</v>
      </c>
      <c r="BC33" s="11">
        <f>1/(AU33*AU33)</f>
        <v>1317128008.7322741</v>
      </c>
      <c r="BD33" s="97">
        <f>-(SLOPE(BC33:BC36,$AF33:$AF36))</f>
        <v>38409519.035867214</v>
      </c>
      <c r="BE33" s="97">
        <f>(RSQ(BC33:BC36,$AF33:$AF36))</f>
        <v>0.57669871128554218</v>
      </c>
    </row>
    <row r="34" spans="1:57" x14ac:dyDescent="0.35">
      <c r="A34" s="9" t="s">
        <v>206</v>
      </c>
      <c r="B34" s="7" t="s">
        <v>318</v>
      </c>
      <c r="D34" s="9">
        <f t="shared" si="0"/>
        <v>0</v>
      </c>
      <c r="E34" s="9">
        <v>0</v>
      </c>
      <c r="G34" s="11">
        <f>(E34-'Calibration lines '!$B$7)/'Calibration lines '!$B$8</f>
        <v>-3.7580529706513259E-2</v>
      </c>
      <c r="H34" s="11">
        <f>(F34-'Calibration lines '!$B$13)/'Calibration lines '!$B$14</f>
        <v>3.0715154342067157E-2</v>
      </c>
      <c r="I34" s="11">
        <f t="shared" si="1"/>
        <v>0</v>
      </c>
      <c r="J34" s="11">
        <f t="shared" si="39"/>
        <v>0</v>
      </c>
      <c r="K34" s="90"/>
      <c r="L34" s="14"/>
      <c r="M34" s="91">
        <f>SUM(J34:J37)</f>
        <v>5.3444368555196853E-2</v>
      </c>
      <c r="N34" s="95">
        <f>SUM(J34:J37)/('Total Values (Molar Ratio)'!E$49*1000)</f>
        <v>5.2789775340968843E-5</v>
      </c>
      <c r="Y34" s="7" t="s">
        <v>319</v>
      </c>
      <c r="AA34" s="9">
        <f t="shared" ref="AA34" si="55">(J20+J25+J30)/3</f>
        <v>2.1910143430674572E-2</v>
      </c>
      <c r="AB34" s="50">
        <f t="shared" ref="AB34:AB37" si="56">AA34/(Z$10*1000)</f>
        <v>3.2941756285616559E-5</v>
      </c>
      <c r="AC34" s="50">
        <f>AC33+AB34</f>
        <v>6.049584215068836E-5</v>
      </c>
      <c r="AE34" s="96"/>
      <c r="AF34" s="7">
        <v>7</v>
      </c>
      <c r="AH34" s="9">
        <f t="shared" ref="AH34:AH36" si="57">AA34</f>
        <v>2.1910143430674572E-2</v>
      </c>
      <c r="AI34" s="11">
        <f>AH34+AI33</f>
        <v>4.0236852188107977E-2</v>
      </c>
      <c r="AJ34" s="11">
        <f t="shared" ref="AJ34:AJ36" si="58">AI34/AF34</f>
        <v>5.7481217411582824E-3</v>
      </c>
      <c r="AK34" s="11">
        <f t="shared" ref="AK34:AK36" si="59">LN(AI34)</f>
        <v>-3.2129719821921126</v>
      </c>
      <c r="AL34" s="97"/>
      <c r="AM34" s="97"/>
      <c r="AN34" s="11">
        <f t="shared" ref="AN34:AN36" si="60">1/AI34</f>
        <v>24.852838768922151</v>
      </c>
      <c r="AO34" s="97"/>
      <c r="AP34" s="97"/>
      <c r="AQ34" s="11">
        <f t="shared" ref="AQ34:AQ36" si="61">1/(AI34*AI34)</f>
        <v>617.66359487403986</v>
      </c>
      <c r="AR34" s="97"/>
      <c r="AS34" s="97"/>
      <c r="AT34" s="50">
        <f>AH34/(AG$10*1000)</f>
        <v>3.2941756285616559E-5</v>
      </c>
      <c r="AU34" s="50">
        <f>AU33+AT34</f>
        <v>6.049584215068836E-5</v>
      </c>
      <c r="AV34" s="50">
        <f t="shared" ref="AV34:AV36" si="62">AU34/AF34</f>
        <v>8.6422631643840507E-6</v>
      </c>
      <c r="AW34" s="11">
        <f t="shared" ref="AW34:AW36" si="63">LN(AU34)</f>
        <v>-9.7129359200711445</v>
      </c>
      <c r="AX34" s="97"/>
      <c r="AY34" s="97"/>
      <c r="AZ34" s="11">
        <f t="shared" ref="AZ34:AZ36" si="64">1/AU34</f>
        <v>16530.061644717865</v>
      </c>
      <c r="BA34" s="97"/>
      <c r="BB34" s="97"/>
      <c r="BC34" s="11">
        <f t="shared" ref="BC34:BC36" si="65">1/(AU34*AU34)</f>
        <v>273242937.97817272</v>
      </c>
      <c r="BD34" s="97"/>
      <c r="BE34" s="97"/>
    </row>
    <row r="35" spans="1:57" x14ac:dyDescent="0.35">
      <c r="B35" s="7" t="s">
        <v>319</v>
      </c>
      <c r="D35" s="9">
        <f t="shared" si="0"/>
        <v>0</v>
      </c>
      <c r="E35" s="9">
        <v>0</v>
      </c>
      <c r="G35" s="11">
        <f>(E35-'Calibration lines '!$B$7)/'Calibration lines '!$B$8</f>
        <v>-3.7580529706513259E-2</v>
      </c>
      <c r="H35" s="11">
        <f>(F35-'Calibration lines '!$B$13)/'Calibration lines '!$B$14</f>
        <v>3.0715154342067157E-2</v>
      </c>
      <c r="I35" s="11">
        <f t="shared" si="1"/>
        <v>0</v>
      </c>
      <c r="J35" s="11">
        <f t="shared" si="39"/>
        <v>0</v>
      </c>
      <c r="K35" s="90"/>
      <c r="L35" s="14"/>
      <c r="M35" s="91"/>
      <c r="N35" s="95"/>
      <c r="Y35" s="7" t="s">
        <v>320</v>
      </c>
      <c r="AA35" s="9">
        <f>(J21+J26+J31)/3</f>
        <v>1.6893334888136935E-2</v>
      </c>
      <c r="AB35" s="50">
        <f t="shared" si="56"/>
        <v>2.5399017696853889E-5</v>
      </c>
      <c r="AC35" s="50">
        <f t="shared" ref="AC35:AC37" si="66">AC34+AB35</f>
        <v>8.5894859847542249E-5</v>
      </c>
      <c r="AE35" s="96"/>
      <c r="AF35" s="7">
        <v>14</v>
      </c>
      <c r="AH35" s="9">
        <f t="shared" si="57"/>
        <v>1.6893334888136935E-2</v>
      </c>
      <c r="AI35" s="11">
        <f t="shared" ref="AI35:AI36" si="67">AH35+AI34</f>
        <v>5.7130187076244912E-2</v>
      </c>
      <c r="AJ35" s="11">
        <f t="shared" si="58"/>
        <v>4.0807276483032081E-3</v>
      </c>
      <c r="AK35" s="11">
        <f t="shared" si="59"/>
        <v>-2.8624226316800629</v>
      </c>
      <c r="AL35" s="97"/>
      <c r="AM35" s="97"/>
      <c r="AN35" s="11">
        <f t="shared" si="60"/>
        <v>17.503881068434417</v>
      </c>
      <c r="AO35" s="97"/>
      <c r="AP35" s="97"/>
      <c r="AQ35" s="11">
        <f t="shared" si="61"/>
        <v>306.38585245789682</v>
      </c>
      <c r="AR35" s="97"/>
      <c r="AS35" s="97"/>
      <c r="AT35" s="50">
        <f>AH35/(AG$10*1000)</f>
        <v>2.5399017696853889E-5</v>
      </c>
      <c r="AU35" s="50">
        <f>AU34+AT35</f>
        <v>8.5894859847542249E-5</v>
      </c>
      <c r="AV35" s="50">
        <f t="shared" si="62"/>
        <v>6.1353471319673035E-6</v>
      </c>
      <c r="AW35" s="11">
        <f t="shared" si="63"/>
        <v>-9.3623865695590958</v>
      </c>
      <c r="AX35" s="97"/>
      <c r="AY35" s="97"/>
      <c r="AZ35" s="11">
        <f t="shared" si="64"/>
        <v>11642.140190634625</v>
      </c>
      <c r="BA35" s="97"/>
      <c r="BB35" s="97"/>
      <c r="BC35" s="11">
        <f t="shared" si="65"/>
        <v>135539428.21839005</v>
      </c>
      <c r="BD35" s="97"/>
      <c r="BE35" s="97"/>
    </row>
    <row r="36" spans="1:57" x14ac:dyDescent="0.35">
      <c r="B36" s="7" t="s">
        <v>320</v>
      </c>
      <c r="D36" s="9">
        <f t="shared" si="0"/>
        <v>0</v>
      </c>
      <c r="E36" s="9">
        <v>0</v>
      </c>
      <c r="G36" s="11">
        <f>(E36-'Calibration lines '!$B$7)/'Calibration lines '!$B$8</f>
        <v>-3.7580529706513259E-2</v>
      </c>
      <c r="H36" s="11">
        <f>(F36-'Calibration lines '!$B$13)/'Calibration lines '!$B$14</f>
        <v>3.0715154342067157E-2</v>
      </c>
      <c r="I36" s="11">
        <f t="shared" si="1"/>
        <v>0</v>
      </c>
      <c r="J36" s="11">
        <f t="shared" si="39"/>
        <v>0</v>
      </c>
      <c r="K36" s="90"/>
      <c r="L36" s="14"/>
      <c r="M36" s="91"/>
      <c r="N36" s="95"/>
      <c r="Y36" s="7" t="s">
        <v>321</v>
      </c>
      <c r="AA36" s="9">
        <f>(J22+J27+J32)/3</f>
        <v>3.0612770494260266E-2</v>
      </c>
      <c r="AB36" s="50">
        <f t="shared" si="56"/>
        <v>4.6026098735510988E-5</v>
      </c>
      <c r="AC36" s="50">
        <f t="shared" si="66"/>
        <v>1.3192095858305324E-4</v>
      </c>
      <c r="AE36" s="96"/>
      <c r="AF36" s="7">
        <v>28</v>
      </c>
      <c r="AH36" s="9">
        <f t="shared" si="57"/>
        <v>3.0612770494260266E-2</v>
      </c>
      <c r="AI36" s="11">
        <f t="shared" si="67"/>
        <v>8.7742957570505181E-2</v>
      </c>
      <c r="AJ36" s="11">
        <f t="shared" si="58"/>
        <v>3.1336770560894708E-3</v>
      </c>
      <c r="AK36" s="11">
        <f t="shared" si="59"/>
        <v>-2.4333436754635938</v>
      </c>
      <c r="AL36" s="97"/>
      <c r="AM36" s="97"/>
      <c r="AN36" s="11">
        <f t="shared" si="60"/>
        <v>11.39692606322801</v>
      </c>
      <c r="AO36" s="97"/>
      <c r="AP36" s="97"/>
      <c r="AQ36" s="11">
        <f t="shared" si="61"/>
        <v>129.88992369068592</v>
      </c>
      <c r="AR36" s="97"/>
      <c r="AS36" s="97"/>
      <c r="AT36" s="50">
        <f>AH36/(AG$10*1000)</f>
        <v>4.6026098735510988E-5</v>
      </c>
      <c r="AU36" s="50">
        <f>AU35+AT36</f>
        <v>1.3192095858305324E-4</v>
      </c>
      <c r="AV36" s="50">
        <f t="shared" si="62"/>
        <v>4.7114628065376157E-6</v>
      </c>
      <c r="AW36" s="11">
        <f t="shared" si="63"/>
        <v>-8.9333076133426257</v>
      </c>
      <c r="AX36" s="97"/>
      <c r="AY36" s="97"/>
      <c r="AZ36" s="11">
        <f t="shared" si="64"/>
        <v>7580.2966468776212</v>
      </c>
      <c r="BA36" s="97"/>
      <c r="BB36" s="97"/>
      <c r="BC36" s="11">
        <f t="shared" si="65"/>
        <v>57460897.254664101</v>
      </c>
      <c r="BD36" s="97"/>
      <c r="BE36" s="97"/>
    </row>
    <row r="37" spans="1:57" x14ac:dyDescent="0.35">
      <c r="B37" s="7" t="s">
        <v>321</v>
      </c>
      <c r="C37" s="9">
        <v>1740</v>
      </c>
      <c r="D37" s="9">
        <f t="shared" si="0"/>
        <v>1.74</v>
      </c>
      <c r="E37" s="9">
        <v>0</v>
      </c>
      <c r="G37" s="11">
        <f>(E37-'Calibration lines '!$B$7)/'Calibration lines '!$B$8</f>
        <v>-3.7580529706513259E-2</v>
      </c>
      <c r="H37" s="11">
        <f>(F37-'Calibration lines '!$B$13)/'Calibration lines '!$B$14</f>
        <v>3.0715154342067157E-2</v>
      </c>
      <c r="I37" s="11">
        <f t="shared" si="1"/>
        <v>-6.5390121689333072E-2</v>
      </c>
      <c r="J37" s="11">
        <f t="shared" si="39"/>
        <v>5.3444368555196853E-2</v>
      </c>
      <c r="K37" s="90"/>
      <c r="L37" s="14"/>
      <c r="M37" s="91"/>
      <c r="N37" s="95"/>
      <c r="Y37" s="62" t="s">
        <v>322</v>
      </c>
      <c r="Z37" s="64"/>
      <c r="AA37" s="64">
        <f>(J23+J28+J33)/3</f>
        <v>2.1500608039447009E-2</v>
      </c>
      <c r="AB37" s="65">
        <f t="shared" si="56"/>
        <v>3.2326022523268585E-5</v>
      </c>
      <c r="AC37" s="65">
        <f t="shared" si="66"/>
        <v>1.6424698110632183E-4</v>
      </c>
      <c r="AE37" s="96"/>
      <c r="AF37" s="62">
        <v>35</v>
      </c>
      <c r="AL37" s="65"/>
      <c r="AM37" s="65"/>
      <c r="AN37" s="65"/>
      <c r="AO37" s="65"/>
      <c r="AP37" s="65"/>
      <c r="AQ37" s="65"/>
      <c r="AR37" s="65"/>
      <c r="AS37" s="65"/>
      <c r="AT37" s="65">
        <f>AH37/(AG$10*1000)</f>
        <v>0</v>
      </c>
      <c r="AU37" s="65">
        <f>AU36+AT37</f>
        <v>1.3192095858305324E-4</v>
      </c>
      <c r="AV37" s="50"/>
      <c r="AW37" s="65"/>
      <c r="AX37" s="65"/>
      <c r="AY37" s="65"/>
      <c r="AZ37" s="65"/>
      <c r="BA37" s="65"/>
      <c r="BB37" s="65"/>
      <c r="BC37" s="65"/>
      <c r="BD37" s="65"/>
      <c r="BE37" s="65"/>
    </row>
    <row r="38" spans="1:57" x14ac:dyDescent="0.35">
      <c r="B38" s="62" t="s">
        <v>322</v>
      </c>
      <c r="C38" s="64">
        <v>900</v>
      </c>
      <c r="D38" s="64">
        <f t="shared" si="0"/>
        <v>0.9</v>
      </c>
      <c r="E38" s="64">
        <v>0</v>
      </c>
      <c r="F38" s="64"/>
      <c r="G38" s="63">
        <f>(E38-'Calibration lines '!$B$7)/'Calibration lines '!$B$8</f>
        <v>-3.7580529706513259E-2</v>
      </c>
      <c r="H38" s="63">
        <f>(F38-'Calibration lines '!$B$13)/'Calibration lines '!$B$14</f>
        <v>3.0715154342067157E-2</v>
      </c>
      <c r="I38" s="63">
        <f t="shared" si="1"/>
        <v>-3.3822476735861931E-2</v>
      </c>
      <c r="J38" s="63">
        <f t="shared" si="39"/>
        <v>2.7643638907860441E-2</v>
      </c>
      <c r="K38" s="90"/>
      <c r="L38" s="14"/>
      <c r="M38" s="91"/>
      <c r="N38" s="95"/>
      <c r="Y38" s="9" t="s">
        <v>12</v>
      </c>
      <c r="Z38" s="9">
        <f t="shared" si="42"/>
        <v>1.0124</v>
      </c>
      <c r="AE38" s="96"/>
      <c r="AF38" s="9" t="s">
        <v>12</v>
      </c>
      <c r="AG38" s="9">
        <f>'Total Values '!$B$35</f>
        <v>1.0124</v>
      </c>
    </row>
    <row r="39" spans="1:57" x14ac:dyDescent="0.35">
      <c r="A39" s="9" t="s">
        <v>225</v>
      </c>
      <c r="B39" s="7" t="s">
        <v>318</v>
      </c>
      <c r="D39" s="9">
        <f t="shared" si="0"/>
        <v>0</v>
      </c>
      <c r="E39" s="9">
        <v>0</v>
      </c>
      <c r="G39" s="11">
        <f>(E39-'Calibration lines '!$B$7)/'Calibration lines '!$B$8</f>
        <v>-3.7580529706513259E-2</v>
      </c>
      <c r="H39" s="11">
        <f>(F39-'Calibration lines '!$B$13)/'Calibration lines '!$B$14</f>
        <v>3.0715154342067157E-2</v>
      </c>
      <c r="I39" s="11">
        <f t="shared" si="1"/>
        <v>0</v>
      </c>
      <c r="J39" s="11">
        <f t="shared" si="39"/>
        <v>0</v>
      </c>
      <c r="K39" s="90"/>
      <c r="L39" s="14"/>
      <c r="M39" s="91">
        <f>SUM(J39:J42)</f>
        <v>0.1090387979143384</v>
      </c>
      <c r="N39" s="95">
        <f>SUM(J39:J42)/('Total Values (Molar Ratio)'!E$49*1000)</f>
        <v>1.0770327727611458E-4</v>
      </c>
      <c r="Y39" s="7" t="s">
        <v>318</v>
      </c>
      <c r="AA39" s="9">
        <f>(J34+J39+J44)/3</f>
        <v>0</v>
      </c>
      <c r="AB39" s="50">
        <f>AA39/(Z$16*1000)</f>
        <v>0</v>
      </c>
      <c r="AC39" s="50">
        <f>AB39</f>
        <v>0</v>
      </c>
      <c r="AE39" s="96"/>
      <c r="AF39" s="7">
        <v>1</v>
      </c>
      <c r="AH39" s="9">
        <f>AA39</f>
        <v>0</v>
      </c>
      <c r="AI39" s="11">
        <f>AH39</f>
        <v>0</v>
      </c>
      <c r="AJ39" s="11">
        <f>AI39/AF39</f>
        <v>0</v>
      </c>
      <c r="AK39" s="11" t="e">
        <f>LN(AI39)</f>
        <v>#NUM!</v>
      </c>
      <c r="AL39" s="91" t="e">
        <f>-(SLOPE(AK39:AK42,$AF39:$AF42))</f>
        <v>#NUM!</v>
      </c>
      <c r="AM39" s="91" t="e">
        <f>(RSQ(AK39:AK42,$AF39:$AF42))</f>
        <v>#NUM!</v>
      </c>
      <c r="AN39" s="11" t="e">
        <f>1/AI39</f>
        <v>#DIV/0!</v>
      </c>
      <c r="AO39" s="97" t="e">
        <f>(SLOPE(AN39:AN42,$AF39:$AF42))</f>
        <v>#DIV/0!</v>
      </c>
      <c r="AP39" s="97" t="e">
        <f>(RSQ(AN39:AN42,$AF39:$AF42))</f>
        <v>#DIV/0!</v>
      </c>
      <c r="AQ39" s="11" t="e">
        <f>1/(AI39*AI39)</f>
        <v>#DIV/0!</v>
      </c>
      <c r="AR39" s="97" t="e">
        <f>(SLOPE(AQ39:AQ42,$AF39:$AF42))/2</f>
        <v>#DIV/0!</v>
      </c>
      <c r="AS39" s="97" t="e">
        <f>(RSQ(AQ39:AQ42,$AF39:$AF42))</f>
        <v>#DIV/0!</v>
      </c>
      <c r="AT39" s="50">
        <f>AH39/(AG$38*1000)</f>
        <v>0</v>
      </c>
      <c r="AU39" s="50">
        <f>AT39</f>
        <v>0</v>
      </c>
      <c r="AV39" s="50">
        <f>AU39/AF39</f>
        <v>0</v>
      </c>
      <c r="AW39" s="11" t="e">
        <f>LN(AU39)</f>
        <v>#NUM!</v>
      </c>
      <c r="AX39" s="97" t="e">
        <f>-(SLOPE(AW39:AW42,$AF39:$AF42))</f>
        <v>#NUM!</v>
      </c>
      <c r="AY39" s="97" t="e">
        <f>(RSQ(AW39:AW42,$AF39:$AF42))</f>
        <v>#NUM!</v>
      </c>
      <c r="AZ39" s="11" t="e">
        <f>1/AU39</f>
        <v>#DIV/0!</v>
      </c>
      <c r="BA39" s="97" t="e">
        <f>(SLOPE(AZ39:AZ42,$AF39:$AF42))</f>
        <v>#DIV/0!</v>
      </c>
      <c r="BB39" s="97" t="e">
        <f>(RSQ(AZ39:AZ42,$AF39:$AF42))</f>
        <v>#DIV/0!</v>
      </c>
      <c r="BC39" s="11" t="e">
        <f>1/(AU39*AU39)</f>
        <v>#DIV/0!</v>
      </c>
      <c r="BD39" s="91" t="e">
        <f>-(SLOPE(BC39:BC42,$AF39:$AF42))</f>
        <v>#DIV/0!</v>
      </c>
      <c r="BE39" s="91" t="e">
        <f>(RSQ(BC39:BC42,$AF39:$AF42))</f>
        <v>#DIV/0!</v>
      </c>
    </row>
    <row r="40" spans="1:57" x14ac:dyDescent="0.35">
      <c r="B40" s="7" t="s">
        <v>319</v>
      </c>
      <c r="D40" s="9">
        <f t="shared" si="0"/>
        <v>0</v>
      </c>
      <c r="E40" s="9">
        <v>0</v>
      </c>
      <c r="G40" s="11">
        <f>(E40-'Calibration lines '!$B$7)/'Calibration lines '!$B$8</f>
        <v>-3.7580529706513259E-2</v>
      </c>
      <c r="H40" s="11">
        <f>(F40-'Calibration lines '!$B$13)/'Calibration lines '!$B$14</f>
        <v>3.0715154342067157E-2</v>
      </c>
      <c r="I40" s="11">
        <f t="shared" si="1"/>
        <v>0</v>
      </c>
      <c r="J40" s="11">
        <f t="shared" si="39"/>
        <v>0</v>
      </c>
      <c r="K40" s="90"/>
      <c r="L40" s="14"/>
      <c r="M40" s="91"/>
      <c r="N40" s="95"/>
      <c r="Y40" s="7" t="s">
        <v>319</v>
      </c>
      <c r="AA40" s="9">
        <f t="shared" ref="AA40:AA42" si="68">(J35+J40+J45)/3</f>
        <v>0</v>
      </c>
      <c r="AB40" s="50">
        <f t="shared" ref="AB40:AB43" si="69">AA40/(Z$16*1000)</f>
        <v>0</v>
      </c>
      <c r="AC40" s="50">
        <f>AC39+AB40</f>
        <v>0</v>
      </c>
      <c r="AE40" s="96"/>
      <c r="AF40" s="7">
        <v>7</v>
      </c>
      <c r="AH40" s="9">
        <f t="shared" ref="AH40:AH42" si="70">AA40</f>
        <v>0</v>
      </c>
      <c r="AI40" s="11">
        <f>AH40+AI39</f>
        <v>0</v>
      </c>
      <c r="AJ40" s="11">
        <f t="shared" ref="AJ40:AJ42" si="71">AI40/AF40</f>
        <v>0</v>
      </c>
      <c r="AK40" s="11" t="e">
        <f t="shared" ref="AK40:AK42" si="72">LN(AI40)</f>
        <v>#NUM!</v>
      </c>
      <c r="AL40" s="91"/>
      <c r="AM40" s="91"/>
      <c r="AN40" s="11" t="e">
        <f t="shared" ref="AN40:AN42" si="73">1/AI40</f>
        <v>#DIV/0!</v>
      </c>
      <c r="AO40" s="97"/>
      <c r="AP40" s="97"/>
      <c r="AQ40" s="11" t="e">
        <f t="shared" ref="AQ40:AQ42" si="74">1/(AI40*AI40)</f>
        <v>#DIV/0!</v>
      </c>
      <c r="AR40" s="97"/>
      <c r="AS40" s="97"/>
      <c r="AT40" s="50">
        <f>AH40/(AG$38*1000)</f>
        <v>0</v>
      </c>
      <c r="AU40" s="50">
        <f>AU39+AT40</f>
        <v>0</v>
      </c>
      <c r="AV40" s="50">
        <f t="shared" ref="AV40:AV42" si="75">AU40/AF40</f>
        <v>0</v>
      </c>
      <c r="AW40" s="11" t="e">
        <f t="shared" ref="AW40:AW42" si="76">LN(AU40)</f>
        <v>#NUM!</v>
      </c>
      <c r="AX40" s="97"/>
      <c r="AY40" s="97"/>
      <c r="AZ40" s="11" t="e">
        <f t="shared" ref="AZ40:AZ42" si="77">1/AU40</f>
        <v>#DIV/0!</v>
      </c>
      <c r="BA40" s="97"/>
      <c r="BB40" s="97"/>
      <c r="BC40" s="11" t="e">
        <f t="shared" ref="BC40:BC42" si="78">1/(AU40*AU40)</f>
        <v>#DIV/0!</v>
      </c>
      <c r="BD40" s="91"/>
      <c r="BE40" s="91"/>
    </row>
    <row r="41" spans="1:57" x14ac:dyDescent="0.35">
      <c r="B41" s="7" t="s">
        <v>320</v>
      </c>
      <c r="D41" s="9">
        <f t="shared" si="0"/>
        <v>0</v>
      </c>
      <c r="E41" s="9">
        <v>0</v>
      </c>
      <c r="G41" s="11">
        <f>(E41-'Calibration lines '!$B$7)/'Calibration lines '!$B$8</f>
        <v>-3.7580529706513259E-2</v>
      </c>
      <c r="H41" s="11">
        <f>(F41-'Calibration lines '!$B$13)/'Calibration lines '!$B$14</f>
        <v>3.0715154342067157E-2</v>
      </c>
      <c r="I41" s="11">
        <f t="shared" si="1"/>
        <v>0</v>
      </c>
      <c r="J41" s="11">
        <f t="shared" si="39"/>
        <v>0</v>
      </c>
      <c r="K41" s="90"/>
      <c r="L41" s="14"/>
      <c r="M41" s="91"/>
      <c r="N41" s="95"/>
      <c r="Y41" s="7" t="s">
        <v>320</v>
      </c>
      <c r="AA41" s="9">
        <f t="shared" si="68"/>
        <v>0</v>
      </c>
      <c r="AB41" s="50">
        <f t="shared" si="69"/>
        <v>0</v>
      </c>
      <c r="AC41" s="50">
        <f t="shared" ref="AC41:AC43" si="79">AC40+AB41</f>
        <v>0</v>
      </c>
      <c r="AE41" s="96"/>
      <c r="AF41" s="7">
        <v>14</v>
      </c>
      <c r="AH41" s="9">
        <f t="shared" si="70"/>
        <v>0</v>
      </c>
      <c r="AI41" s="11">
        <f t="shared" ref="AI41:AI42" si="80">AH41+AI40</f>
        <v>0</v>
      </c>
      <c r="AJ41" s="11">
        <f t="shared" si="71"/>
        <v>0</v>
      </c>
      <c r="AK41" s="11" t="e">
        <f t="shared" si="72"/>
        <v>#NUM!</v>
      </c>
      <c r="AL41" s="91"/>
      <c r="AM41" s="91"/>
      <c r="AN41" s="11" t="e">
        <f t="shared" si="73"/>
        <v>#DIV/0!</v>
      </c>
      <c r="AO41" s="97"/>
      <c r="AP41" s="97"/>
      <c r="AQ41" s="11" t="e">
        <f t="shared" si="74"/>
        <v>#DIV/0!</v>
      </c>
      <c r="AR41" s="97"/>
      <c r="AS41" s="97"/>
      <c r="AT41" s="50">
        <f>AH41/(AG$38*1000)</f>
        <v>0</v>
      </c>
      <c r="AU41" s="50">
        <f>AU40+AT41</f>
        <v>0</v>
      </c>
      <c r="AV41" s="50">
        <f t="shared" si="75"/>
        <v>0</v>
      </c>
      <c r="AW41" s="11" t="e">
        <f t="shared" si="76"/>
        <v>#NUM!</v>
      </c>
      <c r="AX41" s="97"/>
      <c r="AY41" s="97"/>
      <c r="AZ41" s="11" t="e">
        <f t="shared" si="77"/>
        <v>#DIV/0!</v>
      </c>
      <c r="BA41" s="97"/>
      <c r="BB41" s="97"/>
      <c r="BC41" s="11" t="e">
        <f t="shared" si="78"/>
        <v>#DIV/0!</v>
      </c>
      <c r="BD41" s="91"/>
      <c r="BE41" s="91"/>
    </row>
    <row r="42" spans="1:57" x14ac:dyDescent="0.35">
      <c r="B42" s="7" t="s">
        <v>321</v>
      </c>
      <c r="C42" s="9">
        <v>3550</v>
      </c>
      <c r="D42" s="9">
        <f t="shared" si="0"/>
        <v>3.55</v>
      </c>
      <c r="E42" s="9">
        <v>0</v>
      </c>
      <c r="G42" s="11">
        <f>(E42-'Calibration lines '!$B$7)/'Calibration lines '!$B$8</f>
        <v>-3.7580529706513259E-2</v>
      </c>
      <c r="H42" s="11">
        <f>(F42-'Calibration lines '!$B$13)/'Calibration lines '!$B$14</f>
        <v>3.0715154342067157E-2</v>
      </c>
      <c r="I42" s="11">
        <f t="shared" si="1"/>
        <v>-0.13341088045812205</v>
      </c>
      <c r="J42" s="11">
        <f t="shared" si="39"/>
        <v>0.1090387979143384</v>
      </c>
      <c r="K42" s="90"/>
      <c r="L42" s="14"/>
      <c r="M42" s="91"/>
      <c r="N42" s="95"/>
      <c r="Y42" s="7" t="s">
        <v>321</v>
      </c>
      <c r="AA42" s="9">
        <f t="shared" si="68"/>
        <v>5.4980126272300207E-2</v>
      </c>
      <c r="AB42" s="50">
        <f t="shared" si="69"/>
        <v>5.4306722908238057E-5</v>
      </c>
      <c r="AC42" s="50">
        <f t="shared" si="79"/>
        <v>5.4306722908238057E-5</v>
      </c>
      <c r="AE42" s="96"/>
      <c r="AF42" s="7">
        <v>28</v>
      </c>
      <c r="AH42" s="9">
        <f t="shared" si="70"/>
        <v>5.4980126272300207E-2</v>
      </c>
      <c r="AI42" s="11">
        <f t="shared" si="80"/>
        <v>5.4980126272300207E-2</v>
      </c>
      <c r="AJ42" s="11">
        <f t="shared" si="71"/>
        <v>1.9635759382964362E-3</v>
      </c>
      <c r="AK42" s="11">
        <f t="shared" si="72"/>
        <v>-2.9007834995525092</v>
      </c>
      <c r="AL42" s="91"/>
      <c r="AM42" s="91"/>
      <c r="AN42" s="11">
        <f t="shared" si="73"/>
        <v>18.188390383959788</v>
      </c>
      <c r="AO42" s="97"/>
      <c r="AP42" s="97"/>
      <c r="AQ42" s="11">
        <f t="shared" si="74"/>
        <v>330.81754475932087</v>
      </c>
      <c r="AR42" s="97"/>
      <c r="AS42" s="97"/>
      <c r="AT42" s="50">
        <f>AH42/(AG$38*1000)</f>
        <v>5.4306722908238057E-5</v>
      </c>
      <c r="AU42" s="50">
        <f>AU41+AT42</f>
        <v>5.4306722908238057E-5</v>
      </c>
      <c r="AV42" s="50">
        <f t="shared" si="75"/>
        <v>1.9395258181513594E-6</v>
      </c>
      <c r="AW42" s="11">
        <f t="shared" si="76"/>
        <v>-9.8208625282234774</v>
      </c>
      <c r="AX42" s="97"/>
      <c r="AY42" s="97"/>
      <c r="AZ42" s="11">
        <f t="shared" si="77"/>
        <v>18413.926424720888</v>
      </c>
      <c r="BA42" s="97"/>
      <c r="BB42" s="97"/>
      <c r="BC42" s="11">
        <f t="shared" si="78"/>
        <v>339072686.37503421</v>
      </c>
      <c r="BD42" s="91"/>
      <c r="BE42" s="91"/>
    </row>
    <row r="43" spans="1:57" x14ac:dyDescent="0.35">
      <c r="B43" s="62" t="s">
        <v>322</v>
      </c>
      <c r="C43" s="64">
        <v>3200</v>
      </c>
      <c r="D43" s="64">
        <f t="shared" si="0"/>
        <v>3.2</v>
      </c>
      <c r="E43" s="64">
        <v>0</v>
      </c>
      <c r="F43" s="64"/>
      <c r="G43" s="63">
        <f>(E43-'Calibration lines '!$B$7)/'Calibration lines '!$B$8</f>
        <v>-3.7580529706513259E-2</v>
      </c>
      <c r="H43" s="63">
        <f>(F43-'Calibration lines '!$B$13)/'Calibration lines '!$B$14</f>
        <v>3.0715154342067157E-2</v>
      </c>
      <c r="I43" s="63">
        <f t="shared" si="1"/>
        <v>-0.12025769506084244</v>
      </c>
      <c r="J43" s="63">
        <f t="shared" si="39"/>
        <v>9.8288493894614914E-2</v>
      </c>
      <c r="K43" s="90"/>
      <c r="L43" s="14"/>
      <c r="M43" s="91"/>
      <c r="N43" s="95"/>
      <c r="Y43" s="62" t="s">
        <v>322</v>
      </c>
      <c r="Z43" s="64"/>
      <c r="AA43" s="64">
        <f>(J38+J43+J48)/3</f>
        <v>4.1977377600825122E-2</v>
      </c>
      <c r="AB43" s="65">
        <f t="shared" si="69"/>
        <v>4.1463233505358677E-5</v>
      </c>
      <c r="AC43" s="65">
        <f t="shared" si="79"/>
        <v>9.5769956413596728E-5</v>
      </c>
      <c r="AE43" s="96"/>
      <c r="AF43" s="62">
        <v>35</v>
      </c>
    </row>
    <row r="44" spans="1:57" x14ac:dyDescent="0.35">
      <c r="A44" s="9" t="s">
        <v>242</v>
      </c>
      <c r="B44" s="7" t="s">
        <v>318</v>
      </c>
      <c r="D44" s="9">
        <f t="shared" si="0"/>
        <v>0</v>
      </c>
      <c r="E44" s="9">
        <v>0</v>
      </c>
      <c r="G44" s="11">
        <f>(E44-'Calibration lines '!$B$7)/'Calibration lines '!$B$8</f>
        <v>-3.7580529706513259E-2</v>
      </c>
      <c r="H44" s="11">
        <f>(F44-'Calibration lines '!$B$13)/'Calibration lines '!$B$14</f>
        <v>3.0715154342067157E-2</v>
      </c>
      <c r="I44" s="11">
        <f t="shared" si="1"/>
        <v>0</v>
      </c>
      <c r="J44" s="11">
        <f t="shared" si="39"/>
        <v>0</v>
      </c>
      <c r="K44" s="90"/>
      <c r="L44" s="14"/>
      <c r="M44" s="91">
        <f>SUM(J44:J47)</f>
        <v>2.4572123473653724E-3</v>
      </c>
      <c r="N44" s="95">
        <f>SUM(J44:J47)/('Total Values (Molar Ratio)'!E$49*1000)</f>
        <v>2.4271161076307512E-6</v>
      </c>
    </row>
    <row r="45" spans="1:57" x14ac:dyDescent="0.35">
      <c r="B45" s="7" t="s">
        <v>319</v>
      </c>
      <c r="D45" s="9">
        <f t="shared" si="0"/>
        <v>0</v>
      </c>
      <c r="E45" s="9">
        <v>0</v>
      </c>
      <c r="G45" s="11">
        <f>(E45-'Calibration lines '!$B$7)/'Calibration lines '!$B$8</f>
        <v>-3.7580529706513259E-2</v>
      </c>
      <c r="H45" s="11">
        <f>(F45-'Calibration lines '!$B$13)/'Calibration lines '!$B$14</f>
        <v>3.0715154342067157E-2</v>
      </c>
      <c r="I45" s="11">
        <f t="shared" si="1"/>
        <v>0</v>
      </c>
      <c r="J45" s="11">
        <f t="shared" si="39"/>
        <v>0</v>
      </c>
      <c r="K45" s="90"/>
      <c r="L45" s="14"/>
      <c r="M45" s="91"/>
      <c r="N45" s="95"/>
    </row>
    <row r="46" spans="1:57" x14ac:dyDescent="0.35">
      <c r="B46" s="7" t="s">
        <v>320</v>
      </c>
      <c r="D46" s="9">
        <f t="shared" si="0"/>
        <v>0</v>
      </c>
      <c r="E46" s="9">
        <v>0</v>
      </c>
      <c r="G46" s="11">
        <f>(E46-'Calibration lines '!$B$7)/'Calibration lines '!$B$8</f>
        <v>-3.7580529706513259E-2</v>
      </c>
      <c r="H46" s="11">
        <f>(F46-'Calibration lines '!$B$13)/'Calibration lines '!$B$14</f>
        <v>3.0715154342067157E-2</v>
      </c>
      <c r="I46" s="11">
        <f t="shared" si="1"/>
        <v>0</v>
      </c>
      <c r="J46" s="11">
        <f t="shared" si="39"/>
        <v>0</v>
      </c>
      <c r="K46" s="90"/>
      <c r="L46" s="14"/>
      <c r="M46" s="91"/>
      <c r="N46" s="95"/>
    </row>
    <row r="47" spans="1:57" x14ac:dyDescent="0.35">
      <c r="B47" s="7" t="s">
        <v>321</v>
      </c>
      <c r="C47" s="9">
        <v>80</v>
      </c>
      <c r="D47" s="9">
        <f t="shared" si="0"/>
        <v>0.08</v>
      </c>
      <c r="E47" s="9">
        <v>0</v>
      </c>
      <c r="G47" s="11">
        <f>(E47-'Calibration lines '!$B$7)/'Calibration lines '!$B$8</f>
        <v>-3.7580529706513259E-2</v>
      </c>
      <c r="H47" s="11">
        <f>(F47-'Calibration lines '!$B$13)/'Calibration lines '!$B$14</f>
        <v>3.0715154342067157E-2</v>
      </c>
      <c r="I47" s="11">
        <f t="shared" si="1"/>
        <v>-3.0064423765210607E-3</v>
      </c>
      <c r="J47" s="11">
        <f t="shared" si="39"/>
        <v>2.4572123473653724E-3</v>
      </c>
      <c r="K47" s="90"/>
      <c r="L47" s="14"/>
      <c r="M47" s="91"/>
      <c r="N47" s="95"/>
    </row>
    <row r="48" spans="1:57" x14ac:dyDescent="0.35">
      <c r="B48" s="62" t="s">
        <v>322</v>
      </c>
      <c r="C48" s="64">
        <v>0</v>
      </c>
      <c r="D48" s="64">
        <f t="shared" si="0"/>
        <v>0</v>
      </c>
      <c r="E48" s="64">
        <v>0</v>
      </c>
      <c r="F48" s="64"/>
      <c r="G48" s="63">
        <f>(E48-'Calibration lines '!$B$7)/'Calibration lines '!$B$8</f>
        <v>-3.7580529706513259E-2</v>
      </c>
      <c r="H48" s="63">
        <f>(F48-'Calibration lines '!$B$13)/'Calibration lines '!$B$14</f>
        <v>3.0715154342067157E-2</v>
      </c>
      <c r="I48" s="63">
        <f t="shared" si="1"/>
        <v>0</v>
      </c>
      <c r="J48" s="63">
        <f t="shared" si="39"/>
        <v>0</v>
      </c>
      <c r="K48" s="90"/>
      <c r="L48" s="14"/>
      <c r="M48" s="91"/>
      <c r="N48" s="95"/>
    </row>
    <row r="49" spans="1:13" x14ac:dyDescent="0.35">
      <c r="A49" s="9" t="s">
        <v>327</v>
      </c>
      <c r="B49" s="7" t="s">
        <v>318</v>
      </c>
      <c r="C49" s="9">
        <v>2070</v>
      </c>
      <c r="D49" s="9">
        <f t="shared" si="0"/>
        <v>2.0699999999999998</v>
      </c>
      <c r="E49" s="9">
        <v>0</v>
      </c>
      <c r="G49" s="11">
        <f>(E49-'Calibration lines '!$B$7)/'Calibration lines '!$B$8</f>
        <v>-3.7580529706513259E-2</v>
      </c>
      <c r="H49" s="11">
        <f>(F49-'Calibration lines '!$B$13)/'Calibration lines '!$B$14</f>
        <v>3.0715154342067157E-2</v>
      </c>
      <c r="I49" s="11">
        <f t="shared" si="1"/>
        <v>-7.7791696492482437E-2</v>
      </c>
      <c r="J49" s="11">
        <f t="shared" si="39"/>
        <v>6.3580369488079005E-2</v>
      </c>
      <c r="K49" s="90"/>
      <c r="L49" s="14"/>
      <c r="M49" s="90"/>
    </row>
    <row r="50" spans="1:13" x14ac:dyDescent="0.35">
      <c r="B50" s="7" t="s">
        <v>319</v>
      </c>
      <c r="C50" s="9">
        <v>2850</v>
      </c>
      <c r="D50" s="9">
        <f t="shared" si="0"/>
        <v>2.85</v>
      </c>
      <c r="E50" s="9">
        <v>0</v>
      </c>
      <c r="G50" s="11">
        <f>(E50-'Calibration lines '!$B$7)/'Calibration lines '!$B$8</f>
        <v>-3.7580529706513259E-2</v>
      </c>
      <c r="H50" s="11">
        <f>(F50-'Calibration lines '!$B$13)/'Calibration lines '!$B$14</f>
        <v>3.0715154342067157E-2</v>
      </c>
      <c r="I50" s="11">
        <f t="shared" si="1"/>
        <v>-0.10710450966356279</v>
      </c>
      <c r="J50" s="11">
        <f t="shared" si="39"/>
        <v>8.7538189874891398E-2</v>
      </c>
      <c r="K50" s="90"/>
      <c r="L50" s="14"/>
      <c r="M50" s="90"/>
    </row>
    <row r="51" spans="1:13" x14ac:dyDescent="0.35">
      <c r="B51" s="7" t="s">
        <v>320</v>
      </c>
      <c r="C51" s="9">
        <v>910</v>
      </c>
      <c r="D51" s="9">
        <f t="shared" si="0"/>
        <v>0.91</v>
      </c>
      <c r="E51" s="9">
        <v>0</v>
      </c>
      <c r="G51" s="11">
        <f>(E51-'Calibration lines '!$B$7)/'Calibration lines '!$B$8</f>
        <v>-3.7580529706513259E-2</v>
      </c>
      <c r="H51" s="11">
        <f>(F51-'Calibration lines '!$B$13)/'Calibration lines '!$B$14</f>
        <v>3.0715154342067157E-2</v>
      </c>
      <c r="I51" s="11">
        <f t="shared" si="1"/>
        <v>-3.4198282032927067E-2</v>
      </c>
      <c r="J51" s="11">
        <f t="shared" si="39"/>
        <v>2.7950790451281113E-2</v>
      </c>
      <c r="K51" s="90"/>
      <c r="L51" s="14"/>
      <c r="M51" s="90"/>
    </row>
    <row r="52" spans="1:13" x14ac:dyDescent="0.35">
      <c r="B52" s="7" t="s">
        <v>321</v>
      </c>
      <c r="C52" s="9">
        <v>2910</v>
      </c>
      <c r="D52" s="9">
        <f t="shared" si="0"/>
        <v>2.91</v>
      </c>
      <c r="E52" s="9">
        <v>0</v>
      </c>
      <c r="G52" s="11">
        <f>(E52-'Calibration lines '!$B$7)/'Calibration lines '!$B$8</f>
        <v>-3.7580529706513259E-2</v>
      </c>
      <c r="H52" s="11">
        <f>(F52-'Calibration lines '!$B$13)/'Calibration lines '!$B$14</f>
        <v>3.0715154342067157E-2</v>
      </c>
      <c r="I52" s="11">
        <f t="shared" si="1"/>
        <v>-0.10935934144595359</v>
      </c>
      <c r="J52" s="11">
        <f t="shared" si="39"/>
        <v>8.9381099135415434E-2</v>
      </c>
      <c r="K52" s="90"/>
      <c r="L52" s="14"/>
      <c r="M52" s="90"/>
    </row>
    <row r="53" spans="1:13" x14ac:dyDescent="0.35">
      <c r="B53" s="7" t="s">
        <v>322</v>
      </c>
      <c r="C53" s="9">
        <v>1800</v>
      </c>
      <c r="D53" s="9">
        <f t="shared" si="0"/>
        <v>1.8</v>
      </c>
      <c r="E53" s="9">
        <v>0</v>
      </c>
      <c r="G53" s="11">
        <f>(E53-'Calibration lines '!$B$7)/'Calibration lines '!$B$8</f>
        <v>-3.7580529706513259E-2</v>
      </c>
      <c r="H53" s="11">
        <f>(F53-'Calibration lines '!$B$13)/'Calibration lines '!$B$14</f>
        <v>3.0715154342067157E-2</v>
      </c>
      <c r="I53" s="11">
        <f t="shared" si="1"/>
        <v>-6.7644953471723862E-2</v>
      </c>
      <c r="J53" s="11">
        <f t="shared" si="39"/>
        <v>5.5287277815720882E-2</v>
      </c>
      <c r="K53" s="90"/>
      <c r="L53" s="14"/>
      <c r="M53" s="90"/>
    </row>
  </sheetData>
  <mergeCells count="124">
    <mergeCell ref="CR2:CY2"/>
    <mergeCell ref="DA2:DH2"/>
    <mergeCell ref="AH23:AS23"/>
    <mergeCell ref="AT23:BE23"/>
    <mergeCell ref="AK24:AM24"/>
    <mergeCell ref="AN24:AP24"/>
    <mergeCell ref="AQ24:AS24"/>
    <mergeCell ref="AW24:AY24"/>
    <mergeCell ref="AZ24:BB24"/>
    <mergeCell ref="BC24:BE24"/>
    <mergeCell ref="BD17:BD20"/>
    <mergeCell ref="BE17:BE20"/>
    <mergeCell ref="AX17:AX20"/>
    <mergeCell ref="AY17:AY20"/>
    <mergeCell ref="BA17:BA20"/>
    <mergeCell ref="BB17:BB20"/>
    <mergeCell ref="AO17:AO20"/>
    <mergeCell ref="AP17:AP20"/>
    <mergeCell ref="AY39:AY42"/>
    <mergeCell ref="BA39:BA42"/>
    <mergeCell ref="BB39:BB42"/>
    <mergeCell ref="BD39:BD42"/>
    <mergeCell ref="BE39:BE42"/>
    <mergeCell ref="AO39:AO42"/>
    <mergeCell ref="AP39:AP42"/>
    <mergeCell ref="AR39:AR42"/>
    <mergeCell ref="AS39:AS42"/>
    <mergeCell ref="AX39:AX42"/>
    <mergeCell ref="BD27:BD30"/>
    <mergeCell ref="BE27:BE30"/>
    <mergeCell ref="AO33:AO36"/>
    <mergeCell ref="AP33:AP36"/>
    <mergeCell ref="AR33:AR36"/>
    <mergeCell ref="AS33:AS36"/>
    <mergeCell ref="AX33:AX36"/>
    <mergeCell ref="AY33:AY36"/>
    <mergeCell ref="BA33:BA36"/>
    <mergeCell ref="BB33:BB36"/>
    <mergeCell ref="BD33:BD36"/>
    <mergeCell ref="BE33:BE36"/>
    <mergeCell ref="AS27:AS30"/>
    <mergeCell ref="AX27:AX30"/>
    <mergeCell ref="AY27:AY30"/>
    <mergeCell ref="BA27:BA30"/>
    <mergeCell ref="BB27:BB30"/>
    <mergeCell ref="AT1:BE1"/>
    <mergeCell ref="AH1:AS1"/>
    <mergeCell ref="BC2:BE2"/>
    <mergeCell ref="BD5:BD8"/>
    <mergeCell ref="BE5:BE8"/>
    <mergeCell ref="BD11:BD14"/>
    <mergeCell ref="BE11:BE14"/>
    <mergeCell ref="AX11:AX14"/>
    <mergeCell ref="AY11:AY14"/>
    <mergeCell ref="BA11:BA14"/>
    <mergeCell ref="BB11:BB14"/>
    <mergeCell ref="AN2:AP2"/>
    <mergeCell ref="AW2:AY2"/>
    <mergeCell ref="AZ2:BB2"/>
    <mergeCell ref="AX5:AX8"/>
    <mergeCell ref="AY5:AY8"/>
    <mergeCell ref="BA5:BA8"/>
    <mergeCell ref="BB5:BB8"/>
    <mergeCell ref="AQ2:AS2"/>
    <mergeCell ref="AO5:AO8"/>
    <mergeCell ref="AP5:AP8"/>
    <mergeCell ref="AO11:AO14"/>
    <mergeCell ref="AP11:AP14"/>
    <mergeCell ref="AR5:AR8"/>
    <mergeCell ref="K4:K8"/>
    <mergeCell ref="K9:K13"/>
    <mergeCell ref="K14:K18"/>
    <mergeCell ref="K44:K48"/>
    <mergeCell ref="AK2:AM2"/>
    <mergeCell ref="AL5:AL8"/>
    <mergeCell ref="AL11:AL14"/>
    <mergeCell ref="AL17:AL20"/>
    <mergeCell ref="AM5:AM8"/>
    <mergeCell ref="AM11:AM14"/>
    <mergeCell ref="AM17:AM20"/>
    <mergeCell ref="M4:M8"/>
    <mergeCell ref="M24:M28"/>
    <mergeCell ref="M19:M23"/>
    <mergeCell ref="M14:M18"/>
    <mergeCell ref="M9:M13"/>
    <mergeCell ref="L4:L8"/>
    <mergeCell ref="L9:L13"/>
    <mergeCell ref="L14:L18"/>
    <mergeCell ref="N39:N43"/>
    <mergeCell ref="N44:N48"/>
    <mergeCell ref="N19:N23"/>
    <mergeCell ref="N24:N28"/>
    <mergeCell ref="N29:N33"/>
    <mergeCell ref="K49:K53"/>
    <mergeCell ref="K19:K23"/>
    <mergeCell ref="K24:K28"/>
    <mergeCell ref="K29:K33"/>
    <mergeCell ref="K34:K38"/>
    <mergeCell ref="K39:K43"/>
    <mergeCell ref="M49:M53"/>
    <mergeCell ref="M44:M48"/>
    <mergeCell ref="M39:M43"/>
    <mergeCell ref="M34:M38"/>
    <mergeCell ref="M29:M33"/>
    <mergeCell ref="L19:L23"/>
    <mergeCell ref="L24:L28"/>
    <mergeCell ref="L29:L33"/>
    <mergeCell ref="N34:N38"/>
    <mergeCell ref="AE3:AE21"/>
    <mergeCell ref="AE25:AE43"/>
    <mergeCell ref="AS5:AS8"/>
    <mergeCell ref="AR11:AR14"/>
    <mergeCell ref="AS11:AS14"/>
    <mergeCell ref="AR17:AR20"/>
    <mergeCell ref="AS17:AS20"/>
    <mergeCell ref="AL27:AL30"/>
    <mergeCell ref="AM27:AM30"/>
    <mergeCell ref="AL33:AL36"/>
    <mergeCell ref="AM33:AM36"/>
    <mergeCell ref="AL39:AL42"/>
    <mergeCell ref="AM39:AM42"/>
    <mergeCell ref="AO27:AO30"/>
    <mergeCell ref="AP27:AP30"/>
    <mergeCell ref="AR27:AR30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1DE8F-3435-42FA-B346-F5CEDEC07A0A}">
  <dimension ref="A1:G49"/>
  <sheetViews>
    <sheetView zoomScale="40" zoomScaleNormal="40" workbookViewId="0">
      <selection activeCell="K58" sqref="K58"/>
    </sheetView>
  </sheetViews>
  <sheetFormatPr defaultRowHeight="14.5" x14ac:dyDescent="0.35"/>
  <cols>
    <col min="1" max="1" width="18.1796875" customWidth="1"/>
    <col min="2" max="2" width="12.453125" customWidth="1"/>
    <col min="6" max="6" width="15.1796875" customWidth="1"/>
    <col min="7" max="7" width="12.26953125" customWidth="1"/>
  </cols>
  <sheetData>
    <row r="1" spans="1:7" ht="43.5" x14ac:dyDescent="0.35">
      <c r="A1" s="19" t="s">
        <v>0</v>
      </c>
      <c r="B1" s="19" t="s">
        <v>1</v>
      </c>
      <c r="C1" s="19" t="s">
        <v>2</v>
      </c>
      <c r="D1" s="19" t="s">
        <v>3</v>
      </c>
      <c r="E1" s="19" t="s">
        <v>2</v>
      </c>
      <c r="F1" s="19" t="s">
        <v>4</v>
      </c>
      <c r="G1" s="19" t="s">
        <v>5</v>
      </c>
    </row>
    <row r="2" spans="1:7" x14ac:dyDescent="0.35">
      <c r="A2" s="17" t="s">
        <v>6</v>
      </c>
      <c r="B2" s="18">
        <f>AVERAGE('Sand Columns'!T2:T4,'Sand Columns'!T14:T16,'Sand Columns'!T26:T28)</f>
        <v>1.2362786344901544</v>
      </c>
      <c r="C2" s="18">
        <f>AVERAGE('Sand Columns'!U2:U4,'Sand Columns'!U14:U16,'Sand Columns'!U26:U28)/SQRT(3)</f>
        <v>6.8149545790210445E-2</v>
      </c>
      <c r="D2" s="20"/>
      <c r="E2" s="21"/>
      <c r="F2" s="18">
        <f>'Water leachate'!R5</f>
        <v>138.55700787401571</v>
      </c>
      <c r="G2" s="21"/>
    </row>
    <row r="3" spans="1:7" x14ac:dyDescent="0.35">
      <c r="A3" s="17" t="s">
        <v>7</v>
      </c>
      <c r="B3" s="18">
        <f>AVERAGE('Sand Columns'!T5:T7,'Sand Columns'!T17:T19,'Sand Columns'!T29:T31)</f>
        <v>-7.3013023574624858E-2</v>
      </c>
      <c r="C3" s="18">
        <f>AVERAGE('Sand Columns'!U5:U7,'Sand Columns'!U17:U19,'Sand Columns'!U29:U31)/SQRT(3)</f>
        <v>9.7125269080155412E-4</v>
      </c>
      <c r="D3" s="21"/>
      <c r="E3" s="21"/>
      <c r="F3" s="21"/>
      <c r="G3" s="21"/>
    </row>
    <row r="4" spans="1:7" x14ac:dyDescent="0.35">
      <c r="A4" s="17" t="s">
        <v>8</v>
      </c>
      <c r="B4" s="18">
        <f>AVERAGE('Sand Columns'!T8:T10,'Sand Columns'!T20:T22,'Sand Columns'!T32:T34)</f>
        <v>-7.279374205102275E-2</v>
      </c>
      <c r="C4" s="18">
        <f>AVERAGE('Sand Columns'!U8:U10,'Sand Columns'!U20:U22,'Sand Columns'!U32:U34)/SQRT(3)</f>
        <v>5.36758602495604E-4</v>
      </c>
      <c r="D4" s="21"/>
      <c r="E4" s="21"/>
      <c r="F4" s="21"/>
      <c r="G4" s="21"/>
    </row>
    <row r="5" spans="1:7" x14ac:dyDescent="0.35">
      <c r="A5" s="17" t="s">
        <v>9</v>
      </c>
      <c r="B5" s="18">
        <f>AVERAGE('Sand Columns'!T11:T13,'Sand Columns'!T23:T25,'Sand Columns'!T35:T37)</f>
        <v>-7.3182171182410827E-2</v>
      </c>
      <c r="C5" s="18">
        <f>AVERAGE('Sand Columns'!U11:U13,'Sand Columns'!U23:U25,'Sand Columns'!U35:U37)/SQRT(3)</f>
        <v>5.9126187847408204E-4</v>
      </c>
      <c r="D5" s="21"/>
      <c r="E5" s="21"/>
      <c r="F5" s="21"/>
      <c r="G5" s="21"/>
    </row>
    <row r="6" spans="1:7" x14ac:dyDescent="0.35">
      <c r="A6" s="17" t="s">
        <v>13</v>
      </c>
      <c r="B6" s="18">
        <f>AVERAGE('Sand Columns'!T38:T40,'Sand Columns'!T50:T52,'Sand Columns'!T62:T64)</f>
        <v>20.146784866634352</v>
      </c>
      <c r="C6" s="18">
        <f>AVERAGE('Sand Columns'!U38:U40,'Sand Columns'!U50:U52,'Sand Columns'!U62:U64)/SQRT(3)</f>
        <v>2.6430339171238448</v>
      </c>
      <c r="D6" s="18">
        <f>AVERAGE('Sand Columns'!V38:V40,'Sand Columns'!V50:V52,'Sand Columns'!V62:V64)</f>
        <v>151.17036318114435</v>
      </c>
      <c r="E6" s="18">
        <f>AVERAGE('Sand Columns'!W38:W40,'Sand Columns'!W50:W52,'Sand Columns'!W62:W64)/SQRT(3)</f>
        <v>16.821079472723355</v>
      </c>
      <c r="F6" s="18">
        <f>'Water leachate'!R11</f>
        <v>148.75493557623477</v>
      </c>
      <c r="G6" s="18">
        <f>'Water leachate'!S11</f>
        <v>3.0715154342067157E-2</v>
      </c>
    </row>
    <row r="7" spans="1:7" x14ac:dyDescent="0.35">
      <c r="A7" s="17" t="s">
        <v>18</v>
      </c>
      <c r="B7" s="18">
        <f>AVERAGE('Sand Columns'!T41:T43,'Sand Columns'!T53:T55,'Sand Columns'!T65:T67)</f>
        <v>0.75807640588832925</v>
      </c>
      <c r="C7" s="18">
        <f>AVERAGE('Sand Columns'!U41:U43,'Sand Columns'!U53:U55,'Sand Columns'!U65:U67)/SQRT(3)</f>
        <v>0.21438409042338624</v>
      </c>
      <c r="D7" s="18">
        <f>AVERAGE('Sand Columns'!V41:V43,'Sand Columns'!V53:V55,'Sand Columns'!V65:V67)</f>
        <v>51.959518210702157</v>
      </c>
      <c r="E7" s="18">
        <f>AVERAGE('Sand Columns'!W41:W43,'Sand Columns'!W53:W55,'Sand Columns'!W65:W67)/SQRT(3)</f>
        <v>8.5761604291608613</v>
      </c>
      <c r="F7" s="21"/>
      <c r="G7" s="21"/>
    </row>
    <row r="8" spans="1:7" x14ac:dyDescent="0.35">
      <c r="A8" s="17" t="s">
        <v>21</v>
      </c>
      <c r="B8" s="18">
        <f>AVERAGE('Sand Columns'!T44:T46,'Sand Columns'!T56:T58,'Sand Columns'!T68:T70)</f>
        <v>-7.2421437315661905E-2</v>
      </c>
      <c r="C8" s="18">
        <f>AVERAGE('Sand Columns'!U44:U46,'Sand Columns'!U56:U58,'Sand Columns'!U68:U70)/SQRT(3)</f>
        <v>8.2689851141838405E-4</v>
      </c>
      <c r="D8" s="18">
        <f>AVERAGE('Sand Columns'!V44:V46,'Sand Columns'!V56:V58,'Sand Columns'!V68:V70)</f>
        <v>11.620832223673995</v>
      </c>
      <c r="E8" s="18">
        <f>AVERAGE('Sand Columns'!W44:W46,'Sand Columns'!W56:W58,'Sand Columns'!W68:W70)/SQRT(3)</f>
        <v>4.4635061343609053</v>
      </c>
      <c r="F8" s="21"/>
      <c r="G8" s="21"/>
    </row>
    <row r="9" spans="1:7" x14ac:dyDescent="0.35">
      <c r="A9" s="17" t="s">
        <v>23</v>
      </c>
      <c r="B9" s="18">
        <f>AVERAGE('Sand Columns'!T47:T49,'Sand Columns'!T59:T61,'Sand Columns'!T71:T73)</f>
        <v>0.60411566324490873</v>
      </c>
      <c r="C9" s="18">
        <f>AVERAGE('Sand Columns'!U47:U49,'Sand Columns'!U59:U61,'Sand Columns'!U71:U73)/SQRT(3)</f>
        <v>0.6778372100670208</v>
      </c>
      <c r="D9" s="18">
        <f>AVERAGE('Sand Columns'!V47:V49,'Sand Columns'!V59:V61,'Sand Columns'!V71:V73)</f>
        <v>9.9150578874952942</v>
      </c>
      <c r="E9" s="18">
        <f>AVERAGE('Sand Columns'!W47:W49,'Sand Columns'!W59:W61,'Sand Columns'!W71:W73)/SQRT(3)</f>
        <v>0.64500159802983636</v>
      </c>
      <c r="F9" s="21"/>
      <c r="G9" s="21"/>
    </row>
    <row r="10" spans="1:7" x14ac:dyDescent="0.35">
      <c r="A10" s="17" t="s">
        <v>25</v>
      </c>
      <c r="B10" s="21"/>
      <c r="C10" s="21"/>
      <c r="D10" s="18">
        <f>AVERAGE('Sand Columns'!V74:V76,'Sand Columns'!V86:V88,'Sand Columns'!V98:V100)</f>
        <v>217.86876469159753</v>
      </c>
      <c r="E10" s="18">
        <f>AVERAGE('Sand Columns'!W74:W76,'Sand Columns'!W86:W88,'Sand Columns'!W98:W100)/SQRT(3)</f>
        <v>71.906710788071777</v>
      </c>
      <c r="F10" s="21"/>
      <c r="G10" s="18">
        <f>'Water leachate'!S17</f>
        <v>3.0715154342067157E-2</v>
      </c>
    </row>
    <row r="11" spans="1:7" x14ac:dyDescent="0.35">
      <c r="A11" s="17" t="s">
        <v>27</v>
      </c>
      <c r="B11" s="21"/>
      <c r="C11" s="21"/>
      <c r="D11" s="18">
        <f>AVERAGE('Sand Columns'!V89:V91,'Sand Columns'!V101:V103,'Sand Columns'!V77:V79)</f>
        <v>90.325535779178423</v>
      </c>
      <c r="E11" s="18">
        <f>AVERAGE('Sand Columns'!W89:W91,'Sand Columns'!W101:W103,'Sand Columns'!W77:W79)/SQRT(3)</f>
        <v>15.783512003789719</v>
      </c>
      <c r="F11" s="21"/>
      <c r="G11" s="21"/>
    </row>
    <row r="12" spans="1:7" x14ac:dyDescent="0.35">
      <c r="A12" s="17" t="s">
        <v>30</v>
      </c>
      <c r="B12" s="21"/>
      <c r="C12" s="21"/>
      <c r="D12" s="18">
        <f>AVERAGE('Sand Columns'!V80:V82,'Sand Columns'!V92:V94,'Sand Columns'!V104:V106)</f>
        <v>14.780975703659772</v>
      </c>
      <c r="E12" s="18">
        <f>AVERAGE('Sand Columns'!W80:W82,'Sand Columns'!W92:W94,'Sand Columns'!W104:W106)/SQRT(3)</f>
        <v>0.53685530064132614</v>
      </c>
      <c r="F12" s="21"/>
      <c r="G12" s="21"/>
    </row>
    <row r="13" spans="1:7" x14ac:dyDescent="0.35">
      <c r="A13" s="17" t="s">
        <v>32</v>
      </c>
      <c r="B13" s="21"/>
      <c r="C13" s="21"/>
      <c r="D13" s="18">
        <f>AVERAGE('Sand Columns'!V107:V109,'Sand Columns'!V95:V97)</f>
        <v>33.434300033939358</v>
      </c>
      <c r="E13" s="18">
        <f>AVERAGE('Sand Columns'!W107:W109,'Sand Columns'!W95:W97)/SQRT(3)</f>
        <v>4.5980141788299349</v>
      </c>
      <c r="F13" s="21"/>
      <c r="G13" s="21"/>
    </row>
    <row r="16" spans="1:7" ht="29.5" thickBot="1" x14ac:dyDescent="0.4">
      <c r="A16" s="19" t="s">
        <v>0</v>
      </c>
      <c r="B16" s="19" t="s">
        <v>33</v>
      </c>
      <c r="C16" s="19" t="s">
        <v>36</v>
      </c>
      <c r="D16" s="19" t="s">
        <v>37</v>
      </c>
      <c r="E16" s="19" t="s">
        <v>38</v>
      </c>
    </row>
    <row r="17" spans="1:6" ht="15" thickBot="1" x14ac:dyDescent="0.4">
      <c r="A17" s="26" t="s">
        <v>39</v>
      </c>
      <c r="B17" s="40">
        <f>AVERAGE('Sand Columns'!C2,'Sand Columns'!C14,'Sand Columns'!C26)</f>
        <v>1.0046333333333335</v>
      </c>
      <c r="C17" s="37"/>
      <c r="D17" s="37"/>
      <c r="E17" s="38"/>
    </row>
    <row r="18" spans="1:6" x14ac:dyDescent="0.35">
      <c r="A18" s="29" t="s">
        <v>6</v>
      </c>
      <c r="B18" s="10">
        <f>AVERAGE('Sand Columns'!Z2:Z4,'Sand Columns'!Z14:Z16,'Sand Columns'!Z26:Z28)</f>
        <v>6.9777959932992167E-4</v>
      </c>
      <c r="C18" s="20"/>
      <c r="D18" s="18">
        <f>'Water leachate'!V5</f>
        <v>0.34342187902648535</v>
      </c>
      <c r="E18" s="30"/>
    </row>
    <row r="19" spans="1:6" x14ac:dyDescent="0.35">
      <c r="A19" s="29" t="s">
        <v>7</v>
      </c>
      <c r="B19" s="42">
        <v>0</v>
      </c>
      <c r="C19" s="21"/>
      <c r="D19" s="21"/>
      <c r="E19" s="30"/>
    </row>
    <row r="20" spans="1:6" x14ac:dyDescent="0.35">
      <c r="A20" s="29" t="s">
        <v>8</v>
      </c>
      <c r="B20" s="42">
        <v>0</v>
      </c>
      <c r="C20" s="21"/>
      <c r="D20" s="21"/>
      <c r="E20" s="30"/>
    </row>
    <row r="21" spans="1:6" ht="15" thickBot="1" x14ac:dyDescent="0.4">
      <c r="A21" s="31" t="s">
        <v>9</v>
      </c>
      <c r="B21" s="43">
        <v>0</v>
      </c>
      <c r="C21" s="34"/>
      <c r="D21" s="34"/>
      <c r="E21" s="35"/>
    </row>
    <row r="22" spans="1:6" x14ac:dyDescent="0.35">
      <c r="A22" s="17" t="s">
        <v>42</v>
      </c>
      <c r="B22" s="101">
        <f>SUM(B18:B21)</f>
        <v>6.9777959932992167E-4</v>
      </c>
      <c r="C22" s="101"/>
    </row>
    <row r="23" spans="1:6" x14ac:dyDescent="0.35">
      <c r="A23" s="17" t="s">
        <v>43</v>
      </c>
      <c r="B23" s="24">
        <f>B22+D18</f>
        <v>0.34411965862581528</v>
      </c>
      <c r="C23" s="24"/>
    </row>
    <row r="24" spans="1:6" x14ac:dyDescent="0.35">
      <c r="A24" s="17" t="s">
        <v>44</v>
      </c>
      <c r="B24" s="11">
        <f>B17-B23</f>
        <v>0.66051367470751821</v>
      </c>
      <c r="C24" s="24"/>
    </row>
    <row r="25" spans="1:6" ht="15" thickBot="1" x14ac:dyDescent="0.4">
      <c r="A25" s="17"/>
      <c r="B25" s="24"/>
    </row>
    <row r="26" spans="1:6" ht="15" thickBot="1" x14ac:dyDescent="0.4">
      <c r="A26" s="26" t="s">
        <v>39</v>
      </c>
      <c r="B26" s="99">
        <f>AVERAGE('Sand Columns'!C38,'Sand Columns'!C50,'Sand Columns'!C62)</f>
        <v>1.0050666666666668</v>
      </c>
      <c r="C26" s="100"/>
      <c r="D26" s="27"/>
      <c r="E26" s="28"/>
      <c r="F26" s="1" t="s">
        <v>46</v>
      </c>
    </row>
    <row r="27" spans="1:6" x14ac:dyDescent="0.35">
      <c r="A27" s="29" t="s">
        <v>13</v>
      </c>
      <c r="B27" s="24">
        <f>AVERAGE('Sand Columns'!Z38:Z40,'Sand Columns'!Z50:Z52,'Sand Columns'!Z62:Z64)</f>
        <v>7.6563954265632143E-3</v>
      </c>
      <c r="C27" s="22">
        <f>AVERAGE('Sand Columns'!AA38:AA40,'Sand Columns'!AA50:AA52,'Sand Columns'!AA62:AA64)</f>
        <v>6.5828993706367037E-2</v>
      </c>
      <c r="D27" s="18">
        <f>'Water leachate'!V11</f>
        <v>0.35309707909806731</v>
      </c>
      <c r="E27" s="41">
        <f>'Water leachate'!W11</f>
        <v>8.7742957570505163E-5</v>
      </c>
      <c r="F27" s="23">
        <f>SUM(B27:C27)</f>
        <v>7.3485389132930248E-2</v>
      </c>
    </row>
    <row r="28" spans="1:6" x14ac:dyDescent="0.35">
      <c r="A28" s="29" t="s">
        <v>18</v>
      </c>
      <c r="B28" s="24">
        <f>AVERAGE('Sand Columns'!Z41:Z43,'Sand Columns'!Z53:Z55,'Sand Columns'!Z65:Z67)</f>
        <v>3.8238662406098992E-4</v>
      </c>
      <c r="C28" s="22">
        <f>AVERAGE('Sand Columns'!AA41:AA43,'Sand Columns'!AA53:AA55,'Sand Columns'!AA65:AA67)</f>
        <v>3.242316027126086E-2</v>
      </c>
      <c r="D28" s="21"/>
      <c r="E28" s="30"/>
      <c r="F28" s="23">
        <f t="shared" ref="F28:F30" si="0">SUM(B28:C28)</f>
        <v>3.2805546895321849E-2</v>
      </c>
    </row>
    <row r="29" spans="1:6" x14ac:dyDescent="0.35">
      <c r="A29" s="29" t="s">
        <v>21</v>
      </c>
      <c r="B29" s="49">
        <v>0</v>
      </c>
      <c r="C29" s="22">
        <f>AVERAGE('Sand Columns'!AA44:AA46,'Sand Columns'!AA56:AA58,'Sand Columns'!AA68:AA70)</f>
        <v>8.1231450894849663E-3</v>
      </c>
      <c r="D29" s="21"/>
      <c r="E29" s="30"/>
      <c r="F29" s="23">
        <f t="shared" si="0"/>
        <v>8.1231450894849663E-3</v>
      </c>
    </row>
    <row r="30" spans="1:6" ht="15" thickBot="1" x14ac:dyDescent="0.4">
      <c r="A30" s="31" t="s">
        <v>23</v>
      </c>
      <c r="B30" s="32">
        <f>AVERAGE('Sand Columns'!Z47:Z49,'Sand Columns'!Z59:Z61,'Sand Columns'!Z71:Z73)</f>
        <v>4.5548668743370264E-4</v>
      </c>
      <c r="C30" s="33">
        <f>AVERAGE('Sand Columns'!AA47:AA49,'Sand Columns'!AA59:AA61,'Sand Columns'!AA71:AA73)</f>
        <v>5.9425793149022561E-3</v>
      </c>
      <c r="D30" s="34"/>
      <c r="E30" s="35"/>
      <c r="F30" s="23">
        <f t="shared" si="0"/>
        <v>6.3980660023359587E-3</v>
      </c>
    </row>
    <row r="31" spans="1:6" x14ac:dyDescent="0.35">
      <c r="A31" s="17" t="s">
        <v>42</v>
      </c>
      <c r="B31" s="101">
        <f>SUM(B27:C30)</f>
        <v>0.12081214712007303</v>
      </c>
      <c r="C31" s="101"/>
      <c r="F31" s="18">
        <f>SUM(D27:E27)</f>
        <v>0.35318482205563784</v>
      </c>
    </row>
    <row r="32" spans="1:6" x14ac:dyDescent="0.35">
      <c r="A32" s="17" t="s">
        <v>43</v>
      </c>
      <c r="B32" s="24">
        <f>B31+D27+E27</f>
        <v>0.47399696917571088</v>
      </c>
      <c r="C32" s="24"/>
    </row>
    <row r="33" spans="1:5" x14ac:dyDescent="0.35">
      <c r="A33" s="17" t="s">
        <v>44</v>
      </c>
      <c r="B33" s="11">
        <f>B26-B32</f>
        <v>0.53106969749095589</v>
      </c>
      <c r="C33" s="24"/>
    </row>
    <row r="34" spans="1:5" ht="15" thickBot="1" x14ac:dyDescent="0.4">
      <c r="A34" s="17"/>
      <c r="B34" s="24"/>
      <c r="C34" s="22"/>
    </row>
    <row r="35" spans="1:5" ht="15" thickBot="1" x14ac:dyDescent="0.4">
      <c r="A35" s="26" t="s">
        <v>39</v>
      </c>
      <c r="B35" s="39">
        <f>AVERAGE('Sand Columns'!C74,'Sand Columns'!C86,'Sand Columns'!C98)</f>
        <v>1.0124</v>
      </c>
      <c r="C35" s="36"/>
      <c r="D35" s="27"/>
      <c r="E35" s="28"/>
    </row>
    <row r="36" spans="1:5" x14ac:dyDescent="0.35">
      <c r="A36" s="29" t="s">
        <v>25</v>
      </c>
      <c r="B36" s="21">
        <v>0</v>
      </c>
      <c r="C36" s="22">
        <f>AVERAGE('Sand Columns'!AA74:AA76,'Sand Columns'!AA86:AA88,'Sand Columns'!AA98:AA100)</f>
        <v>0.11800326821974365</v>
      </c>
      <c r="D36" s="21"/>
      <c r="E36" s="41">
        <f>'Water leachate'!W17</f>
        <v>5.4980126272300205E-5</v>
      </c>
    </row>
    <row r="37" spans="1:5" x14ac:dyDescent="0.35">
      <c r="A37" s="29" t="s">
        <v>27</v>
      </c>
      <c r="B37" s="21">
        <v>0</v>
      </c>
      <c r="C37" s="22">
        <f>AVERAGE('Sand Columns'!AA77:AA79,'Sand Columns'!AA89:AA91,'Sand Columns'!AA101:AA103)</f>
        <v>4.7233377465134931E-2</v>
      </c>
      <c r="D37" s="21"/>
      <c r="E37" s="30"/>
    </row>
    <row r="38" spans="1:5" x14ac:dyDescent="0.35">
      <c r="A38" s="29" t="s">
        <v>30</v>
      </c>
      <c r="B38" s="21">
        <v>0</v>
      </c>
      <c r="C38" s="22">
        <f>AVERAGE('Sand Columns'!AA80:AA82,'Sand Columns'!AA92:AA94,'Sand Columns'!AA104:AA106)</f>
        <v>1.2598507623116241E-2</v>
      </c>
      <c r="D38" s="21"/>
      <c r="E38" s="30"/>
    </row>
    <row r="39" spans="1:5" ht="15" thickBot="1" x14ac:dyDescent="0.4">
      <c r="A39" s="31" t="s">
        <v>32</v>
      </c>
      <c r="B39" s="34">
        <v>0</v>
      </c>
      <c r="C39" s="33">
        <f>AVERAGE('Sand Columns'!AA83:AA85,'Sand Columns'!AA95:AA97,'Sand Columns'!AA107:AA109)</f>
        <v>1.0493328019916226E-2</v>
      </c>
      <c r="D39" s="34"/>
      <c r="E39" s="35"/>
    </row>
    <row r="40" spans="1:5" x14ac:dyDescent="0.35">
      <c r="A40" s="17" t="s">
        <v>42</v>
      </c>
      <c r="B40" s="101">
        <f>SUM(C36:C39)</f>
        <v>0.18832848132791105</v>
      </c>
      <c r="C40" s="101"/>
    </row>
    <row r="41" spans="1:5" x14ac:dyDescent="0.35">
      <c r="A41" s="17" t="s">
        <v>43</v>
      </c>
      <c r="B41" s="23">
        <f>B40+E36</f>
        <v>0.18838346145418336</v>
      </c>
    </row>
    <row r="42" spans="1:5" x14ac:dyDescent="0.35">
      <c r="A42" s="17" t="s">
        <v>44</v>
      </c>
      <c r="B42" s="11">
        <f>B35-B41</f>
        <v>0.82401653854581658</v>
      </c>
    </row>
    <row r="46" spans="1:5" ht="15" thickBot="1" x14ac:dyDescent="0.4">
      <c r="A46" s="19" t="s">
        <v>0</v>
      </c>
      <c r="B46" s="19" t="s">
        <v>33</v>
      </c>
    </row>
    <row r="47" spans="1:5" x14ac:dyDescent="0.35">
      <c r="A47" s="26" t="s">
        <v>47</v>
      </c>
      <c r="B47" s="44">
        <v>1.0046333333333335</v>
      </c>
    </row>
    <row r="48" spans="1:5" ht="29" x14ac:dyDescent="0.35">
      <c r="A48" s="45" t="s">
        <v>48</v>
      </c>
      <c r="B48" s="46">
        <v>1.0050666666666668</v>
      </c>
    </row>
    <row r="49" spans="1:2" ht="15" thickBot="1" x14ac:dyDescent="0.4">
      <c r="A49" s="47" t="s">
        <v>49</v>
      </c>
      <c r="B49" s="48">
        <v>1.0124</v>
      </c>
    </row>
  </sheetData>
  <mergeCells count="4">
    <mergeCell ref="B26:C26"/>
    <mergeCell ref="B31:C31"/>
    <mergeCell ref="B22:C22"/>
    <mergeCell ref="B40:C40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E6E32-C73D-47B9-894D-5E31AAC91EFD}">
  <dimension ref="A1:G49"/>
  <sheetViews>
    <sheetView topLeftCell="D1" zoomScale="78" zoomScaleNormal="80" workbookViewId="0">
      <selection activeCell="J16" sqref="J16"/>
    </sheetView>
  </sheetViews>
  <sheetFormatPr defaultRowHeight="14.5" x14ac:dyDescent="0.35"/>
  <cols>
    <col min="1" max="1" width="18.1796875" customWidth="1"/>
    <col min="2" max="2" width="12.453125" customWidth="1"/>
    <col min="6" max="6" width="15.1796875" customWidth="1"/>
    <col min="7" max="7" width="12.26953125" customWidth="1"/>
  </cols>
  <sheetData>
    <row r="1" spans="1:7" ht="29" x14ac:dyDescent="0.35">
      <c r="A1" s="19" t="s">
        <v>0</v>
      </c>
      <c r="B1" s="19" t="s">
        <v>1</v>
      </c>
      <c r="C1" s="19" t="s">
        <v>2</v>
      </c>
      <c r="D1" s="19" t="s">
        <v>3</v>
      </c>
      <c r="E1" s="19" t="s">
        <v>2</v>
      </c>
      <c r="F1" s="19" t="s">
        <v>4</v>
      </c>
      <c r="G1" s="19" t="s">
        <v>5</v>
      </c>
    </row>
    <row r="2" spans="1:7" x14ac:dyDescent="0.35">
      <c r="A2" s="17" t="s">
        <v>6</v>
      </c>
      <c r="B2" s="18">
        <f>AVERAGE('Sand Columns'!T2:T4,'Sand Columns'!T14:T16,'Sand Columns'!T26:T28)</f>
        <v>1.2362786344901544</v>
      </c>
      <c r="C2" s="18">
        <f>AVERAGE('Sand Columns'!U2:U4,'Sand Columns'!U14:U16,'Sand Columns'!U26:U28)/SQRT(3)</f>
        <v>6.8149545790210445E-2</v>
      </c>
      <c r="D2" s="20"/>
      <c r="E2" s="21"/>
      <c r="F2" s="18">
        <f>'Water leachate'!R5</f>
        <v>138.55700787401571</v>
      </c>
      <c r="G2" s="21"/>
    </row>
    <row r="3" spans="1:7" x14ac:dyDescent="0.35">
      <c r="A3" s="17" t="s">
        <v>7</v>
      </c>
      <c r="B3" s="18">
        <f>AVERAGE('Sand Columns'!T5:T7,'Sand Columns'!T17:T19,'Sand Columns'!T29:T31)</f>
        <v>-7.3013023574624858E-2</v>
      </c>
      <c r="C3" s="18">
        <f>AVERAGE('Sand Columns'!U5:U7,'Sand Columns'!U17:U19,'Sand Columns'!U29:U31)/SQRT(3)</f>
        <v>9.7125269080155412E-4</v>
      </c>
      <c r="D3" s="21"/>
      <c r="E3" s="21"/>
      <c r="F3" s="21"/>
      <c r="G3" s="21"/>
    </row>
    <row r="4" spans="1:7" x14ac:dyDescent="0.35">
      <c r="A4" s="17" t="s">
        <v>8</v>
      </c>
      <c r="B4" s="18">
        <f>AVERAGE('Sand Columns'!T8:T10,'Sand Columns'!T20:T22,'Sand Columns'!T32:T34)</f>
        <v>-7.279374205102275E-2</v>
      </c>
      <c r="C4" s="18">
        <f>AVERAGE('Sand Columns'!U8:U10,'Sand Columns'!U20:U22,'Sand Columns'!U32:U34)/SQRT(3)</f>
        <v>5.36758602495604E-4</v>
      </c>
      <c r="D4" s="21"/>
      <c r="E4" s="21"/>
      <c r="F4" s="21"/>
      <c r="G4" s="21"/>
    </row>
    <row r="5" spans="1:7" x14ac:dyDescent="0.35">
      <c r="A5" s="17" t="s">
        <v>9</v>
      </c>
      <c r="B5" s="18">
        <f>AVERAGE('Sand Columns'!T11:T13,'Sand Columns'!T23:T25,'Sand Columns'!T35:T37)</f>
        <v>-7.3182171182410827E-2</v>
      </c>
      <c r="C5" s="18">
        <f>AVERAGE('Sand Columns'!U11:U13,'Sand Columns'!U23:U25,'Sand Columns'!U35:U37)/SQRT(3)</f>
        <v>5.9126187847408204E-4</v>
      </c>
      <c r="D5" s="21"/>
      <c r="E5" s="21"/>
      <c r="F5" s="21"/>
      <c r="G5" s="21"/>
    </row>
    <row r="6" spans="1:7" x14ac:dyDescent="0.35">
      <c r="A6" s="17" t="s">
        <v>13</v>
      </c>
      <c r="B6" s="18">
        <f>AVERAGE('Sand Columns'!T38:T40,'Sand Columns'!T50:T52,'Sand Columns'!T62:T64)</f>
        <v>20.146784866634352</v>
      </c>
      <c r="C6" s="18">
        <f>AVERAGE('Sand Columns'!U38:U40,'Sand Columns'!U50:U52,'Sand Columns'!U62:U64)/SQRT(3)</f>
        <v>2.6430339171238448</v>
      </c>
      <c r="D6" s="18">
        <f>AVERAGE('Sand Columns'!V38:V40,'Sand Columns'!V50:V52,'Sand Columns'!V62:V64)</f>
        <v>151.17036318114435</v>
      </c>
      <c r="E6" s="18">
        <f>AVERAGE('Sand Columns'!W38:W40,'Sand Columns'!W50:W52,'Sand Columns'!W62:W64)/SQRT(3)</f>
        <v>16.821079472723355</v>
      </c>
      <c r="F6" s="18">
        <f>'Water leachate'!R11</f>
        <v>148.75493557623477</v>
      </c>
      <c r="G6" s="18">
        <f>'Water leachate'!S11</f>
        <v>3.0715154342067157E-2</v>
      </c>
    </row>
    <row r="7" spans="1:7" x14ac:dyDescent="0.35">
      <c r="A7" s="17" t="s">
        <v>18</v>
      </c>
      <c r="B7" s="18">
        <f>AVERAGE('Sand Columns'!T41:T43,'Sand Columns'!T53:T55,'Sand Columns'!T65:T67)</f>
        <v>0.75807640588832925</v>
      </c>
      <c r="C7" s="18">
        <f>AVERAGE('Sand Columns'!U41:U43,'Sand Columns'!U53:U55,'Sand Columns'!U65:U67)/SQRT(3)</f>
        <v>0.21438409042338624</v>
      </c>
      <c r="D7" s="18">
        <f>AVERAGE('Sand Columns'!V41:V43,'Sand Columns'!V53:V55,'Sand Columns'!V65:V67)</f>
        <v>51.959518210702157</v>
      </c>
      <c r="E7" s="18">
        <f>AVERAGE('Sand Columns'!W41:W43,'Sand Columns'!W53:W55,'Sand Columns'!W65:W67)/SQRT(3)</f>
        <v>8.5761604291608613</v>
      </c>
      <c r="F7" s="21"/>
      <c r="G7" s="21"/>
    </row>
    <row r="8" spans="1:7" x14ac:dyDescent="0.35">
      <c r="A8" s="17" t="s">
        <v>21</v>
      </c>
      <c r="B8" s="18">
        <f>AVERAGE('Sand Columns'!T44:T46,'Sand Columns'!T56:T58,'Sand Columns'!T68:T70)</f>
        <v>-7.2421437315661905E-2</v>
      </c>
      <c r="C8" s="18">
        <f>AVERAGE('Sand Columns'!U44:U46,'Sand Columns'!U56:U58,'Sand Columns'!U68:U70)/SQRT(3)</f>
        <v>8.2689851141838405E-4</v>
      </c>
      <c r="D8" s="18">
        <f>AVERAGE('Sand Columns'!V44:V46,'Sand Columns'!V56:V58,'Sand Columns'!V68:V70)</f>
        <v>11.620832223673995</v>
      </c>
      <c r="E8" s="18">
        <f>AVERAGE('Sand Columns'!W44:W46,'Sand Columns'!W56:W58,'Sand Columns'!W68:W70)/SQRT(3)</f>
        <v>4.4635061343609053</v>
      </c>
      <c r="F8" s="21"/>
      <c r="G8" s="21"/>
    </row>
    <row r="9" spans="1:7" x14ac:dyDescent="0.35">
      <c r="A9" s="17" t="s">
        <v>23</v>
      </c>
      <c r="B9" s="18">
        <f>AVERAGE('Sand Columns'!T47:T49,'Sand Columns'!T59:T61,'Sand Columns'!T71:T73)</f>
        <v>0.60411566324490873</v>
      </c>
      <c r="C9" s="18">
        <f>AVERAGE('Sand Columns'!U47:U49,'Sand Columns'!U59:U61,'Sand Columns'!U71:U73)/SQRT(3)</f>
        <v>0.6778372100670208</v>
      </c>
      <c r="D9" s="18">
        <f>AVERAGE('Sand Columns'!V47:V49,'Sand Columns'!V59:V61,'Sand Columns'!V71:V73)</f>
        <v>9.9150578874952942</v>
      </c>
      <c r="E9" s="18">
        <f>AVERAGE('Sand Columns'!W47:W49,'Sand Columns'!W59:W61,'Sand Columns'!W71:W73)/SQRT(3)</f>
        <v>0.64500159802983636</v>
      </c>
      <c r="F9" s="21"/>
      <c r="G9" s="21"/>
    </row>
    <row r="10" spans="1:7" x14ac:dyDescent="0.35">
      <c r="A10" s="17" t="s">
        <v>25</v>
      </c>
      <c r="B10" s="21"/>
      <c r="C10" s="21"/>
      <c r="D10" s="18">
        <f>AVERAGE('Sand Columns'!V74:V76,'Sand Columns'!V86:V88,'Sand Columns'!V98:V100)</f>
        <v>217.86876469159753</v>
      </c>
      <c r="E10" s="18">
        <f>AVERAGE('Sand Columns'!W74:W76,'Sand Columns'!W86:W88,'Sand Columns'!W98:W100)/SQRT(3)</f>
        <v>71.906710788071777</v>
      </c>
      <c r="F10" s="21"/>
      <c r="G10" s="18">
        <f>'Water leachate'!S17</f>
        <v>3.0715154342067157E-2</v>
      </c>
    </row>
    <row r="11" spans="1:7" x14ac:dyDescent="0.35">
      <c r="A11" s="17" t="s">
        <v>27</v>
      </c>
      <c r="B11" s="21"/>
      <c r="C11" s="21"/>
      <c r="D11" s="18">
        <f>AVERAGE('Sand Columns'!V89:V91,'Sand Columns'!V101:V103,'Sand Columns'!V77:V79)</f>
        <v>90.325535779178423</v>
      </c>
      <c r="E11" s="18">
        <f>AVERAGE('Sand Columns'!W89:W91,'Sand Columns'!W101:W103,'Sand Columns'!W77:W79)/SQRT(3)</f>
        <v>15.783512003789719</v>
      </c>
      <c r="F11" s="21"/>
      <c r="G11" s="21"/>
    </row>
    <row r="12" spans="1:7" x14ac:dyDescent="0.35">
      <c r="A12" s="17" t="s">
        <v>30</v>
      </c>
      <c r="B12" s="21"/>
      <c r="C12" s="21"/>
      <c r="D12" s="18">
        <f>AVERAGE('Sand Columns'!V80:V82,'Sand Columns'!V92:V94,'Sand Columns'!V104:V106)</f>
        <v>14.780975703659772</v>
      </c>
      <c r="E12" s="18">
        <f>AVERAGE('Sand Columns'!W80:W82,'Sand Columns'!W92:W94,'Sand Columns'!W104:W106)/SQRT(3)</f>
        <v>0.53685530064132614</v>
      </c>
      <c r="F12" s="21"/>
      <c r="G12" s="21"/>
    </row>
    <row r="13" spans="1:7" x14ac:dyDescent="0.35">
      <c r="A13" s="17" t="s">
        <v>32</v>
      </c>
      <c r="B13" s="21"/>
      <c r="C13" s="21"/>
      <c r="D13" s="18">
        <f>AVERAGE('Sand Columns'!V107:V109,'Sand Columns'!V95:V97)</f>
        <v>33.434300033939358</v>
      </c>
      <c r="E13" s="18">
        <f>AVERAGE('Sand Columns'!W107:W109,'Sand Columns'!W95:W97)/SQRT(3)</f>
        <v>4.5980141788299349</v>
      </c>
      <c r="F13" s="21"/>
      <c r="G13" s="21"/>
    </row>
    <row r="16" spans="1:7" ht="29.5" thickBot="1" x14ac:dyDescent="0.4">
      <c r="A16" s="19" t="s">
        <v>0</v>
      </c>
      <c r="B16" s="19" t="s">
        <v>33</v>
      </c>
      <c r="C16" s="19" t="s">
        <v>36</v>
      </c>
      <c r="D16" s="19" t="s">
        <v>37</v>
      </c>
      <c r="E16" s="19" t="s">
        <v>38</v>
      </c>
    </row>
    <row r="17" spans="1:6" ht="15" thickBot="1" x14ac:dyDescent="0.4">
      <c r="A17" s="26" t="s">
        <v>39</v>
      </c>
      <c r="B17" s="40">
        <f>AVERAGE('Sand Columns'!C2,'Sand Columns'!C14,'Sand Columns'!C26)</f>
        <v>1.0046333333333335</v>
      </c>
      <c r="C17" s="37"/>
      <c r="D17" s="37"/>
      <c r="E17" s="38"/>
    </row>
    <row r="18" spans="1:6" x14ac:dyDescent="0.35">
      <c r="A18" s="29" t="s">
        <v>6</v>
      </c>
      <c r="B18" s="50">
        <f>('Total Values '!B18)/$B$23</f>
        <v>2.0277237345764803E-3</v>
      </c>
      <c r="C18" s="50">
        <f>('Total Values '!C18)/$B$23</f>
        <v>0</v>
      </c>
      <c r="D18" s="50">
        <f>('Total Values '!D18)/$B$23</f>
        <v>0.99797227626542351</v>
      </c>
      <c r="E18" s="50">
        <f>('Total Values '!E18)/$B$23</f>
        <v>0</v>
      </c>
    </row>
    <row r="19" spans="1:6" x14ac:dyDescent="0.35">
      <c r="A19" s="29" t="s">
        <v>7</v>
      </c>
      <c r="B19" s="50">
        <f>('Total Values '!B19)/$B$23</f>
        <v>0</v>
      </c>
      <c r="C19" s="50">
        <f>('Total Values '!C19)/$B$23</f>
        <v>0</v>
      </c>
      <c r="D19" s="50">
        <f>('Total Values '!D19)/$B$23</f>
        <v>0</v>
      </c>
      <c r="E19" s="50">
        <f>('Total Values '!E19)/$B$23</f>
        <v>0</v>
      </c>
    </row>
    <row r="20" spans="1:6" x14ac:dyDescent="0.35">
      <c r="A20" s="29" t="s">
        <v>8</v>
      </c>
      <c r="B20" s="50">
        <f>('Total Values '!B20)/$B$23</f>
        <v>0</v>
      </c>
      <c r="C20" s="50">
        <f>('Total Values '!C20)/$B$23</f>
        <v>0</v>
      </c>
      <c r="D20" s="50">
        <f>('Total Values '!D20)/$B$23</f>
        <v>0</v>
      </c>
      <c r="E20" s="50">
        <f>('Total Values '!E20)/$B$23</f>
        <v>0</v>
      </c>
    </row>
    <row r="21" spans="1:6" ht="15" thickBot="1" x14ac:dyDescent="0.4">
      <c r="A21" s="31" t="s">
        <v>9</v>
      </c>
      <c r="B21" s="50">
        <f>('Total Values '!B21)/$B$23</f>
        <v>0</v>
      </c>
      <c r="C21" s="50">
        <f>('Total Values '!C21)/$B$23</f>
        <v>0</v>
      </c>
      <c r="D21" s="50">
        <f>('Total Values '!D21)/$B$23</f>
        <v>0</v>
      </c>
      <c r="E21" s="50">
        <f>('Total Values '!E21)/$B$23</f>
        <v>0</v>
      </c>
    </row>
    <row r="22" spans="1:6" x14ac:dyDescent="0.35">
      <c r="A22" s="17" t="s">
        <v>42</v>
      </c>
      <c r="B22" s="101">
        <f>'Total Values '!$B$22</f>
        <v>6.9777959932992167E-4</v>
      </c>
      <c r="C22" s="101"/>
    </row>
    <row r="23" spans="1:6" x14ac:dyDescent="0.35">
      <c r="A23" s="17" t="s">
        <v>43</v>
      </c>
      <c r="B23" s="24">
        <f>'Total Values '!B23</f>
        <v>0.34411965862581528</v>
      </c>
      <c r="C23" s="24"/>
    </row>
    <row r="24" spans="1:6" x14ac:dyDescent="0.35">
      <c r="A24" s="17" t="s">
        <v>44</v>
      </c>
      <c r="B24" s="11">
        <f>'Total Values '!B24</f>
        <v>0.66051367470751821</v>
      </c>
      <c r="C24" s="24"/>
    </row>
    <row r="25" spans="1:6" ht="15" thickBot="1" x14ac:dyDescent="0.4">
      <c r="A25" s="17"/>
      <c r="B25" s="24"/>
    </row>
    <row r="26" spans="1:6" ht="15" thickBot="1" x14ac:dyDescent="0.4">
      <c r="A26" s="26" t="s">
        <v>39</v>
      </c>
      <c r="B26" s="99">
        <f>AVERAGE('Sand Columns'!C38,'Sand Columns'!C50,'Sand Columns'!C62)</f>
        <v>1.0050666666666668</v>
      </c>
      <c r="C26" s="100"/>
      <c r="D26" s="27"/>
      <c r="E26" s="28"/>
      <c r="F26" s="1" t="s">
        <v>46</v>
      </c>
    </row>
    <row r="27" spans="1:6" x14ac:dyDescent="0.35">
      <c r="A27" s="29" t="s">
        <v>13</v>
      </c>
      <c r="B27" s="50">
        <f>('Total Values '!B27)/$B$32</f>
        <v>1.6152836250995069E-2</v>
      </c>
      <c r="C27" s="50">
        <f>('Total Values '!C27)/$B$32</f>
        <v>0.13888062158043926</v>
      </c>
      <c r="D27" s="50">
        <f>('Total Values '!D27)/$B$32</f>
        <v>0.74493530984408907</v>
      </c>
      <c r="E27" s="50">
        <f>('Total Values '!E27)/$B$32</f>
        <v>1.8511290847089533E-4</v>
      </c>
      <c r="F27" s="51">
        <f>SUM(B27:C27)</f>
        <v>0.15503345783143432</v>
      </c>
    </row>
    <row r="28" spans="1:6" x14ac:dyDescent="0.35">
      <c r="A28" s="29" t="s">
        <v>18</v>
      </c>
      <c r="B28" s="50">
        <f>('Total Values '!B28)/$B$32</f>
        <v>8.0672799390672692E-4</v>
      </c>
      <c r="C28" s="50">
        <f>('Total Values '!C28)/$B$32</f>
        <v>6.8403729094819551E-2</v>
      </c>
      <c r="D28" s="50">
        <f>('Total Values '!D28)/$B$32</f>
        <v>0</v>
      </c>
      <c r="E28" s="50">
        <f>('Total Values '!E28)/$B$32</f>
        <v>0</v>
      </c>
      <c r="F28" s="51">
        <f>SUM(B28:C28)</f>
        <v>6.9210457088726279E-2</v>
      </c>
    </row>
    <row r="29" spans="1:6" x14ac:dyDescent="0.35">
      <c r="A29" s="29" t="s">
        <v>21</v>
      </c>
      <c r="B29" s="50">
        <f>('Total Values '!B29)/$B$32</f>
        <v>0</v>
      </c>
      <c r="C29" s="50">
        <f>('Total Values '!C29)/$B$32</f>
        <v>1.7137546477588791E-2</v>
      </c>
      <c r="D29" s="50">
        <f>('Total Values '!D29)/$B$32</f>
        <v>0</v>
      </c>
      <c r="E29" s="50">
        <f>('Total Values '!E29)/$B$32</f>
        <v>0</v>
      </c>
      <c r="F29" s="51">
        <f>SUM(B29:C29)</f>
        <v>1.7137546477588791E-2</v>
      </c>
    </row>
    <row r="30" spans="1:6" ht="15" thickBot="1" x14ac:dyDescent="0.4">
      <c r="A30" s="31" t="s">
        <v>23</v>
      </c>
      <c r="B30" s="50">
        <f>('Total Values '!B30)/$B$32</f>
        <v>9.6094852299541498E-4</v>
      </c>
      <c r="C30" s="50">
        <f>('Total Values '!C30)/$B$32</f>
        <v>1.2537167326695162E-2</v>
      </c>
      <c r="D30" s="50">
        <f>('Total Values '!D30)/$B$32</f>
        <v>0</v>
      </c>
      <c r="E30" s="50">
        <f>('Total Values '!E30)/$B$32</f>
        <v>0</v>
      </c>
      <c r="F30" s="51">
        <f>SUM(B30:C30)</f>
        <v>1.3498115849690578E-2</v>
      </c>
    </row>
    <row r="31" spans="1:6" x14ac:dyDescent="0.35">
      <c r="A31" s="17" t="s">
        <v>42</v>
      </c>
      <c r="B31" s="101">
        <f>'Total Values '!B31</f>
        <v>0.12081214712007303</v>
      </c>
      <c r="C31" s="101"/>
      <c r="F31" s="51">
        <f>SUM(D27:E27)</f>
        <v>0.74512042275255996</v>
      </c>
    </row>
    <row r="32" spans="1:6" x14ac:dyDescent="0.35">
      <c r="A32" s="17" t="s">
        <v>43</v>
      </c>
      <c r="B32" s="24">
        <f>'Total Values '!B32</f>
        <v>0.47399696917571088</v>
      </c>
      <c r="C32" s="24"/>
    </row>
    <row r="33" spans="1:5" x14ac:dyDescent="0.35">
      <c r="A33" s="17" t="s">
        <v>44</v>
      </c>
      <c r="B33" s="11">
        <f>'Total Values '!B33</f>
        <v>0.53106969749095589</v>
      </c>
      <c r="C33" s="24"/>
    </row>
    <row r="34" spans="1:5" ht="15" thickBot="1" x14ac:dyDescent="0.4">
      <c r="A34" s="17"/>
      <c r="B34" s="24"/>
      <c r="C34" s="22"/>
    </row>
    <row r="35" spans="1:5" ht="15" thickBot="1" x14ac:dyDescent="0.4">
      <c r="A35" s="26" t="s">
        <v>39</v>
      </c>
      <c r="B35" s="39">
        <f>AVERAGE('Sand Columns'!C74,'Sand Columns'!C86,'Sand Columns'!C98)</f>
        <v>1.0124</v>
      </c>
      <c r="C35" s="36"/>
      <c r="D35" s="27"/>
      <c r="E35" s="28"/>
    </row>
    <row r="36" spans="1:5" x14ac:dyDescent="0.35">
      <c r="A36" s="29" t="s">
        <v>25</v>
      </c>
      <c r="B36" s="52">
        <f>('Total Values '!B36)/$B$41</f>
        <v>0</v>
      </c>
      <c r="C36" s="52">
        <f>('Total Values '!C36)/$B$41</f>
        <v>0.62639929911492342</v>
      </c>
      <c r="D36" s="52">
        <f>('Total Values '!D36)/$B$41</f>
        <v>0</v>
      </c>
      <c r="E36" s="52">
        <f>('Total Values '!E36)/$B$41</f>
        <v>2.9185219258576949E-4</v>
      </c>
    </row>
    <row r="37" spans="1:5" x14ac:dyDescent="0.35">
      <c r="A37" s="29" t="s">
        <v>27</v>
      </c>
      <c r="B37" s="52">
        <f>('Total Values '!B37)/$B$41</f>
        <v>0</v>
      </c>
      <c r="C37" s="52">
        <f>('Total Values '!C37)/$B$41</f>
        <v>0.25072995846093704</v>
      </c>
      <c r="D37" s="52">
        <f>('Total Values '!D37)/$B$41</f>
        <v>0</v>
      </c>
      <c r="E37" s="52">
        <f>('Total Values '!E37)/$B$41</f>
        <v>0</v>
      </c>
    </row>
    <row r="38" spans="1:5" x14ac:dyDescent="0.35">
      <c r="A38" s="29" t="s">
        <v>30</v>
      </c>
      <c r="B38" s="52">
        <f>('Total Values '!B38)/$B$41</f>
        <v>0</v>
      </c>
      <c r="C38" s="52">
        <f>('Total Values '!C38)/$B$41</f>
        <v>6.6876930309406793E-2</v>
      </c>
      <c r="D38" s="52">
        <f>('Total Values '!D38)/$B$41</f>
        <v>0</v>
      </c>
      <c r="E38" s="52">
        <f>('Total Values '!E38)/$B$41</f>
        <v>0</v>
      </c>
    </row>
    <row r="39" spans="1:5" ht="15" thickBot="1" x14ac:dyDescent="0.4">
      <c r="A39" s="31" t="s">
        <v>32</v>
      </c>
      <c r="B39" s="52">
        <f>('Total Values '!B39)/$B$41</f>
        <v>0</v>
      </c>
      <c r="C39" s="52">
        <f>('Total Values '!C39)/$B$41</f>
        <v>5.5701959922146896E-2</v>
      </c>
      <c r="D39" s="52">
        <f>('Total Values '!D39)/$B$41</f>
        <v>0</v>
      </c>
      <c r="E39" s="52">
        <f>('Total Values '!E39)/$B$41</f>
        <v>0</v>
      </c>
    </row>
    <row r="40" spans="1:5" x14ac:dyDescent="0.35">
      <c r="A40" s="17" t="s">
        <v>42</v>
      </c>
      <c r="B40" s="101">
        <f>'Total Values '!$B$40</f>
        <v>0.18832848132791105</v>
      </c>
      <c r="C40" s="101"/>
    </row>
    <row r="41" spans="1:5" x14ac:dyDescent="0.35">
      <c r="A41" s="17" t="s">
        <v>43</v>
      </c>
      <c r="B41" s="23">
        <f>'Total Values '!B41</f>
        <v>0.18838346145418336</v>
      </c>
    </row>
    <row r="42" spans="1:5" x14ac:dyDescent="0.35">
      <c r="A42" s="17" t="s">
        <v>44</v>
      </c>
      <c r="B42" s="11">
        <f>'Total Values '!B42</f>
        <v>0.82401653854581658</v>
      </c>
    </row>
    <row r="46" spans="1:5" ht="15" thickBot="1" x14ac:dyDescent="0.4">
      <c r="A46" s="19" t="s">
        <v>0</v>
      </c>
      <c r="B46" s="19" t="s">
        <v>33</v>
      </c>
    </row>
    <row r="47" spans="1:5" x14ac:dyDescent="0.35">
      <c r="A47" s="26" t="s">
        <v>47</v>
      </c>
      <c r="B47" s="44">
        <v>1.0046333333333335</v>
      </c>
    </row>
    <row r="48" spans="1:5" ht="29" x14ac:dyDescent="0.35">
      <c r="A48" s="45" t="s">
        <v>48</v>
      </c>
      <c r="B48" s="46">
        <v>1.0050666666666668</v>
      </c>
    </row>
    <row r="49" spans="1:2" ht="15" thickBot="1" x14ac:dyDescent="0.4">
      <c r="A49" s="47" t="s">
        <v>49</v>
      </c>
      <c r="B49" s="48">
        <v>1.0124</v>
      </c>
    </row>
  </sheetData>
  <mergeCells count="4">
    <mergeCell ref="B22:C22"/>
    <mergeCell ref="B26:C26"/>
    <mergeCell ref="B31:C31"/>
    <mergeCell ref="B40:C4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5140F-B145-4D21-BA95-1CD6CDE8B190}">
  <dimension ref="A1:BS89"/>
  <sheetViews>
    <sheetView topLeftCell="Z109" zoomScale="60" zoomScaleNormal="60" workbookViewId="0">
      <selection activeCell="BF142" sqref="BF142:BF143"/>
    </sheetView>
  </sheetViews>
  <sheetFormatPr defaultRowHeight="14.5" x14ac:dyDescent="0.35"/>
  <cols>
    <col min="1" max="1" width="18.1796875" customWidth="1"/>
    <col min="2" max="4" width="12.453125" customWidth="1"/>
    <col min="5" max="5" width="11.7265625" customWidth="1"/>
    <col min="14" max="14" width="15.1796875" customWidth="1"/>
    <col min="15" max="15" width="12.26953125" customWidth="1"/>
    <col min="63" max="63" width="10.54296875" bestFit="1" customWidth="1"/>
  </cols>
  <sheetData>
    <row r="1" spans="1:71" ht="43.5" x14ac:dyDescent="0.35">
      <c r="A1" s="19" t="s">
        <v>0</v>
      </c>
      <c r="B1" s="19" t="s">
        <v>1</v>
      </c>
      <c r="C1" s="19"/>
      <c r="D1" s="19"/>
      <c r="E1" s="19" t="s">
        <v>2</v>
      </c>
      <c r="F1" s="19"/>
      <c r="G1" s="19"/>
      <c r="H1" s="19" t="s">
        <v>3</v>
      </c>
      <c r="I1" s="19"/>
      <c r="J1" s="19"/>
      <c r="K1" s="19" t="s">
        <v>2</v>
      </c>
      <c r="L1" s="19"/>
      <c r="M1" s="19"/>
      <c r="N1" s="19" t="s">
        <v>4</v>
      </c>
      <c r="O1" s="19" t="s">
        <v>5</v>
      </c>
    </row>
    <row r="2" spans="1:71" x14ac:dyDescent="0.35">
      <c r="A2" s="17" t="s">
        <v>6</v>
      </c>
      <c r="B2" s="18">
        <f>AVERAGE('Sand Columns'!T2:T4,'Sand Columns'!T14:T16,'Sand Columns'!T26:T28)</f>
        <v>1.2362786344901544</v>
      </c>
      <c r="C2" s="18"/>
      <c r="D2" s="18"/>
      <c r="E2" s="18">
        <f>AVERAGE('Sand Columns'!U2:U4,'Sand Columns'!U14:U16,'Sand Columns'!U26:U28)/SQRT(3)</f>
        <v>6.8149545790210445E-2</v>
      </c>
      <c r="F2" s="18"/>
      <c r="G2" s="18"/>
      <c r="H2" s="20"/>
      <c r="I2" s="20"/>
      <c r="J2" s="20"/>
      <c r="K2" s="21"/>
      <c r="L2" s="21"/>
      <c r="M2" s="21"/>
      <c r="N2" s="18">
        <f>'Water leachate'!R5</f>
        <v>138.55700787401571</v>
      </c>
      <c r="O2" s="21"/>
    </row>
    <row r="3" spans="1:71" x14ac:dyDescent="0.35">
      <c r="A3" s="17" t="s">
        <v>7</v>
      </c>
      <c r="B3" s="18">
        <f>AVERAGE('Sand Columns'!T5:T7,'Sand Columns'!T17:T19,'Sand Columns'!T29:T31)</f>
        <v>-7.3013023574624858E-2</v>
      </c>
      <c r="C3" s="18"/>
      <c r="D3" s="18"/>
      <c r="E3" s="18">
        <f>AVERAGE('Sand Columns'!U5:U7,'Sand Columns'!U17:U19,'Sand Columns'!U29:U31)/SQRT(3)</f>
        <v>9.7125269080155412E-4</v>
      </c>
      <c r="F3" s="18"/>
      <c r="G3" s="18"/>
      <c r="H3" s="21"/>
      <c r="I3" s="21"/>
      <c r="J3" s="21"/>
      <c r="K3" s="21"/>
      <c r="L3" s="21"/>
      <c r="M3" s="21"/>
      <c r="N3" s="21"/>
      <c r="O3" s="21"/>
      <c r="BL3" s="88"/>
      <c r="BM3" s="88"/>
      <c r="BN3" s="88"/>
      <c r="BO3" s="88"/>
      <c r="BP3" s="88"/>
      <c r="BQ3" s="88"/>
      <c r="BR3" s="88"/>
      <c r="BS3" s="88"/>
    </row>
    <row r="4" spans="1:71" x14ac:dyDescent="0.35">
      <c r="A4" s="17" t="s">
        <v>8</v>
      </c>
      <c r="B4" s="18">
        <f>AVERAGE('Sand Columns'!T8:T10,'Sand Columns'!T20:T22,'Sand Columns'!T32:T34)</f>
        <v>-7.279374205102275E-2</v>
      </c>
      <c r="C4" s="18"/>
      <c r="D4" s="18"/>
      <c r="E4" s="18">
        <f>AVERAGE('Sand Columns'!U8:U10,'Sand Columns'!U20:U22,'Sand Columns'!U32:U34)/SQRT(3)</f>
        <v>5.36758602495604E-4</v>
      </c>
      <c r="F4" s="18"/>
      <c r="G4" s="18"/>
      <c r="H4" s="21"/>
      <c r="I4" s="21"/>
      <c r="J4" s="21"/>
      <c r="K4" s="21"/>
      <c r="L4" s="21"/>
      <c r="M4" s="21"/>
      <c r="N4" s="21"/>
      <c r="O4" s="21"/>
    </row>
    <row r="5" spans="1:71" x14ac:dyDescent="0.35">
      <c r="A5" s="17" t="s">
        <v>9</v>
      </c>
      <c r="B5" s="18">
        <f>AVERAGE('Sand Columns'!T11:T13,'Sand Columns'!T23:T25,'Sand Columns'!T35:T37)</f>
        <v>-7.3182171182410827E-2</v>
      </c>
      <c r="C5" s="18"/>
      <c r="D5" s="18"/>
      <c r="E5" s="18">
        <f>AVERAGE('Sand Columns'!U11:U13,'Sand Columns'!U23:U25,'Sand Columns'!U35:U37)/SQRT(3)</f>
        <v>5.9126187847408204E-4</v>
      </c>
      <c r="F5" s="18"/>
      <c r="G5" s="18"/>
      <c r="H5" s="21"/>
      <c r="I5" s="21"/>
      <c r="J5" s="21"/>
      <c r="K5" s="21"/>
      <c r="L5" s="21"/>
      <c r="M5" s="21"/>
      <c r="N5" s="21"/>
      <c r="O5" s="21"/>
      <c r="BI5" s="88" t="s">
        <v>10</v>
      </c>
      <c r="BJ5" s="88"/>
      <c r="BK5" s="88" t="s">
        <v>11</v>
      </c>
      <c r="BL5" s="88"/>
      <c r="BM5" s="88"/>
      <c r="BN5" s="88"/>
      <c r="BO5" s="88" t="s">
        <v>12</v>
      </c>
      <c r="BP5" s="88"/>
    </row>
    <row r="6" spans="1:71" x14ac:dyDescent="0.35">
      <c r="A6" s="17" t="s">
        <v>13</v>
      </c>
      <c r="B6" s="18">
        <f>AVERAGE('Sand Columns'!T38:T40,'Sand Columns'!T50:T52,'Sand Columns'!T62:T64)</f>
        <v>20.146784866634352</v>
      </c>
      <c r="C6" s="18"/>
      <c r="D6" s="18"/>
      <c r="E6" s="18">
        <f>AVERAGE('Sand Columns'!U38:U40,'Sand Columns'!U50:U52,'Sand Columns'!U62:U64)/SQRT(3)</f>
        <v>2.6430339171238448</v>
      </c>
      <c r="F6" s="18"/>
      <c r="G6" s="18"/>
      <c r="H6" s="18">
        <f>AVERAGE('Sand Columns'!V38:V40,'Sand Columns'!V50:V52,'Sand Columns'!V62:V64)</f>
        <v>151.17036318114435</v>
      </c>
      <c r="I6" s="18"/>
      <c r="J6" s="18"/>
      <c r="K6" s="18">
        <f>AVERAGE('Sand Columns'!W38:W40,'Sand Columns'!W50:W52,'Sand Columns'!W62:W64)/SQRT(3)</f>
        <v>16.821079472723355</v>
      </c>
      <c r="L6" s="18"/>
      <c r="M6" s="18"/>
      <c r="N6" s="18">
        <f>'Water leachate'!R11</f>
        <v>148.75493557623477</v>
      </c>
      <c r="O6" s="18">
        <f>'Water leachate'!S11</f>
        <v>3.0715154342067157E-2</v>
      </c>
      <c r="BI6" t="s">
        <v>14</v>
      </c>
      <c r="BJ6" t="s">
        <v>15</v>
      </c>
      <c r="BK6" t="s">
        <v>14</v>
      </c>
      <c r="BL6" t="s">
        <v>16</v>
      </c>
      <c r="BM6" t="s">
        <v>17</v>
      </c>
      <c r="BN6" t="s">
        <v>16</v>
      </c>
      <c r="BO6" t="s">
        <v>17</v>
      </c>
      <c r="BP6" t="s">
        <v>16</v>
      </c>
    </row>
    <row r="7" spans="1:71" x14ac:dyDescent="0.35">
      <c r="A7" s="17" t="s">
        <v>18</v>
      </c>
      <c r="B7" s="18">
        <f>AVERAGE('Sand Columns'!T41:T43,'Sand Columns'!T53:T55,'Sand Columns'!T65:T67)</f>
        <v>0.75807640588832925</v>
      </c>
      <c r="C7" s="18"/>
      <c r="D7" s="18"/>
      <c r="E7" s="18">
        <f>AVERAGE('Sand Columns'!U41:U43,'Sand Columns'!U53:U55,'Sand Columns'!U65:U67)/SQRT(3)</f>
        <v>0.21438409042338624</v>
      </c>
      <c r="F7" s="18"/>
      <c r="G7" s="18"/>
      <c r="H7" s="18">
        <f>AVERAGE('Sand Columns'!V41:V43,'Sand Columns'!V53:V55,'Sand Columns'!V65:V67)</f>
        <v>51.959518210702157</v>
      </c>
      <c r="I7" s="18"/>
      <c r="J7" s="18"/>
      <c r="K7" s="18">
        <f>AVERAGE('Sand Columns'!W41:W43,'Sand Columns'!W53:W55,'Sand Columns'!W65:W67)/SQRT(3)</f>
        <v>8.5761604291608613</v>
      </c>
      <c r="L7" s="18"/>
      <c r="M7" s="18"/>
      <c r="N7" s="21"/>
      <c r="O7" s="21"/>
      <c r="BF7" s="89" t="s">
        <v>19</v>
      </c>
      <c r="BG7" s="88" t="s">
        <v>20</v>
      </c>
      <c r="BH7" s="88"/>
      <c r="BI7" s="51">
        <f>C18</f>
        <v>6.2015079642250258E-4</v>
      </c>
      <c r="BJ7" s="22">
        <f>((E2/B2)/($B$47*1000))*100</f>
        <v>5.4870512688214588E-3</v>
      </c>
      <c r="BK7" s="51">
        <f>C27</f>
        <v>1.151134007708271E-2</v>
      </c>
      <c r="BL7" s="22">
        <f>(E6/($B$48*1000))*100</f>
        <v>0.26297100528560319</v>
      </c>
      <c r="BM7" s="51">
        <f>F27</f>
        <v>0.1936437227626234</v>
      </c>
      <c r="BN7" s="22">
        <f>(K6/($B$48*1000))*100</f>
        <v>1.6736282309024242</v>
      </c>
      <c r="BO7" s="51">
        <f>F36</f>
        <v>0.11655794964415613</v>
      </c>
      <c r="BP7" s="22">
        <f>(K10/($B$49*1000))*100</f>
        <v>7.1025988530296109</v>
      </c>
    </row>
    <row r="8" spans="1:71" x14ac:dyDescent="0.35">
      <c r="A8" s="17" t="s">
        <v>21</v>
      </c>
      <c r="B8" s="18">
        <f>AVERAGE('Sand Columns'!T44:T46,'Sand Columns'!T56:T58,'Sand Columns'!T68:T70)</f>
        <v>-7.2421437315661905E-2</v>
      </c>
      <c r="C8" s="18"/>
      <c r="D8" s="18"/>
      <c r="E8" s="18">
        <f>AVERAGE('Sand Columns'!U44:U46,'Sand Columns'!U56:U58,'Sand Columns'!U68:U70)/SQRT(3)</f>
        <v>8.2689851141838405E-4</v>
      </c>
      <c r="F8" s="18"/>
      <c r="G8" s="18"/>
      <c r="H8" s="18">
        <f>AVERAGE('Sand Columns'!V44:V46,'Sand Columns'!V56:V58,'Sand Columns'!V68:V70)</f>
        <v>11.620832223673995</v>
      </c>
      <c r="I8" s="18"/>
      <c r="J8" s="18"/>
      <c r="K8" s="18">
        <f>AVERAGE('Sand Columns'!W44:W46,'Sand Columns'!W56:W58,'Sand Columns'!W68:W70)/SQRT(3)</f>
        <v>4.4635061343609053</v>
      </c>
      <c r="L8" s="18"/>
      <c r="M8" s="18"/>
      <c r="N8" s="21"/>
      <c r="O8" s="21"/>
      <c r="BF8" s="89"/>
      <c r="BG8" s="88" t="s">
        <v>22</v>
      </c>
      <c r="BH8" s="88"/>
      <c r="BI8" s="51">
        <f t="shared" ref="BI8:BI10" si="0">C19</f>
        <v>0</v>
      </c>
      <c r="BJ8" s="22">
        <f>((E3/B3)/($B$47*1000))*100</f>
        <v>-1.3241107688419329E-3</v>
      </c>
      <c r="BK8" s="51">
        <f t="shared" ref="BK8:BK10" si="1">C28</f>
        <v>5.7491576979188156E-4</v>
      </c>
      <c r="BL8" s="22">
        <f t="shared" ref="BL8:BL10" si="2">(E7/($B$48*1000))*100</f>
        <v>2.1330335343266005E-2</v>
      </c>
      <c r="BM8" s="51">
        <f t="shared" ref="BM8:BM10" si="3">F28</f>
        <v>9.537653707212719E-2</v>
      </c>
      <c r="BN8" s="22">
        <f t="shared" ref="BN8:BN10" si="4">(K7/($B$48*1000))*100</f>
        <v>0.85329269327018098</v>
      </c>
      <c r="BO8" s="51">
        <f t="shared" ref="BO8:BO10" si="5">F37</f>
        <v>4.6654857235415778E-2</v>
      </c>
      <c r="BP8" s="22">
        <f t="shared" ref="BP8:BP10" si="6">(K11/($B$49*1000))*100</f>
        <v>1.5590193603111142</v>
      </c>
    </row>
    <row r="9" spans="1:71" x14ac:dyDescent="0.35">
      <c r="A9" s="17" t="s">
        <v>23</v>
      </c>
      <c r="B9" s="18">
        <f>AVERAGE('Sand Columns'!T47:T49,'Sand Columns'!T59:T61,'Sand Columns'!T71:T73)</f>
        <v>0.60411566324490873</v>
      </c>
      <c r="C9" s="18"/>
      <c r="D9" s="18"/>
      <c r="E9" s="18">
        <f>AVERAGE('Sand Columns'!U47:U49,'Sand Columns'!U59:U61,'Sand Columns'!U71:U73)/SQRT(3)</f>
        <v>0.6778372100670208</v>
      </c>
      <c r="F9" s="18"/>
      <c r="G9" s="18"/>
      <c r="H9" s="18">
        <f>AVERAGE('Sand Columns'!V47:V49,'Sand Columns'!V59:V61,'Sand Columns'!V71:V73)</f>
        <v>9.9150578874952942</v>
      </c>
      <c r="I9" s="18"/>
      <c r="J9" s="18"/>
      <c r="K9" s="18">
        <f>AVERAGE('Sand Columns'!W47:W49,'Sand Columns'!W59:W61,'Sand Columns'!W71:W73)/SQRT(3)</f>
        <v>0.64500159802983636</v>
      </c>
      <c r="L9" s="18"/>
      <c r="M9" s="18"/>
      <c r="N9" s="21"/>
      <c r="O9" s="21"/>
      <c r="BF9" s="89"/>
      <c r="BG9" s="88" t="s">
        <v>24</v>
      </c>
      <c r="BH9" s="88"/>
      <c r="BI9" s="51">
        <f t="shared" si="0"/>
        <v>0</v>
      </c>
      <c r="BJ9" s="22">
        <f>((E4/B4)/($B$47*1000))*100</f>
        <v>-7.339684371039496E-4</v>
      </c>
      <c r="BK9" s="51">
        <f t="shared" si="1"/>
        <v>0</v>
      </c>
      <c r="BL9" s="22">
        <f t="shared" si="2"/>
        <v>8.2273001268743157E-5</v>
      </c>
      <c r="BM9" s="51">
        <f t="shared" si="3"/>
        <v>2.3895186104244695E-2</v>
      </c>
      <c r="BN9" s="22">
        <f t="shared" si="4"/>
        <v>0.44410050421473435</v>
      </c>
      <c r="BO9" s="51">
        <f t="shared" si="5"/>
        <v>1.2444199548712211E-2</v>
      </c>
      <c r="BP9" s="22">
        <f t="shared" si="6"/>
        <v>5.3027983074014823E-2</v>
      </c>
    </row>
    <row r="10" spans="1:71" x14ac:dyDescent="0.35">
      <c r="A10" s="17" t="s">
        <v>25</v>
      </c>
      <c r="B10" s="21"/>
      <c r="C10" s="21"/>
      <c r="D10" s="21"/>
      <c r="E10" s="21"/>
      <c r="F10" s="21"/>
      <c r="G10" s="21"/>
      <c r="H10" s="18">
        <f>AVERAGE('Sand Columns'!V74:V76,'Sand Columns'!V86:V88,'Sand Columns'!V98:V100)</f>
        <v>217.86876469159753</v>
      </c>
      <c r="I10" s="18"/>
      <c r="J10" s="18"/>
      <c r="K10" s="18">
        <f>AVERAGE('Sand Columns'!W74:W76,'Sand Columns'!W86:W88,'Sand Columns'!W98:W100)/SQRT(3)</f>
        <v>71.906710788071777</v>
      </c>
      <c r="L10" s="18"/>
      <c r="M10" s="18"/>
      <c r="N10" s="21"/>
      <c r="O10" s="18">
        <f>'Water leachate'!S17</f>
        <v>3.0715154342067157E-2</v>
      </c>
      <c r="BF10" s="89"/>
      <c r="BG10" s="88" t="s">
        <v>26</v>
      </c>
      <c r="BH10" s="88"/>
      <c r="BI10" s="51">
        <f t="shared" si="0"/>
        <v>0</v>
      </c>
      <c r="BJ10" s="22">
        <f>((E5/B5)/($B$47*1000))*100</f>
        <v>-8.0420543710769087E-4</v>
      </c>
      <c r="BK10" s="51">
        <f t="shared" si="1"/>
        <v>6.8482123342822278E-4</v>
      </c>
      <c r="BL10" s="22">
        <f t="shared" si="2"/>
        <v>6.7442014798390001E-2</v>
      </c>
      <c r="BM10" s="51">
        <f t="shared" si="3"/>
        <v>1.7480795566810137E-2</v>
      </c>
      <c r="BN10" s="22">
        <f t="shared" si="4"/>
        <v>6.4175006437035761E-2</v>
      </c>
      <c r="BO10" s="51">
        <f t="shared" si="5"/>
        <v>1.5616075081886322E-2</v>
      </c>
      <c r="BP10" s="22">
        <f t="shared" si="6"/>
        <v>0.45416971343638241</v>
      </c>
    </row>
    <row r="11" spans="1:71" x14ac:dyDescent="0.35">
      <c r="A11" s="17" t="s">
        <v>27</v>
      </c>
      <c r="B11" s="21"/>
      <c r="C11" s="21"/>
      <c r="D11" s="21"/>
      <c r="E11" s="21"/>
      <c r="F11" s="21"/>
      <c r="G11" s="21"/>
      <c r="H11" s="18">
        <f>AVERAGE('Sand Columns'!V89:V91,'Sand Columns'!V101:V103,'Sand Columns'!V77:V79)</f>
        <v>90.325535779178423</v>
      </c>
      <c r="I11" s="18"/>
      <c r="J11" s="18"/>
      <c r="K11" s="18">
        <f>AVERAGE('Sand Columns'!W89:W91,'Sand Columns'!W101:W103,'Sand Columns'!W77:W79)/SQRT(3)</f>
        <v>15.783512003789719</v>
      </c>
      <c r="L11" s="18"/>
      <c r="M11" s="18"/>
      <c r="N11" s="21"/>
      <c r="O11" s="21"/>
      <c r="BF11" s="9" t="s">
        <v>28</v>
      </c>
      <c r="BG11" s="88" t="s">
        <v>29</v>
      </c>
      <c r="BH11" s="88"/>
      <c r="BI11" s="51">
        <f>I18</f>
        <v>0.34183802948984898</v>
      </c>
      <c r="BJ11" s="22">
        <f>((STDEV('Water leachate'!K4:K18))/(AVERAGE('Water leachate'!K4:K18)))/((B47*1000))</f>
        <v>1.2745186389156189E-3</v>
      </c>
      <c r="BK11" s="51">
        <f>I27</f>
        <v>0.53087913192421721</v>
      </c>
      <c r="BL11" s="22">
        <f>(((STDEV('Water leachate'!K19:K33))*(SQRT(3)))/(B47*1000))*100</f>
        <v>10.920778224716395</v>
      </c>
      <c r="BM11" s="51">
        <f>L27</f>
        <v>2.5810622331466935E-4</v>
      </c>
      <c r="BN11" s="22">
        <f>(((STDEV('Water leachate'!M19:M33))/SQRT(3))/(B48*1000)*100)</f>
        <v>2.2610044302311294E-3</v>
      </c>
      <c r="BO11" s="51">
        <f>L36</f>
        <v>5.4306722908238057E-5</v>
      </c>
      <c r="BP11" s="22">
        <f>(STDEV('Water leachate'!M34:M48))</f>
        <v>5.3307387005149018E-2</v>
      </c>
    </row>
    <row r="12" spans="1:71" x14ac:dyDescent="0.35">
      <c r="A12" s="17" t="s">
        <v>30</v>
      </c>
      <c r="B12" s="21"/>
      <c r="C12" s="21"/>
      <c r="D12" s="21"/>
      <c r="E12" s="21"/>
      <c r="F12" s="21"/>
      <c r="G12" s="21"/>
      <c r="H12" s="18">
        <f>AVERAGE('Sand Columns'!V80:V82,'Sand Columns'!V92:V94,'Sand Columns'!V104:V106)</f>
        <v>14.780975703659772</v>
      </c>
      <c r="I12" s="18"/>
      <c r="J12" s="18"/>
      <c r="K12" s="18">
        <f>AVERAGE('Sand Columns'!W80:W82,'Sand Columns'!W92:W94,'Sand Columns'!W104:W106)/SQRT(3)</f>
        <v>0.53685530064132614</v>
      </c>
      <c r="L12" s="18"/>
      <c r="M12" s="18"/>
      <c r="N12" s="21"/>
      <c r="O12" s="21"/>
      <c r="BF12" s="88" t="s">
        <v>31</v>
      </c>
      <c r="BG12" s="88"/>
      <c r="BH12" s="88"/>
      <c r="BI12" s="51">
        <f>1-SUM(BI7:BI11)</f>
        <v>0.65754181971372849</v>
      </c>
      <c r="BJ12" s="22"/>
      <c r="BK12" s="51">
        <f>1-SUM(BK7:BK11)</f>
        <v>0.45634979099548001</v>
      </c>
      <c r="BL12" s="22"/>
      <c r="BM12" s="51">
        <f>1-SUM(BM7:BM11)</f>
        <v>0.66934565227087983</v>
      </c>
      <c r="BN12" s="22"/>
      <c r="BO12" s="51">
        <f>1-SUM(BO7:BO11)</f>
        <v>0.8086726117669214</v>
      </c>
      <c r="BP12" s="22"/>
    </row>
    <row r="13" spans="1:71" x14ac:dyDescent="0.35">
      <c r="A13" s="17" t="s">
        <v>32</v>
      </c>
      <c r="B13" s="21"/>
      <c r="C13" s="21"/>
      <c r="D13" s="21"/>
      <c r="E13" s="21"/>
      <c r="F13" s="21"/>
      <c r="G13" s="21"/>
      <c r="H13" s="18">
        <f>AVERAGE('Sand Columns'!V107:V109,'Sand Columns'!V95:V97)</f>
        <v>33.434300033939358</v>
      </c>
      <c r="I13" s="18"/>
      <c r="J13" s="18"/>
      <c r="K13" s="18">
        <f>AVERAGE('Sand Columns'!W107:W109,'Sand Columns'!W95:W97)/SQRT(3)</f>
        <v>4.5980141788299349</v>
      </c>
      <c r="L13" s="18"/>
      <c r="M13" s="18"/>
      <c r="N13" s="21"/>
      <c r="O13" s="21"/>
    </row>
    <row r="16" spans="1:71" ht="29.5" thickBot="1" x14ac:dyDescent="0.4">
      <c r="A16" s="19" t="s">
        <v>0</v>
      </c>
      <c r="B16" s="19" t="s">
        <v>33</v>
      </c>
      <c r="C16" s="19" t="s">
        <v>34</v>
      </c>
      <c r="D16" s="19" t="s">
        <v>35</v>
      </c>
      <c r="E16" s="19" t="s">
        <v>36</v>
      </c>
      <c r="F16" s="19" t="s">
        <v>34</v>
      </c>
      <c r="G16" s="8" t="s">
        <v>35</v>
      </c>
      <c r="H16" s="19" t="s">
        <v>37</v>
      </c>
      <c r="I16" s="19" t="s">
        <v>34</v>
      </c>
      <c r="J16" s="8" t="s">
        <v>35</v>
      </c>
      <c r="K16" s="19" t="s">
        <v>38</v>
      </c>
      <c r="L16" s="19" t="s">
        <v>34</v>
      </c>
      <c r="M16" s="8" t="s">
        <v>35</v>
      </c>
      <c r="BI16" s="88" t="s">
        <v>10</v>
      </c>
      <c r="BJ16" s="88"/>
      <c r="BK16" s="88" t="s">
        <v>11</v>
      </c>
      <c r="BL16" s="88"/>
      <c r="BM16" s="88"/>
      <c r="BN16" s="88"/>
      <c r="BO16" s="88" t="s">
        <v>12</v>
      </c>
      <c r="BP16" s="88"/>
    </row>
    <row r="17" spans="1:68" x14ac:dyDescent="0.35">
      <c r="A17" s="26" t="s">
        <v>39</v>
      </c>
      <c r="B17" s="53">
        <f>AVERAGE('Sand Columns'!C2,'Sand Columns'!C14,'Sand Columns'!C26)</f>
        <v>1.0046333333333335</v>
      </c>
      <c r="C17" s="57">
        <f>B17/$B$17</f>
        <v>1</v>
      </c>
      <c r="D17" s="57"/>
      <c r="E17" s="37"/>
      <c r="F17" s="37"/>
      <c r="G17" s="37"/>
      <c r="H17" s="37"/>
      <c r="I17" s="37"/>
      <c r="J17" s="37"/>
      <c r="K17" s="37"/>
      <c r="L17" s="37"/>
      <c r="M17" s="37"/>
      <c r="N17" s="38"/>
      <c r="BI17" t="s">
        <v>40</v>
      </c>
      <c r="BK17" t="s">
        <v>40</v>
      </c>
      <c r="BM17" t="s">
        <v>41</v>
      </c>
      <c r="BO17" t="s">
        <v>41</v>
      </c>
    </row>
    <row r="18" spans="1:68" x14ac:dyDescent="0.35">
      <c r="A18" s="29" t="s">
        <v>6</v>
      </c>
      <c r="B18" s="25">
        <f>('Error Values'!F5)/1000</f>
        <v>6.2302416177926025E-4</v>
      </c>
      <c r="C18" s="67">
        <f>B18/$B$17</f>
        <v>6.2015079642250258E-4</v>
      </c>
      <c r="D18" s="67">
        <f>'Error Values'!I5</f>
        <v>1.0711945030685871E-3</v>
      </c>
      <c r="E18" s="20"/>
      <c r="F18" s="20"/>
      <c r="G18" s="20"/>
      <c r="H18" s="18">
        <f>'Error Values'!F9/1000</f>
        <v>0.34342187902648535</v>
      </c>
      <c r="I18" s="67">
        <f>H18/$B$17</f>
        <v>0.34183802948984898</v>
      </c>
      <c r="J18" s="67">
        <f>'Error Values'!I9</f>
        <v>0.4376975858306803</v>
      </c>
      <c r="K18" s="21"/>
      <c r="L18" s="21"/>
      <c r="M18" s="21"/>
      <c r="N18" s="30"/>
      <c r="BF18" s="89" t="s">
        <v>19</v>
      </c>
      <c r="BG18" s="88" t="s">
        <v>20</v>
      </c>
      <c r="BH18" s="88"/>
      <c r="BI18" s="18">
        <f>B2</f>
        <v>1.2362786344901544</v>
      </c>
      <c r="BJ18" s="22"/>
      <c r="BK18" s="18">
        <f>B6</f>
        <v>20.146784866634352</v>
      </c>
      <c r="BL18" s="22"/>
      <c r="BM18" s="18">
        <f>H6</f>
        <v>151.17036318114435</v>
      </c>
      <c r="BN18" s="22"/>
      <c r="BO18" s="18">
        <f>H10</f>
        <v>217.86876469159753</v>
      </c>
      <c r="BP18" s="22"/>
    </row>
    <row r="19" spans="1:68" x14ac:dyDescent="0.35">
      <c r="A19" s="29" t="s">
        <v>7</v>
      </c>
      <c r="B19" s="42">
        <v>0</v>
      </c>
      <c r="C19" s="67">
        <f t="shared" ref="C19:C21" si="7">B19/$B$17</f>
        <v>0</v>
      </c>
      <c r="D19" s="67">
        <f>'Error Values'!I6</f>
        <v>1.4349595071599857E-6</v>
      </c>
      <c r="E19" s="21"/>
      <c r="F19" s="21"/>
      <c r="G19" s="21"/>
      <c r="H19" s="21"/>
      <c r="I19" s="21"/>
      <c r="J19" s="21"/>
      <c r="K19" s="21"/>
      <c r="L19" s="21"/>
      <c r="M19" s="21"/>
      <c r="N19" s="30"/>
      <c r="BF19" s="89"/>
      <c r="BG19" s="88" t="s">
        <v>22</v>
      </c>
      <c r="BH19" s="88"/>
      <c r="BI19" s="18">
        <f t="shared" ref="BI19:BI21" si="8">B3</f>
        <v>-7.3013023574624858E-2</v>
      </c>
      <c r="BJ19" s="22"/>
      <c r="BK19" s="18">
        <f t="shared" ref="BK19:BK21" si="9">B7</f>
        <v>0.75807640588832925</v>
      </c>
      <c r="BL19" s="22"/>
      <c r="BM19" s="18">
        <f t="shared" ref="BM19:BM21" si="10">H7</f>
        <v>51.959518210702157</v>
      </c>
      <c r="BN19" s="22"/>
      <c r="BO19" s="18">
        <f t="shared" ref="BO19:BO21" si="11">H11</f>
        <v>90.325535779178423</v>
      </c>
      <c r="BP19" s="22"/>
    </row>
    <row r="20" spans="1:68" x14ac:dyDescent="0.35">
      <c r="A20" s="29" t="s">
        <v>8</v>
      </c>
      <c r="B20" s="42">
        <v>0</v>
      </c>
      <c r="C20" s="67">
        <f t="shared" si="7"/>
        <v>0</v>
      </c>
      <c r="D20" s="67">
        <f>'Error Values'!I7</f>
        <v>6.8091548495746618E-6</v>
      </c>
      <c r="E20" s="21"/>
      <c r="F20" s="21"/>
      <c r="G20" s="21"/>
      <c r="H20" s="21"/>
      <c r="I20" s="21"/>
      <c r="J20" s="21"/>
      <c r="K20" s="21"/>
      <c r="L20" s="21"/>
      <c r="M20" s="21"/>
      <c r="N20" s="30"/>
      <c r="BF20" s="89"/>
      <c r="BG20" s="88" t="s">
        <v>24</v>
      </c>
      <c r="BH20" s="88"/>
      <c r="BI20" s="18">
        <f t="shared" si="8"/>
        <v>-7.279374205102275E-2</v>
      </c>
      <c r="BJ20" s="22"/>
      <c r="BK20" s="18">
        <f t="shared" si="9"/>
        <v>-7.2421437315661905E-2</v>
      </c>
      <c r="BL20" s="22"/>
      <c r="BM20" s="18">
        <f t="shared" si="10"/>
        <v>11.620832223673995</v>
      </c>
      <c r="BN20" s="22"/>
      <c r="BO20" s="18">
        <f t="shared" si="11"/>
        <v>14.780975703659772</v>
      </c>
      <c r="BP20" s="22"/>
    </row>
    <row r="21" spans="1:68" ht="15" thickBot="1" x14ac:dyDescent="0.4">
      <c r="A21" s="31" t="s">
        <v>9</v>
      </c>
      <c r="B21" s="43">
        <v>0</v>
      </c>
      <c r="C21" s="58">
        <f t="shared" si="7"/>
        <v>0</v>
      </c>
      <c r="D21" s="58">
        <f>'Error Values'!I8</f>
        <v>3.4231798160119289E-6</v>
      </c>
      <c r="E21" s="34"/>
      <c r="F21" s="34"/>
      <c r="G21" s="34"/>
      <c r="H21" s="34"/>
      <c r="I21" s="34"/>
      <c r="J21" s="34"/>
      <c r="K21" s="34"/>
      <c r="L21" s="34"/>
      <c r="M21" s="34"/>
      <c r="N21" s="35"/>
      <c r="BF21" s="89"/>
      <c r="BG21" s="88" t="s">
        <v>26</v>
      </c>
      <c r="BH21" s="88"/>
      <c r="BI21" s="18">
        <f t="shared" si="8"/>
        <v>-7.3182171182410827E-2</v>
      </c>
      <c r="BJ21" s="22"/>
      <c r="BK21" s="18">
        <f t="shared" si="9"/>
        <v>0.60411566324490873</v>
      </c>
      <c r="BL21" s="22"/>
      <c r="BM21" s="18">
        <f t="shared" si="10"/>
        <v>9.9150578874952942</v>
      </c>
      <c r="BN21" s="22"/>
      <c r="BO21" s="18">
        <f t="shared" si="11"/>
        <v>33.434300033939358</v>
      </c>
      <c r="BP21" s="22"/>
    </row>
    <row r="22" spans="1:68" x14ac:dyDescent="0.35">
      <c r="A22" s="17" t="s">
        <v>42</v>
      </c>
      <c r="B22" s="87">
        <f>SUM(B18:B21)</f>
        <v>6.2302416177926025E-4</v>
      </c>
      <c r="C22" s="87"/>
      <c r="D22" s="87"/>
      <c r="E22" s="87"/>
      <c r="F22" s="24"/>
      <c r="G22" s="24"/>
      <c r="BF22" s="9" t="s">
        <v>28</v>
      </c>
      <c r="BG22" s="88" t="s">
        <v>29</v>
      </c>
      <c r="BH22" s="88"/>
      <c r="BI22" s="18">
        <f>N2</f>
        <v>138.55700787401571</v>
      </c>
      <c r="BJ22" s="22"/>
      <c r="BK22" s="18">
        <f>N6</f>
        <v>148.75493557623477</v>
      </c>
      <c r="BL22" s="18"/>
      <c r="BM22" s="18">
        <f>O6</f>
        <v>3.0715154342067157E-2</v>
      </c>
      <c r="BN22" s="18"/>
      <c r="BO22" s="18">
        <f>O10</f>
        <v>3.0715154342067157E-2</v>
      </c>
      <c r="BP22" s="22"/>
    </row>
    <row r="23" spans="1:68" x14ac:dyDescent="0.35">
      <c r="A23" s="17" t="s">
        <v>43</v>
      </c>
      <c r="B23" s="24">
        <f>B22+H18</f>
        <v>0.34404490318826464</v>
      </c>
      <c r="C23" s="24"/>
      <c r="D23" s="24"/>
      <c r="E23" s="24"/>
      <c r="F23" s="24"/>
      <c r="G23" s="24"/>
      <c r="BF23" s="88" t="s">
        <v>31</v>
      </c>
      <c r="BG23" s="88"/>
      <c r="BH23" s="88"/>
      <c r="BI23" s="18">
        <f>(BI25*1000)-(SUM(BI18:BI22))</f>
        <v>865.05903576163564</v>
      </c>
      <c r="BJ23" s="22"/>
      <c r="BK23" s="18">
        <f>(BK25*1000)-(SUM(BK18:BK22))</f>
        <v>834.87517559198341</v>
      </c>
      <c r="BL23" s="18"/>
      <c r="BM23" s="18">
        <f>(BM25*1000)-(SUM(BM18:BM22))</f>
        <v>780.37018000931221</v>
      </c>
      <c r="BN23" s="18"/>
      <c r="BO23" s="18">
        <f>(BO25*1000)-(SUM(BO18:BO22))</f>
        <v>655.9597086372828</v>
      </c>
      <c r="BP23" s="22"/>
    </row>
    <row r="24" spans="1:68" x14ac:dyDescent="0.35">
      <c r="A24" s="17" t="s">
        <v>44</v>
      </c>
      <c r="B24" s="11">
        <f>B17-B23</f>
        <v>0.66058843014506885</v>
      </c>
      <c r="C24" s="11"/>
      <c r="D24" s="11"/>
      <c r="E24" s="24"/>
      <c r="F24" s="24"/>
      <c r="G24" s="24"/>
    </row>
    <row r="25" spans="1:68" ht="15" thickBot="1" x14ac:dyDescent="0.4">
      <c r="A25" s="17"/>
      <c r="B25" s="24"/>
      <c r="C25" s="24"/>
      <c r="D25" s="24"/>
      <c r="BF25" s="88" t="s">
        <v>45</v>
      </c>
      <c r="BG25" s="88"/>
      <c r="BH25" s="88"/>
      <c r="BI25" s="22">
        <f>B47</f>
        <v>1.0046333333333335</v>
      </c>
      <c r="BK25" s="23">
        <f>B48</f>
        <v>1.0050666666666701</v>
      </c>
      <c r="BM25" s="23">
        <f>B48</f>
        <v>1.0050666666666701</v>
      </c>
      <c r="BO25">
        <f>B49</f>
        <v>1.0124</v>
      </c>
    </row>
    <row r="26" spans="1:68" x14ac:dyDescent="0.35">
      <c r="A26" s="26" t="s">
        <v>39</v>
      </c>
      <c r="B26" s="56">
        <f>C48</f>
        <v>0.66511764705882581</v>
      </c>
      <c r="C26" s="57">
        <f>B26/$B$26</f>
        <v>1</v>
      </c>
      <c r="D26" s="57"/>
      <c r="E26" s="56">
        <f>E48</f>
        <v>0.33994901960784429</v>
      </c>
      <c r="F26" s="54"/>
      <c r="G26" s="54"/>
      <c r="H26" s="27"/>
      <c r="I26" s="27"/>
      <c r="J26" s="27"/>
      <c r="K26" s="27"/>
      <c r="L26" s="27"/>
      <c r="M26" s="28"/>
      <c r="N26" s="1" t="s">
        <v>46</v>
      </c>
    </row>
    <row r="27" spans="1:68" x14ac:dyDescent="0.35">
      <c r="A27" s="29" t="s">
        <v>13</v>
      </c>
      <c r="B27" s="24">
        <f>('Error Values'!J5)/1000</f>
        <v>7.6563954265632143E-3</v>
      </c>
      <c r="C27" s="67">
        <f>B27/$B$26</f>
        <v>1.151134007708271E-2</v>
      </c>
      <c r="D27" s="67">
        <f>'Error Values'!M5</f>
        <v>6.5640540473884115E-3</v>
      </c>
      <c r="E27" s="24">
        <f>('Error Values'!N5)/1000</f>
        <v>6.5828993706367023E-2</v>
      </c>
      <c r="F27" s="67">
        <f>E27/$E$26</f>
        <v>0.1936437227626234</v>
      </c>
      <c r="G27" s="67">
        <f>'Error Values'!Q5</f>
        <v>3.6038722599184496E-2</v>
      </c>
      <c r="H27" s="18">
        <f>'Error Values'!J24/1000</f>
        <v>0.35309707909806731</v>
      </c>
      <c r="I27" s="67">
        <f>H27/$B$26</f>
        <v>0.53087913192421721</v>
      </c>
      <c r="J27" s="67">
        <f>'Error Values'!M9</f>
        <v>9.5236203276603051E-2</v>
      </c>
      <c r="K27" s="68">
        <f>'Error Values'!N9/1000</f>
        <v>8.7742957570505163E-5</v>
      </c>
      <c r="L27" s="51">
        <f>K27/E26</f>
        <v>2.5810622331466935E-4</v>
      </c>
      <c r="M27" s="59">
        <f>'Error Values'!Q9</f>
        <v>1.1578255189230735E-4</v>
      </c>
      <c r="N27" s="23">
        <f>SUM(B27:E27)</f>
        <v>9.1560783257401357E-2</v>
      </c>
    </row>
    <row r="28" spans="1:68" x14ac:dyDescent="0.35">
      <c r="A28" s="29" t="s">
        <v>18</v>
      </c>
      <c r="B28" s="24">
        <f>('Error Values'!J6)/1000</f>
        <v>3.8238662406098981E-4</v>
      </c>
      <c r="C28" s="67">
        <f t="shared" ref="C28:C30" si="12">B28/$B$26</f>
        <v>5.7491576979188156E-4</v>
      </c>
      <c r="D28" s="67">
        <f>'Error Values'!M6</f>
        <v>4.0533851266787738E-4</v>
      </c>
      <c r="E28" s="24">
        <f>('Error Values'!N6)/1000</f>
        <v>3.2423160271260854E-2</v>
      </c>
      <c r="F28" s="67">
        <f t="shared" ref="F28:F29" si="13">E28/$E$26</f>
        <v>9.537653707212719E-2</v>
      </c>
      <c r="G28" s="67">
        <f>'Error Values'!Q6</f>
        <v>3.3269298042191225E-2</v>
      </c>
      <c r="H28" s="21"/>
      <c r="I28" s="21"/>
      <c r="J28" s="21"/>
      <c r="K28" s="21"/>
      <c r="L28" s="21"/>
      <c r="M28" s="30"/>
      <c r="N28" s="23">
        <f t="shared" ref="N28:N30" si="14">SUM(B28:E28)</f>
        <v>3.3785801177781599E-2</v>
      </c>
    </row>
    <row r="29" spans="1:68" x14ac:dyDescent="0.35">
      <c r="A29" s="29" t="s">
        <v>21</v>
      </c>
      <c r="B29" s="49">
        <v>0</v>
      </c>
      <c r="C29" s="67">
        <f t="shared" si="12"/>
        <v>0</v>
      </c>
      <c r="D29" s="67">
        <f>'Error Values'!M7</f>
        <v>8.0149731767158636E-6</v>
      </c>
      <c r="E29" s="24">
        <f>('Error Values'!N7)/1000</f>
        <v>8.1231450894849681E-3</v>
      </c>
      <c r="F29" s="67">
        <f t="shared" si="13"/>
        <v>2.3895186104244695E-2</v>
      </c>
      <c r="G29" s="67">
        <f>'Error Values'!Q7</f>
        <v>1.2868600118527529E-2</v>
      </c>
      <c r="H29" s="21"/>
      <c r="I29" s="21"/>
      <c r="J29" s="21"/>
      <c r="K29" s="21"/>
      <c r="L29" s="21"/>
      <c r="M29" s="30"/>
      <c r="N29" s="23">
        <f t="shared" si="14"/>
        <v>8.1311600626616833E-3</v>
      </c>
    </row>
    <row r="30" spans="1:68" ht="15" thickBot="1" x14ac:dyDescent="0.4">
      <c r="A30" s="31" t="s">
        <v>23</v>
      </c>
      <c r="B30" s="32">
        <f>('Error Values'!J8)/1000</f>
        <v>4.5548668743370247E-4</v>
      </c>
      <c r="C30" s="58">
        <f t="shared" si="12"/>
        <v>6.8482123342822278E-4</v>
      </c>
      <c r="D30" s="58">
        <f>'Error Values'!M8</f>
        <v>1.504696513744878E-3</v>
      </c>
      <c r="E30" s="32">
        <f>('Error Values'!N8)/1000</f>
        <v>5.942579314902257E-3</v>
      </c>
      <c r="F30" s="58">
        <f>E30/$E$26</f>
        <v>1.7480795566810137E-2</v>
      </c>
      <c r="G30" s="58">
        <f>'Error Values'!Q8</f>
        <v>1.0170227686285302E-2</v>
      </c>
      <c r="H30" s="34"/>
      <c r="I30" s="34"/>
      <c r="J30" s="34"/>
      <c r="K30" s="34"/>
      <c r="L30" s="34"/>
      <c r="M30" s="35"/>
      <c r="N30" s="23">
        <f t="shared" si="14"/>
        <v>8.58758374950906E-3</v>
      </c>
    </row>
    <row r="31" spans="1:68" x14ac:dyDescent="0.35">
      <c r="A31" s="17" t="s">
        <v>42</v>
      </c>
      <c r="B31" s="87">
        <f>SUM(B27:E30)</f>
        <v>0.14206532824735368</v>
      </c>
      <c r="C31" s="87"/>
      <c r="D31" s="87"/>
      <c r="E31" s="87"/>
      <c r="F31" s="24"/>
      <c r="G31" s="24"/>
      <c r="N31" s="18">
        <f>SUM(H27:K27)</f>
        <v>0.97930015725645814</v>
      </c>
    </row>
    <row r="32" spans="1:68" x14ac:dyDescent="0.35">
      <c r="A32" s="17" t="s">
        <v>43</v>
      </c>
      <c r="B32" s="24">
        <f>B31+H27+K27</f>
        <v>0.49525015030299152</v>
      </c>
      <c r="C32" s="24"/>
      <c r="D32" s="24"/>
      <c r="E32" s="24"/>
      <c r="F32" s="24"/>
      <c r="G32" s="24"/>
    </row>
    <row r="33" spans="1:13" x14ac:dyDescent="0.35">
      <c r="A33" s="17" t="s">
        <v>44</v>
      </c>
      <c r="B33" s="11">
        <f>B26-B32</f>
        <v>0.16986749675583429</v>
      </c>
      <c r="C33" s="11"/>
      <c r="D33" s="11"/>
      <c r="E33" s="24"/>
      <c r="F33" s="24"/>
      <c r="G33" s="24"/>
    </row>
    <row r="34" spans="1:13" ht="15" thickBot="1" x14ac:dyDescent="0.4">
      <c r="A34" s="17"/>
      <c r="B34" s="24"/>
      <c r="C34" s="24"/>
      <c r="D34" s="24"/>
      <c r="E34" s="22"/>
      <c r="F34" s="22"/>
      <c r="G34" s="22"/>
    </row>
    <row r="35" spans="1:13" x14ac:dyDescent="0.35">
      <c r="A35" s="26" t="s">
        <v>39</v>
      </c>
      <c r="B35" s="54">
        <f>AVERAGE('Sand Columns'!C74,'Sand Columns'!C86,'Sand Columns'!C98)</f>
        <v>1.0124</v>
      </c>
      <c r="C35" s="60">
        <f>B35/$B$35</f>
        <v>1</v>
      </c>
      <c r="D35" s="60"/>
      <c r="E35" s="36"/>
      <c r="F35" s="36"/>
      <c r="G35" s="36"/>
      <c r="H35" s="27"/>
      <c r="I35" s="27"/>
      <c r="J35" s="27"/>
      <c r="K35" s="27"/>
      <c r="L35" s="27"/>
      <c r="M35" s="28"/>
    </row>
    <row r="36" spans="1:13" x14ac:dyDescent="0.35">
      <c r="A36" s="29" t="s">
        <v>25</v>
      </c>
      <c r="B36" s="21">
        <v>0</v>
      </c>
      <c r="C36" s="21"/>
      <c r="D36" s="21"/>
      <c r="E36" s="24">
        <f>('Error Values'!R5)/1000</f>
        <v>0.11800326821974366</v>
      </c>
      <c r="F36" s="51">
        <f>E36/$B$35</f>
        <v>0.11655794964415613</v>
      </c>
      <c r="G36" s="51">
        <f>'Error Values'!Q5</f>
        <v>3.6038722599184496E-2</v>
      </c>
      <c r="H36" s="21"/>
      <c r="I36" s="21"/>
      <c r="J36" s="21"/>
      <c r="K36" s="68">
        <f>'Error Values'!R9/1000</f>
        <v>5.4980126272300205E-5</v>
      </c>
      <c r="L36" s="51">
        <f>K36/B35</f>
        <v>5.4306722908238057E-5</v>
      </c>
      <c r="M36" s="59">
        <f>'Error Values'!U9</f>
        <v>5.26544715578319E-5</v>
      </c>
    </row>
    <row r="37" spans="1:13" x14ac:dyDescent="0.35">
      <c r="A37" s="29" t="s">
        <v>27</v>
      </c>
      <c r="B37" s="21">
        <v>0</v>
      </c>
      <c r="C37" s="21"/>
      <c r="D37" s="21"/>
      <c r="E37" s="24">
        <f>('Error Values'!R6)/1000</f>
        <v>4.7233377465134931E-2</v>
      </c>
      <c r="F37" s="51">
        <f>E37/$B$35</f>
        <v>4.6654857235415778E-2</v>
      </c>
      <c r="G37" s="51">
        <f>'Error Values'!Q6</f>
        <v>3.3269298042191225E-2</v>
      </c>
      <c r="H37" s="21"/>
      <c r="I37" s="21"/>
      <c r="J37" s="21"/>
      <c r="K37" s="21"/>
      <c r="L37" s="21"/>
      <c r="M37" s="30"/>
    </row>
    <row r="38" spans="1:13" x14ac:dyDescent="0.35">
      <c r="A38" s="29" t="s">
        <v>30</v>
      </c>
      <c r="B38" s="21">
        <v>0</v>
      </c>
      <c r="C38" s="21"/>
      <c r="D38" s="21"/>
      <c r="E38" s="24">
        <f>('Error Values'!R7)/1000</f>
        <v>1.2598507623116241E-2</v>
      </c>
      <c r="F38" s="51">
        <f>E38/$B$35</f>
        <v>1.2444199548712211E-2</v>
      </c>
      <c r="G38" s="51">
        <f>'Error Values'!Q7</f>
        <v>1.2868600118527529E-2</v>
      </c>
      <c r="H38" s="21"/>
      <c r="I38" s="21"/>
      <c r="J38" s="21"/>
      <c r="K38" s="21"/>
      <c r="L38" s="21"/>
      <c r="M38" s="30"/>
    </row>
    <row r="39" spans="1:13" ht="15" thickBot="1" x14ac:dyDescent="0.4">
      <c r="A39" s="31" t="s">
        <v>32</v>
      </c>
      <c r="B39" s="34">
        <v>0</v>
      </c>
      <c r="C39" s="34"/>
      <c r="D39" s="34"/>
      <c r="E39" s="32">
        <f>('Error Values'!R8)/1000</f>
        <v>1.5809714412901712E-2</v>
      </c>
      <c r="F39" s="61">
        <f>E39/$B$35</f>
        <v>1.5616075081886322E-2</v>
      </c>
      <c r="G39" s="61">
        <f>'Error Values'!Q8</f>
        <v>1.0170227686285302E-2</v>
      </c>
      <c r="H39" s="34"/>
      <c r="I39" s="34"/>
      <c r="J39" s="34"/>
      <c r="K39" s="34"/>
      <c r="L39" s="34"/>
      <c r="M39" s="35"/>
    </row>
    <row r="40" spans="1:13" x14ac:dyDescent="0.35">
      <c r="A40" s="17" t="s">
        <v>42</v>
      </c>
      <c r="B40" s="87">
        <f>SUM(E36:E39)</f>
        <v>0.19364486772089654</v>
      </c>
      <c r="C40" s="87"/>
      <c r="D40" s="87"/>
      <c r="E40" s="87"/>
      <c r="F40" s="24"/>
      <c r="G40" s="24"/>
    </row>
    <row r="41" spans="1:13" x14ac:dyDescent="0.35">
      <c r="A41" s="17" t="s">
        <v>43</v>
      </c>
      <c r="B41" s="23">
        <f>B40+K36</f>
        <v>0.19369984784716884</v>
      </c>
      <c r="C41" s="23"/>
      <c r="D41" s="23"/>
    </row>
    <row r="42" spans="1:13" x14ac:dyDescent="0.35">
      <c r="A42" s="17" t="s">
        <v>44</v>
      </c>
      <c r="B42" s="11">
        <f>B35-B41</f>
        <v>0.8187001521528311</v>
      </c>
      <c r="C42" s="11"/>
      <c r="D42" s="11"/>
    </row>
    <row r="46" spans="1:13" ht="15" thickBot="1" x14ac:dyDescent="0.4">
      <c r="A46" s="19" t="s">
        <v>0</v>
      </c>
      <c r="B46" s="19" t="s">
        <v>33</v>
      </c>
      <c r="C46" s="19" t="s">
        <v>10</v>
      </c>
      <c r="D46" s="19"/>
      <c r="E46" s="19" t="s">
        <v>12</v>
      </c>
    </row>
    <row r="47" spans="1:13" x14ac:dyDescent="0.35">
      <c r="A47" s="26" t="s">
        <v>47</v>
      </c>
      <c r="B47" s="44">
        <v>1.0046333333333335</v>
      </c>
      <c r="C47" s="55">
        <f>B47</f>
        <v>1.0046333333333335</v>
      </c>
      <c r="D47" s="55"/>
      <c r="E47">
        <v>0</v>
      </c>
    </row>
    <row r="48" spans="1:13" ht="29" x14ac:dyDescent="0.35">
      <c r="A48" s="45" t="s">
        <v>48</v>
      </c>
      <c r="B48" s="46">
        <f>1.00506666666667</f>
        <v>1.0050666666666701</v>
      </c>
      <c r="C48" s="66">
        <f>($B48/136)*90</f>
        <v>0.66511764705882581</v>
      </c>
      <c r="D48" s="66"/>
      <c r="E48" s="23">
        <f>($B48/136)*46</f>
        <v>0.33994901960784429</v>
      </c>
      <c r="F48">
        <f>90+46</f>
        <v>136</v>
      </c>
    </row>
    <row r="49" spans="1:19" ht="15" thickBot="1" x14ac:dyDescent="0.4">
      <c r="A49" s="47" t="s">
        <v>49</v>
      </c>
      <c r="B49" s="48">
        <v>1.0124</v>
      </c>
      <c r="C49">
        <v>0</v>
      </c>
      <c r="E49">
        <f>B49</f>
        <v>1.0124</v>
      </c>
    </row>
    <row r="51" spans="1:19" x14ac:dyDescent="0.35">
      <c r="A51" s="19" t="s">
        <v>10</v>
      </c>
    </row>
    <row r="52" spans="1:19" x14ac:dyDescent="0.35">
      <c r="A52" s="19" t="s">
        <v>11</v>
      </c>
    </row>
    <row r="53" spans="1:19" x14ac:dyDescent="0.35">
      <c r="A53" s="19" t="s">
        <v>12</v>
      </c>
    </row>
    <row r="59" spans="1:19" x14ac:dyDescent="0.35">
      <c r="A59" s="1"/>
      <c r="B59" s="1"/>
    </row>
    <row r="60" spans="1:19" x14ac:dyDescent="0.35">
      <c r="A60" s="1"/>
      <c r="B60" s="1"/>
    </row>
    <row r="61" spans="1:19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35">
      <c r="A63" s="1"/>
      <c r="B63" s="1"/>
    </row>
    <row r="64" spans="1:19" x14ac:dyDescent="0.35">
      <c r="A64" s="1"/>
      <c r="B64" s="1"/>
    </row>
    <row r="65" spans="1:20" x14ac:dyDescent="0.35">
      <c r="A65" s="1"/>
      <c r="B65" s="1"/>
    </row>
    <row r="66" spans="1:20" x14ac:dyDescent="0.35">
      <c r="A66" s="1"/>
      <c r="B66" s="1"/>
    </row>
    <row r="67" spans="1:20" x14ac:dyDescent="0.35">
      <c r="A67" s="1"/>
      <c r="B67" s="1"/>
    </row>
    <row r="68" spans="1:20" x14ac:dyDescent="0.35">
      <c r="A68" s="1"/>
      <c r="B68" s="1"/>
    </row>
    <row r="69" spans="1:20" x14ac:dyDescent="0.35">
      <c r="A69" s="1"/>
      <c r="B69" s="1"/>
    </row>
    <row r="70" spans="1:20" x14ac:dyDescent="0.35">
      <c r="A70" s="1"/>
      <c r="B70" s="1"/>
    </row>
    <row r="75" spans="1:20" x14ac:dyDescent="0.35">
      <c r="A75" s="1"/>
      <c r="B75" s="1"/>
      <c r="C75" s="1"/>
    </row>
    <row r="76" spans="1:20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x14ac:dyDescent="0.35">
      <c r="A78" s="1"/>
      <c r="B78" s="1"/>
      <c r="C78" s="1"/>
    </row>
    <row r="79" spans="1:20" x14ac:dyDescent="0.35">
      <c r="A79" s="1"/>
      <c r="B79" s="1"/>
      <c r="C79" s="1"/>
    </row>
    <row r="80" spans="1:20" x14ac:dyDescent="0.35">
      <c r="A80" s="1"/>
      <c r="B80" s="1"/>
      <c r="C80" s="1"/>
    </row>
    <row r="81" spans="1:3" x14ac:dyDescent="0.35">
      <c r="A81" s="1"/>
      <c r="B81" s="1"/>
      <c r="C81" s="1"/>
    </row>
    <row r="82" spans="1:3" x14ac:dyDescent="0.35">
      <c r="A82" s="1"/>
      <c r="B82" s="1"/>
      <c r="C82" s="1"/>
    </row>
    <row r="83" spans="1:3" x14ac:dyDescent="0.35">
      <c r="A83" s="1"/>
      <c r="B83" s="1"/>
      <c r="C83" s="1"/>
    </row>
    <row r="84" spans="1:3" x14ac:dyDescent="0.35">
      <c r="A84" s="1"/>
      <c r="B84" s="1"/>
      <c r="C84" s="1"/>
    </row>
    <row r="85" spans="1:3" x14ac:dyDescent="0.35">
      <c r="A85" s="1"/>
      <c r="B85" s="1"/>
      <c r="C85" s="1"/>
    </row>
    <row r="86" spans="1:3" x14ac:dyDescent="0.35">
      <c r="A86" s="1"/>
      <c r="B86" s="1"/>
      <c r="C86" s="1"/>
    </row>
    <row r="87" spans="1:3" x14ac:dyDescent="0.35">
      <c r="A87" s="1"/>
      <c r="B87" s="1"/>
      <c r="C87" s="1"/>
    </row>
    <row r="88" spans="1:3" x14ac:dyDescent="0.35">
      <c r="A88" s="1"/>
      <c r="B88" s="1"/>
      <c r="C88" s="1"/>
    </row>
    <row r="89" spans="1:3" x14ac:dyDescent="0.35">
      <c r="A89" s="1"/>
      <c r="B89" s="1"/>
      <c r="C89" s="1"/>
    </row>
  </sheetData>
  <mergeCells count="28">
    <mergeCell ref="BN3:BO3"/>
    <mergeCell ref="BL3:BM3"/>
    <mergeCell ref="B40:E40"/>
    <mergeCell ref="BG7:BH7"/>
    <mergeCell ref="BG8:BH8"/>
    <mergeCell ref="BG11:BH11"/>
    <mergeCell ref="BF7:BF10"/>
    <mergeCell ref="BF12:BH12"/>
    <mergeCell ref="BG10:BH10"/>
    <mergeCell ref="B22:E22"/>
    <mergeCell ref="BG22:BH22"/>
    <mergeCell ref="B31:E31"/>
    <mergeCell ref="BP3:BQ3"/>
    <mergeCell ref="BR3:BS3"/>
    <mergeCell ref="BG9:BH9"/>
    <mergeCell ref="BF25:BH25"/>
    <mergeCell ref="BI16:BJ16"/>
    <mergeCell ref="BK16:BN16"/>
    <mergeCell ref="BO16:BP16"/>
    <mergeCell ref="BF18:BF21"/>
    <mergeCell ref="BG18:BH18"/>
    <mergeCell ref="BF23:BH23"/>
    <mergeCell ref="BG19:BH19"/>
    <mergeCell ref="BG20:BH20"/>
    <mergeCell ref="BG21:BH21"/>
    <mergeCell ref="BI5:BJ5"/>
    <mergeCell ref="BO5:BP5"/>
    <mergeCell ref="BK5:BN5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C23E7-3B55-461D-A262-7B11F96041CB}">
  <dimension ref="C1:U25"/>
  <sheetViews>
    <sheetView zoomScale="80" zoomScaleNormal="80" workbookViewId="0">
      <selection activeCell="C1" sqref="C1:U28"/>
    </sheetView>
  </sheetViews>
  <sheetFormatPr defaultRowHeight="14.5" x14ac:dyDescent="0.35"/>
  <cols>
    <col min="6" max="6" width="11" customWidth="1"/>
    <col min="7" max="7" width="8.81640625" customWidth="1"/>
    <col min="9" max="9" width="9.81640625" customWidth="1"/>
    <col min="13" max="13" width="12" bestFit="1" customWidth="1"/>
    <col min="21" max="21" width="12" bestFit="1" customWidth="1"/>
  </cols>
  <sheetData>
    <row r="1" spans="3:21" ht="15" thickBot="1" x14ac:dyDescent="0.4">
      <c r="C1" s="103" t="s">
        <v>328</v>
      </c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</row>
    <row r="2" spans="3:21" x14ac:dyDescent="0.35">
      <c r="C2" s="69"/>
      <c r="D2" s="36"/>
      <c r="E2" s="36"/>
      <c r="F2" s="105" t="s">
        <v>10</v>
      </c>
      <c r="G2" s="105"/>
      <c r="H2" s="105"/>
      <c r="I2" s="105"/>
      <c r="J2" s="106" t="s">
        <v>11</v>
      </c>
      <c r="K2" s="106"/>
      <c r="L2" s="106"/>
      <c r="M2" s="106"/>
      <c r="N2" s="106"/>
      <c r="O2" s="106"/>
      <c r="P2" s="106"/>
      <c r="Q2" s="106"/>
      <c r="R2" s="105" t="s">
        <v>12</v>
      </c>
      <c r="S2" s="105"/>
      <c r="T2" s="105"/>
      <c r="U2" s="107"/>
    </row>
    <row r="3" spans="3:21" x14ac:dyDescent="0.35">
      <c r="C3" s="70"/>
      <c r="F3" s="89"/>
      <c r="G3" s="89"/>
      <c r="H3" s="89"/>
      <c r="I3" s="89"/>
      <c r="J3" s="88" t="s">
        <v>10</v>
      </c>
      <c r="K3" s="88"/>
      <c r="L3" s="88"/>
      <c r="M3" s="88"/>
      <c r="N3" s="88" t="s">
        <v>12</v>
      </c>
      <c r="O3" s="88"/>
      <c r="P3" s="88"/>
      <c r="Q3" s="88"/>
      <c r="R3" s="89"/>
      <c r="S3" s="89"/>
      <c r="T3" s="89"/>
      <c r="U3" s="108"/>
    </row>
    <row r="4" spans="3:21" x14ac:dyDescent="0.35">
      <c r="C4" s="70"/>
      <c r="F4" t="s">
        <v>329</v>
      </c>
      <c r="G4" t="s">
        <v>35</v>
      </c>
      <c r="H4" t="s">
        <v>330</v>
      </c>
      <c r="I4" t="s">
        <v>35</v>
      </c>
      <c r="J4" t="s">
        <v>329</v>
      </c>
      <c r="K4" t="s">
        <v>35</v>
      </c>
      <c r="L4" t="s">
        <v>330</v>
      </c>
      <c r="M4" t="s">
        <v>35</v>
      </c>
      <c r="N4" t="s">
        <v>329</v>
      </c>
      <c r="O4" t="s">
        <v>35</v>
      </c>
      <c r="P4" t="s">
        <v>330</v>
      </c>
      <c r="Q4" t="s">
        <v>35</v>
      </c>
      <c r="R4" t="s">
        <v>329</v>
      </c>
      <c r="S4" t="s">
        <v>35</v>
      </c>
      <c r="T4" t="s">
        <v>330</v>
      </c>
      <c r="U4" s="71" t="s">
        <v>35</v>
      </c>
    </row>
    <row r="5" spans="3:21" x14ac:dyDescent="0.35">
      <c r="C5" s="104" t="s">
        <v>19</v>
      </c>
      <c r="D5" s="88" t="s">
        <v>20</v>
      </c>
      <c r="E5" s="88"/>
      <c r="F5" s="18">
        <f>AVERAGE('Sand Columns'!AC2:AC4,'Sand Columns'!AC14:AC16, 'Sand Columns'!AC26:AC29 )</f>
        <v>0.62302416177926023</v>
      </c>
      <c r="G5" s="18">
        <f>STDEV('Sand Columns'!AC2:AC4,'Sand Columns'!AC14:AC16, 'Sand Columns'!AC26:AC29 )</f>
        <v>1.0761577042661383</v>
      </c>
      <c r="H5" s="51">
        <f>AVERAGE('Sand Columns'!AF2:AF4,'Sand Columns'!AF14:AF16, 'Sand Columns'!AF26:AF29 )</f>
        <v>6.2015079642250258E-4</v>
      </c>
      <c r="I5" s="51">
        <f>STDEV('Sand Columns'!AF2:AF4,'Sand Columns'!AF14:AF16, 'Sand Columns'!AF26:AF29 )</f>
        <v>1.0711945030685871E-3</v>
      </c>
      <c r="J5" s="18">
        <f>AVERAGE('Sand Columns'!AC38:AC40,'Sand Columns'!AC50:AC52, 'Sand Columns'!AC62:AC64 )</f>
        <v>7.6563954265632139</v>
      </c>
      <c r="K5" s="18">
        <f>STDEV('Sand Columns'!AC38:AC40,'Sand Columns'!AC50:AC52, 'Sand Columns'!AC62:AC64 )</f>
        <v>6.5944674978079796</v>
      </c>
      <c r="L5" s="51">
        <f>AVERAGE('Sand Columns'!AF38:AF40,'Sand Columns'!AF50:AF52, 'Sand Columns'!AF62:AF64 )</f>
        <v>7.6210844021665086E-3</v>
      </c>
      <c r="M5" s="51">
        <f>STDEV('Sand Columns'!AF38:AF40,'Sand Columns'!AF50:AF52, 'Sand Columns'!AF62:AF64 )</f>
        <v>6.5640540473884115E-3</v>
      </c>
      <c r="N5" s="18">
        <f>AVERAGE('Sand Columns'!AD38:AD40,'Sand Columns'!AD50:AD52, 'Sand Columns'!AD62:AD64 )</f>
        <v>65.828993706367029</v>
      </c>
      <c r="O5" s="18">
        <f>STDEV('Sand Columns'!AD38:AD40,'Sand Columns'!AD50:AD52, 'Sand Columns'!AD62:AD64 )</f>
        <v>23.969990378175336</v>
      </c>
      <c r="P5" s="51">
        <f>AVERAGE('Sand Columns'!AG38:AG40,'Sand Columns'!AG50:AG52, 'Sand Columns'!AG62:AG64 )</f>
        <v>9.8973458300896391E-2</v>
      </c>
      <c r="Q5" s="51">
        <f>STDEV('Sand Columns'!AG38:AG40,'Sand Columns'!AG50:AG52, 'Sand Columns'!AG62:AG64 )</f>
        <v>3.6038722599184496E-2</v>
      </c>
      <c r="R5" s="18">
        <f>AVERAGE('Sand Columns'!AD74:AD76,'Sand Columns'!AD86:AD88, 'Sand Columns'!AD98:AD100 )</f>
        <v>118.00326821974366</v>
      </c>
      <c r="S5" s="18">
        <f>STDEV('Sand Columns'!AD74:AD76,'Sand Columns'!AD86:AD88, 'Sand Columns'!AD98:AD100 )</f>
        <v>124.21491456982902</v>
      </c>
      <c r="T5" s="51">
        <f>AVERAGE('Sand Columns'!AG74:AG76,'Sand Columns'!AG86:AG88, 'Sand Columns'!AG98:AG100 )</f>
        <v>0.17741713626387504</v>
      </c>
      <c r="U5" s="59">
        <f>STDEV('Sand Columns'!AG74:AG76,'Sand Columns'!AG86:AG88, 'Sand Columns'!AG98:AG100 )</f>
        <v>0.18675630562369205</v>
      </c>
    </row>
    <row r="6" spans="3:21" x14ac:dyDescent="0.35">
      <c r="C6" s="104"/>
      <c r="D6" s="88" t="s">
        <v>22</v>
      </c>
      <c r="E6" s="88"/>
      <c r="F6" s="18">
        <f>AVERAGE('Sand Columns'!AC5:AC7,'Sand Columns'!AC17:AC19, 'Sand Columns'!AC29:AC31 )</f>
        <v>-4.8921876910873699E-2</v>
      </c>
      <c r="G6" s="18">
        <f>STDEV('Sand Columns'!AC5:AC7,'Sand Columns'!AC17:AC19, 'Sand Columns'!AC29:AC31 )</f>
        <v>1.4416081528764936E-3</v>
      </c>
      <c r="H6" s="51">
        <f>AVERAGE('Sand Columns'!AF5:AF7,'Sand Columns'!AF17:AF19, 'Sand Columns'!AF29:AF31 )</f>
        <v>-4.8696250948147282E-5</v>
      </c>
      <c r="I6" s="51">
        <f>STDEV('Sand Columns'!AF5:AF7,'Sand Columns'!AF17:AF19, 'Sand Columns'!AF29:AF31 )</f>
        <v>1.4349595071599857E-6</v>
      </c>
      <c r="J6" s="18">
        <f>AVERAGE('Sand Columns'!AC41:AC43,'Sand Columns'!AC53:AC55, 'Sand Columns'!AC65:AC67 )</f>
        <v>0.38238662406098983</v>
      </c>
      <c r="K6" s="18">
        <f>STDEV('Sand Columns'!AC41:AC43,'Sand Columns'!AC53:AC55, 'Sand Columns'!AC65:AC67 )</f>
        <v>0.40721658110990522</v>
      </c>
      <c r="L6" s="51">
        <f>AVERAGE('Sand Columns'!AF41:AF43,'Sand Columns'!AF53:AF55, 'Sand Columns'!AF65:AF67 )</f>
        <v>3.8062307050100181E-4</v>
      </c>
      <c r="M6" s="51">
        <f>STDEV('Sand Columns'!AF41:AF43,'Sand Columns'!AF53:AF55, 'Sand Columns'!AF65:AF67 )</f>
        <v>4.0533851266787738E-4</v>
      </c>
      <c r="N6" s="18">
        <f>AVERAGE('Sand Columns'!AD41:AD43,'Sand Columns'!AD53:AD55, 'Sand Columns'!AD65:AD67 )</f>
        <v>32.423160271260855</v>
      </c>
      <c r="O6" s="18">
        <f>STDEV('Sand Columns'!AD41:AD43,'Sand Columns'!AD53:AD55, 'Sand Columns'!AD65:AD67 )</f>
        <v>22.127997233121029</v>
      </c>
      <c r="P6" s="51">
        <f>AVERAGE('Sand Columns'!AG41:AG43,'Sand Columns'!AG53:AG55, 'Sand Columns'!AG65:AG67 )</f>
        <v>4.8748007836865018E-2</v>
      </c>
      <c r="Q6" s="51">
        <f>STDEV('Sand Columns'!AG41:AG43,'Sand Columns'!AG53:AG55, 'Sand Columns'!AG65:AG67 )</f>
        <v>3.3269298042191225E-2</v>
      </c>
      <c r="R6" s="18">
        <f>AVERAGE('Sand Columns'!AD77:AD79,'Sand Columns'!AD89:AD91, 'Sand Columns'!AD101:AD103 )</f>
        <v>47.233377465134929</v>
      </c>
      <c r="S6" s="18">
        <f>STDEV('Sand Columns'!AD77:AD79,'Sand Columns'!AD89:AD91, 'Sand Columns'!AD101:AD103 )</f>
        <v>57.88816942732344</v>
      </c>
      <c r="T6" s="51">
        <f>AVERAGE('Sand Columns'!AG77:AG79,'Sand Columns'!AG89:AG91, 'Sand Columns'!AG101:AG103 )</f>
        <v>7.101507180572135E-2</v>
      </c>
      <c r="U6" s="59">
        <f>STDEV('Sand Columns'!AG77:AG79,'Sand Columns'!AG89:AG91, 'Sand Columns'!AG101:AG103 )</f>
        <v>8.7034481318165297E-2</v>
      </c>
    </row>
    <row r="7" spans="3:21" x14ac:dyDescent="0.35">
      <c r="C7" s="104"/>
      <c r="D7" s="88" t="s">
        <v>24</v>
      </c>
      <c r="E7" s="88"/>
      <c r="F7" s="18">
        <f>AVERAGE('Sand Columns'!AC8:AC10,'Sand Columns'!AC20:AC22, 'Sand Columns'!AC32:AC34 )</f>
        <v>-4.3586725021258627E-2</v>
      </c>
      <c r="G7" s="18">
        <f>STDEV('Sand Columns'!AC8:AC10,'Sand Columns'!AC20:AC22, 'Sand Columns'!AC32:AC34 )</f>
        <v>6.8407039337109793E-3</v>
      </c>
      <c r="H7" s="51">
        <f>AVERAGE('Sand Columns'!AF8:AF10,'Sand Columns'!AF20:AF22, 'Sand Columns'!AF32:AF34 )</f>
        <v>-4.3385704589991663E-5</v>
      </c>
      <c r="I7" s="51">
        <f>STDEV('Sand Columns'!AF8:AF10,'Sand Columns'!AF20:AF22, 'Sand Columns'!AF32:AF34 )</f>
        <v>6.8091548495746618E-6</v>
      </c>
      <c r="J7" s="18">
        <f>AVERAGE('Sand Columns'!AC44:AC46,'Sand Columns'!AC56:AC58, 'Sand Columns'!AC68:AC70 )</f>
        <v>-4.5706286641932936E-2</v>
      </c>
      <c r="K7" s="18">
        <f>STDEV('Sand Columns'!AC44:AC46,'Sand Columns'!AC56:AC58, 'Sand Columns'!AC68:AC70 )</f>
        <v>8.0521092191012753E-3</v>
      </c>
      <c r="L7" s="51">
        <f>AVERAGE('Sand Columns'!AF44:AF46,'Sand Columns'!AF56:AF58, 'Sand Columns'!AF68:AF70 )</f>
        <v>-4.5495490867579803E-5</v>
      </c>
      <c r="M7" s="51">
        <f>STDEV('Sand Columns'!AF44:AF46,'Sand Columns'!AF56:AF58, 'Sand Columns'!AF68:AF70 )</f>
        <v>8.0149731767158636E-6</v>
      </c>
      <c r="N7" s="18">
        <f>AVERAGE('Sand Columns'!AD44:AD46,'Sand Columns'!AD56:AD58, 'Sand Columns'!AD68:AD70 )</f>
        <v>8.1231450894849679</v>
      </c>
      <c r="O7" s="18">
        <f>STDEV('Sand Columns'!AD44:AD46,'Sand Columns'!AD56:AD58, 'Sand Columns'!AD68:AD70 )</f>
        <v>8.5591330317759553</v>
      </c>
      <c r="P7" s="51">
        <f>AVERAGE('Sand Columns'!AG44:AG46,'Sand Columns'!AG56:AG58, 'Sand Columns'!AG68:AG70 )</f>
        <v>1.2213095119947285E-2</v>
      </c>
      <c r="Q7" s="51">
        <f>STDEV('Sand Columns'!AG44:AG46,'Sand Columns'!AG56:AG58, 'Sand Columns'!AG68:AG70 )</f>
        <v>1.2868600118527529E-2</v>
      </c>
      <c r="R7" s="18">
        <f>AVERAGE('Sand Columns'!AD80:AD82,'Sand Columns'!AD92:AD94, 'Sand Columns'!AD104:AD106 )</f>
        <v>12.598507623116241</v>
      </c>
      <c r="S7" s="18">
        <f>STDEV('Sand Columns'!AD80:AD82,'Sand Columns'!AD92:AD94, 'Sand Columns'!AD104:AD106 )</f>
        <v>10.075665489278357</v>
      </c>
      <c r="T7" s="51">
        <f>AVERAGE('Sand Columns'!AG80:AG82,'Sand Columns'!AG92:AG94, 'Sand Columns'!AG104:AG106 )</f>
        <v>1.8941773201819702E-2</v>
      </c>
      <c r="U7" s="59">
        <f>STDEV('Sand Columns'!AG80:AG82,'Sand Columns'!AG92:AG94, 'Sand Columns'!AG104:AG106 )</f>
        <v>1.5148696676194525E-2</v>
      </c>
    </row>
    <row r="8" spans="3:21" x14ac:dyDescent="0.35">
      <c r="C8" s="104"/>
      <c r="D8" s="88" t="s">
        <v>26</v>
      </c>
      <c r="E8" s="88"/>
      <c r="F8" s="18">
        <f>AVERAGE('Sand Columns'!AC35:AC37,'Sand Columns'!AC11:AC13, 'Sand Columns'!AC23:AC25 )</f>
        <v>-5.3496346015961781E-2</v>
      </c>
      <c r="G8" s="18">
        <f>STDEV('Sand Columns'!AC35:AC37,'Sand Columns'!AC11:AC13, 'Sand Columns'!AC23:AC25)</f>
        <v>3.4390405491594518E-3</v>
      </c>
      <c r="H8" s="51">
        <f>AVERAGE('Sand Columns'!AF35:AF37,'Sand Columns'!AF11:AF13, 'Sand Columns'!AF23:AF25 )</f>
        <v>-5.3249622763822734E-5</v>
      </c>
      <c r="I8" s="51">
        <f>STDEV('Sand Columns'!AF35:AF37,'Sand Columns'!AF11:AF13, 'Sand Columns'!AF23:AF25 )</f>
        <v>3.4231798160119289E-6</v>
      </c>
      <c r="J8" s="18">
        <f>AVERAGE('Sand Columns'!AC47:AC49,'Sand Columns'!AC59:AC61, 'Sand Columns'!AC71:AC73 )</f>
        <v>0.45548668743370246</v>
      </c>
      <c r="K8" s="18">
        <f>STDEV('Sand Columns'!AC47:AC49,'Sand Columns'!AC59:AC61, 'Sand Columns'!AC71:AC73 )</f>
        <v>1.511668274258563</v>
      </c>
      <c r="L8" s="51">
        <f>AVERAGE('Sand Columns'!AF47:AF49,'Sand Columns'!AF59:AF61, 'Sand Columns'!AF71:AF73 )</f>
        <v>4.5338599897179976E-4</v>
      </c>
      <c r="M8" s="51">
        <f>STDEV('Sand Columns'!AF47:AF49,'Sand Columns'!AF59:AF61, 'Sand Columns'!AF71:AF73 )</f>
        <v>1.504696513744878E-3</v>
      </c>
      <c r="N8" s="18">
        <f>AVERAGE('Sand Columns'!AD47:AD49,'Sand Columns'!AD59:AD61, 'Sand Columns'!AD71:AD73 )</f>
        <v>5.9425793149022565</v>
      </c>
      <c r="O8" s="18">
        <f>STDEV('Sand Columns'!AD47:AD49,'Sand Columns'!AD59:AD61, 'Sand Columns'!AD71:AD73 )</f>
        <v>6.7643979087546073</v>
      </c>
      <c r="P8" s="51">
        <f>AVERAGE('Sand Columns'!AG47:AG49,'Sand Columns'!AG59:AG61, 'Sand Columns'!AG71:AG73 )</f>
        <v>8.9346288452585108E-3</v>
      </c>
      <c r="Q8" s="51">
        <f>STDEV('Sand Columns'!AG47:AG49,'Sand Columns'!AG59:AG61, 'Sand Columns'!AG71:AG73 )</f>
        <v>1.0170227686285302E-2</v>
      </c>
      <c r="R8" s="18">
        <f>AVERAGE('Sand Columns'!AD95:AD97,'Sand Columns'!AD105:AD107)</f>
        <v>15.809714412901711</v>
      </c>
      <c r="S8" s="18">
        <f>STDEV('Sand Columns'!AD95:AD97,'Sand Columns'!AD105:AD107)</f>
        <v>17.70380916590409</v>
      </c>
      <c r="T8" s="51">
        <f>AVERAGE('Sand Columns'!AG95:AG97,'Sand Columns'!AG105:AG107)</f>
        <v>2.376980145213833E-2</v>
      </c>
      <c r="U8" s="59">
        <f>STDEV('Sand Columns'!AG95:AG97,'Sand Columns'!AG105:AG107)</f>
        <v>2.6617560433392463E-2</v>
      </c>
    </row>
    <row r="9" spans="3:21" x14ac:dyDescent="0.35">
      <c r="C9" s="72" t="s">
        <v>28</v>
      </c>
      <c r="D9" s="88" t="s">
        <v>29</v>
      </c>
      <c r="E9" s="88"/>
      <c r="F9" s="18">
        <f>AVERAGE('Water leachate'!K4:K18)</f>
        <v>343.42187902648533</v>
      </c>
      <c r="G9" s="18">
        <f>STDEV('Water leachate'!K4:K18)</f>
        <v>439.72558464502924</v>
      </c>
      <c r="H9" s="51">
        <f>AVERAGE('Water leachate'!L4:L18)</f>
        <v>0.34183802948984904</v>
      </c>
      <c r="I9" s="51">
        <f>STDEV('Water leachate'!L4:L18)</f>
        <v>0.4376975858306803</v>
      </c>
      <c r="J9" s="18">
        <f>AVERAGE('Water leachate'!K19:K33)</f>
        <v>353.0970790980673</v>
      </c>
      <c r="K9" s="18">
        <f>STDEV('Water leachate'!K19:K33)</f>
        <v>63.343279438150226</v>
      </c>
      <c r="L9" s="51">
        <f>AVERAGE('Water leachate'!L19:L33)</f>
        <v>0.5308791319242171</v>
      </c>
      <c r="M9" s="51">
        <f>STDEV('Water leachate'!L19:L33)</f>
        <v>9.5236203276603051E-2</v>
      </c>
      <c r="N9" s="18">
        <f>AVERAGE('Water leachate'!M19:M33)</f>
        <v>8.7742957570505167E-2</v>
      </c>
      <c r="O9" s="18">
        <f>STDEV('Water leachate'!M19:M33)</f>
        <v>3.9360165003484299E-2</v>
      </c>
      <c r="P9" s="51">
        <f>AVERAGE('Water leachate'!N19:N33)</f>
        <v>2.5810622331466935E-4</v>
      </c>
      <c r="Q9" s="51">
        <f>STDEV('Water leachate'!N19:N33)</f>
        <v>1.1578255189230735E-4</v>
      </c>
      <c r="R9" s="18">
        <f>AVERAGE('Water leachate'!M34:M48)</f>
        <v>5.4980126272300207E-2</v>
      </c>
      <c r="S9" s="18">
        <f>STDEV('Water leachate'!M34:M48)</f>
        <v>5.3307387005149018E-2</v>
      </c>
      <c r="T9" s="51">
        <f>AVERAGE('Water leachate'!N34:N48)</f>
        <v>5.4306722908238057E-5</v>
      </c>
      <c r="U9" s="59">
        <f>STDEV('Water leachate'!N34:N48)</f>
        <v>5.26544715578319E-5</v>
      </c>
    </row>
    <row r="10" spans="3:21" ht="15" thickBot="1" x14ac:dyDescent="0.4">
      <c r="C10" s="102" t="s">
        <v>31</v>
      </c>
      <c r="D10" s="103"/>
      <c r="E10" s="103"/>
      <c r="F10" s="73">
        <f>('Total Values (Molar Ratio)'!C47*1000)-(SUM(F5:F9))</f>
        <v>660.73443509301694</v>
      </c>
      <c r="G10" s="74"/>
      <c r="H10" s="61">
        <f>1-(SUM(H5:H9))</f>
        <v>0.65768715129203037</v>
      </c>
      <c r="I10" s="74"/>
      <c r="J10" s="73">
        <f>('Total Values (Molar Ratio)'!C48*1000)-(SUM(J5:J9))</f>
        <v>303.57200550934255</v>
      </c>
      <c r="K10" s="74"/>
      <c r="L10" s="61">
        <f>1-(SUM(L5:L9))</f>
        <v>0.46071127009501123</v>
      </c>
      <c r="M10" s="74"/>
      <c r="N10" s="73">
        <f>('Total Values (Molar Ratio)'!E48*1000)-(SUM(N5:N9))</f>
        <v>227.5433982682587</v>
      </c>
      <c r="O10" s="74"/>
      <c r="P10" s="61">
        <f>1-(SUM(P5:P9))</f>
        <v>0.83087270367371813</v>
      </c>
      <c r="Q10" s="74"/>
      <c r="R10" s="73">
        <f>('Total Values (Molar Ratio)'!E49*1000)-(SUM(R5:R9))</f>
        <v>818.70015215283115</v>
      </c>
      <c r="S10" s="74"/>
      <c r="T10" s="61">
        <f>1-(SUM(T5:T9))</f>
        <v>0.70880191055353736</v>
      </c>
      <c r="U10" s="48"/>
    </row>
    <row r="16" spans="3:21" ht="15" thickBot="1" x14ac:dyDescent="0.4">
      <c r="C16" s="103" t="s">
        <v>331</v>
      </c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</row>
    <row r="17" spans="3:21" x14ac:dyDescent="0.35">
      <c r="C17" s="69"/>
      <c r="D17" s="36"/>
      <c r="E17" s="36"/>
      <c r="F17" s="105" t="s">
        <v>10</v>
      </c>
      <c r="G17" s="105"/>
      <c r="H17" s="105"/>
      <c r="I17" s="105"/>
      <c r="J17" s="106" t="s">
        <v>11</v>
      </c>
      <c r="K17" s="106"/>
      <c r="L17" s="106"/>
      <c r="M17" s="106"/>
      <c r="N17" s="106"/>
      <c r="O17" s="106"/>
      <c r="P17" s="106"/>
      <c r="Q17" s="106"/>
      <c r="R17" s="105" t="s">
        <v>12</v>
      </c>
      <c r="S17" s="105"/>
      <c r="T17" s="105"/>
      <c r="U17" s="107"/>
    </row>
    <row r="18" spans="3:21" x14ac:dyDescent="0.35">
      <c r="C18" s="70"/>
      <c r="F18" s="89"/>
      <c r="G18" s="89"/>
      <c r="H18" s="89"/>
      <c r="I18" s="89"/>
      <c r="J18" s="88" t="s">
        <v>10</v>
      </c>
      <c r="K18" s="88"/>
      <c r="L18" s="88"/>
      <c r="M18" s="88"/>
      <c r="N18" s="88" t="s">
        <v>12</v>
      </c>
      <c r="O18" s="88"/>
      <c r="P18" s="88"/>
      <c r="Q18" s="88"/>
      <c r="R18" s="89"/>
      <c r="S18" s="89"/>
      <c r="T18" s="89"/>
      <c r="U18" s="108"/>
    </row>
    <row r="19" spans="3:21" x14ac:dyDescent="0.35">
      <c r="C19" s="70"/>
      <c r="F19" t="s">
        <v>329</v>
      </c>
      <c r="G19" t="s">
        <v>332</v>
      </c>
      <c r="I19" t="s">
        <v>332</v>
      </c>
      <c r="J19" t="s">
        <v>329</v>
      </c>
      <c r="K19" t="s">
        <v>332</v>
      </c>
      <c r="M19" t="s">
        <v>332</v>
      </c>
      <c r="O19" t="s">
        <v>333</v>
      </c>
      <c r="Q19" t="s">
        <v>333</v>
      </c>
      <c r="S19" t="s">
        <v>333</v>
      </c>
      <c r="U19" s="71" t="s">
        <v>333</v>
      </c>
    </row>
    <row r="20" spans="3:21" x14ac:dyDescent="0.35">
      <c r="C20" s="104" t="s">
        <v>19</v>
      </c>
      <c r="D20" s="88" t="s">
        <v>20</v>
      </c>
      <c r="E20" s="88"/>
      <c r="F20" s="18">
        <f t="shared" ref="F20:T20" si="0">F5</f>
        <v>0.62302416177926023</v>
      </c>
      <c r="G20" s="18">
        <f>(F20-J20)/(SQRT(((G5*G5)/9)+((K5*K5)/9)))</f>
        <v>-3.1578959395808233</v>
      </c>
      <c r="H20" s="51">
        <f t="shared" si="0"/>
        <v>6.2015079642250258E-4</v>
      </c>
      <c r="I20" s="18">
        <f>(H20-L20)/(SQRT(((I5*I5)/9)+((M5*M5)/9)))</f>
        <v>-3.1578959395808237</v>
      </c>
      <c r="J20" s="18">
        <f t="shared" si="0"/>
        <v>7.6563954265632139</v>
      </c>
      <c r="K20" s="18">
        <f>G20</f>
        <v>-3.1578959395808233</v>
      </c>
      <c r="L20" s="51">
        <f t="shared" si="0"/>
        <v>7.6210844021665086E-3</v>
      </c>
      <c r="M20" s="18">
        <f>I20</f>
        <v>-3.1578959395808237</v>
      </c>
      <c r="N20" s="18">
        <f t="shared" si="0"/>
        <v>65.828993706367029</v>
      </c>
      <c r="O20" s="18">
        <f>(N20-R20)/(SQRT(((O5*O5)/9)+((S5*S5)/9)))</f>
        <v>-1.2372705769820833</v>
      </c>
      <c r="P20" s="51">
        <f t="shared" si="0"/>
        <v>9.8973458300896391E-2</v>
      </c>
      <c r="Q20" s="18">
        <f>(P20-T20)/(SQRT(((Q5*Q5)/9)+((U5*U5)/9)))</f>
        <v>-1.2372705769820833</v>
      </c>
      <c r="R20" s="18">
        <f t="shared" si="0"/>
        <v>118.00326821974366</v>
      </c>
      <c r="S20" s="18">
        <f>O20</f>
        <v>-1.2372705769820833</v>
      </c>
      <c r="T20" s="51">
        <f t="shared" si="0"/>
        <v>0.17741713626387504</v>
      </c>
      <c r="U20" s="76">
        <f>Q20</f>
        <v>-1.2372705769820833</v>
      </c>
    </row>
    <row r="21" spans="3:21" x14ac:dyDescent="0.35">
      <c r="C21" s="104"/>
      <c r="D21" s="88" t="s">
        <v>22</v>
      </c>
      <c r="E21" s="88"/>
      <c r="F21" s="18">
        <f t="shared" ref="F21:T21" si="1">F6</f>
        <v>-4.8921876910873699E-2</v>
      </c>
      <c r="G21" s="18">
        <f>(F21-J21)/(SQRT(((G6*G6)/9)+((K6*K6)/9)))</f>
        <v>-3.1774673597411263</v>
      </c>
      <c r="H21" s="51">
        <f t="shared" si="1"/>
        <v>-4.8696250948147282E-5</v>
      </c>
      <c r="I21" s="18">
        <f>(H21-L21)/(SQRT(((I6*I6)/9)+((M6*M6)/9)))</f>
        <v>-3.1774673597411258</v>
      </c>
      <c r="J21" s="18">
        <f t="shared" si="1"/>
        <v>0.38238662406098983</v>
      </c>
      <c r="K21" s="18">
        <f t="shared" ref="K21:M24" si="2">G21</f>
        <v>-3.1774673597411263</v>
      </c>
      <c r="L21" s="51">
        <f t="shared" si="1"/>
        <v>3.8062307050100181E-4</v>
      </c>
      <c r="M21" s="18">
        <f t="shared" si="2"/>
        <v>-3.1774673597411258</v>
      </c>
      <c r="N21" s="18">
        <f t="shared" si="1"/>
        <v>32.423160271260855</v>
      </c>
      <c r="O21" s="18">
        <f>(N21-R21)/(SQRT(((O6*O6)/9)+((S6*S6)/9)))</f>
        <v>-0.71693229519626622</v>
      </c>
      <c r="P21" s="51">
        <f t="shared" si="1"/>
        <v>4.8748007836865018E-2</v>
      </c>
      <c r="Q21" s="18">
        <f>(P21-T21)/(SQRT(((Q6*Q6)/9)+((U6*U6)/9)))</f>
        <v>-0.71693229519626667</v>
      </c>
      <c r="R21" s="18">
        <f t="shared" si="1"/>
        <v>47.233377465134929</v>
      </c>
      <c r="S21" s="18">
        <f t="shared" ref="S21:U23" si="3">O21</f>
        <v>-0.71693229519626622</v>
      </c>
      <c r="T21" s="51">
        <f t="shared" si="1"/>
        <v>7.101507180572135E-2</v>
      </c>
      <c r="U21" s="76">
        <f t="shared" si="3"/>
        <v>-0.71693229519626667</v>
      </c>
    </row>
    <row r="22" spans="3:21" x14ac:dyDescent="0.35">
      <c r="C22" s="104"/>
      <c r="D22" s="88" t="s">
        <v>24</v>
      </c>
      <c r="E22" s="88"/>
      <c r="F22" s="18">
        <f t="shared" ref="F22:T22" si="4">F7</f>
        <v>-4.3586725021258627E-2</v>
      </c>
      <c r="G22" s="18">
        <f t="shared" ref="G22:I22" si="5">(F22-J22)/(SQRT(((G7*G7)/9)+((K7*K7)/9)))</f>
        <v>0.60182960247772099</v>
      </c>
      <c r="H22" s="51">
        <f t="shared" si="4"/>
        <v>-4.3385704589991663E-5</v>
      </c>
      <c r="I22" s="18">
        <f t="shared" si="5"/>
        <v>0.60182960247771433</v>
      </c>
      <c r="J22" s="18">
        <f t="shared" si="4"/>
        <v>-4.5706286641932936E-2</v>
      </c>
      <c r="K22" s="18">
        <f t="shared" si="2"/>
        <v>0.60182960247772099</v>
      </c>
      <c r="L22" s="51">
        <f t="shared" si="4"/>
        <v>-4.5495490867579803E-5</v>
      </c>
      <c r="M22" s="18">
        <f t="shared" si="2"/>
        <v>0.60182960247771433</v>
      </c>
      <c r="N22" s="18">
        <f t="shared" si="4"/>
        <v>8.1231450894849679</v>
      </c>
      <c r="O22" s="18">
        <f t="shared" ref="O22:Q22" si="6">(N22-R22)/(SQRT(((O7*O7)/9)+((S7*S7)/9)))</f>
        <v>-1.015561785802517</v>
      </c>
      <c r="P22" s="51">
        <f t="shared" si="4"/>
        <v>1.2213095119947285E-2</v>
      </c>
      <c r="Q22" s="18">
        <f t="shared" si="6"/>
        <v>-1.0155617858025174</v>
      </c>
      <c r="R22" s="18">
        <f t="shared" si="4"/>
        <v>12.598507623116241</v>
      </c>
      <c r="S22" s="18">
        <f t="shared" si="3"/>
        <v>-1.015561785802517</v>
      </c>
      <c r="T22" s="51">
        <f t="shared" si="4"/>
        <v>1.8941773201819702E-2</v>
      </c>
      <c r="U22" s="76">
        <f t="shared" si="3"/>
        <v>-1.0155617858025174</v>
      </c>
    </row>
    <row r="23" spans="3:21" x14ac:dyDescent="0.35">
      <c r="C23" s="104"/>
      <c r="D23" s="88" t="s">
        <v>26</v>
      </c>
      <c r="E23" s="88"/>
      <c r="F23" s="18">
        <f t="shared" ref="F23:T23" si="7">F8</f>
        <v>-5.3496346015961781E-2</v>
      </c>
      <c r="G23" s="18">
        <f>(F23-J23)/(SQRT(((G8*G8)/9)+((K8*K8)/9)))</f>
        <v>-1.0101059702839001</v>
      </c>
      <c r="H23" s="51">
        <f t="shared" si="7"/>
        <v>-5.3249622763822734E-5</v>
      </c>
      <c r="I23" s="18">
        <f>(H23-L23)/(SQRT(((I8*I8)/9)+((M8*M8)/9)))</f>
        <v>-1.0101059702839001</v>
      </c>
      <c r="J23" s="18">
        <f t="shared" si="7"/>
        <v>0.45548668743370246</v>
      </c>
      <c r="K23" s="18">
        <f t="shared" si="2"/>
        <v>-1.0101059702839001</v>
      </c>
      <c r="L23" s="51">
        <f t="shared" si="7"/>
        <v>4.5338599897179976E-4</v>
      </c>
      <c r="M23" s="18">
        <f t="shared" si="2"/>
        <v>-1.0101059702839001</v>
      </c>
      <c r="N23" s="18">
        <f t="shared" si="7"/>
        <v>5.9425793149022565</v>
      </c>
      <c r="O23" s="18">
        <f>(N23-R23)/(SQRT(((O8*O8)/9)+((S8*S8)/9)))</f>
        <v>-1.5619066877574517</v>
      </c>
      <c r="P23" s="51">
        <f t="shared" si="7"/>
        <v>8.9346288452585108E-3</v>
      </c>
      <c r="Q23" s="18">
        <f>(P23-T23)/(SQRT(((Q8*Q8)/9)+((U8*U8)/9)))</f>
        <v>-1.5619066877574512</v>
      </c>
      <c r="R23" s="18">
        <f t="shared" si="7"/>
        <v>15.809714412901711</v>
      </c>
      <c r="S23" s="18">
        <f t="shared" si="3"/>
        <v>-1.5619066877574517</v>
      </c>
      <c r="T23" s="51">
        <f t="shared" si="7"/>
        <v>2.376980145213833E-2</v>
      </c>
      <c r="U23" s="76">
        <f t="shared" si="3"/>
        <v>-1.5619066877574512</v>
      </c>
    </row>
    <row r="24" spans="3:21" x14ac:dyDescent="0.35">
      <c r="C24" s="72" t="s">
        <v>28</v>
      </c>
      <c r="D24" s="88" t="s">
        <v>29</v>
      </c>
      <c r="E24" s="88"/>
      <c r="F24" s="18">
        <f t="shared" ref="F24:T24" si="8">F9</f>
        <v>343.42187902648533</v>
      </c>
      <c r="G24" s="18">
        <f>(F24-J24)/(SQRT(((G9*G9)/3)+((K9*K9)/3)))</f>
        <v>-3.7720631438312974E-2</v>
      </c>
      <c r="H24" s="51">
        <f t="shared" si="8"/>
        <v>0.34183802948984904</v>
      </c>
      <c r="I24" s="18">
        <f>(H24-L24)/(SQRT(((I9*I9)/3)+((M9*M9)/3)))</f>
        <v>-0.73096780417707308</v>
      </c>
      <c r="J24" s="18">
        <f t="shared" si="8"/>
        <v>353.0970790980673</v>
      </c>
      <c r="K24" s="18">
        <f t="shared" si="2"/>
        <v>-3.7720631438312974E-2</v>
      </c>
      <c r="L24" s="51">
        <f t="shared" si="8"/>
        <v>0.5308791319242171</v>
      </c>
      <c r="M24" s="18">
        <f>I24</f>
        <v>-0.73096780417707308</v>
      </c>
      <c r="N24" s="18">
        <f t="shared" si="8"/>
        <v>8.7742957570505167E-2</v>
      </c>
      <c r="O24" s="18">
        <f>(N24-R24)/(SQRT(((O9*O9)/3)+((S9*S9)/3)))</f>
        <v>0.85637755223869649</v>
      </c>
      <c r="P24" s="51">
        <f t="shared" si="8"/>
        <v>2.5810622331466935E-4</v>
      </c>
      <c r="Q24" s="18">
        <f>(P24-T24)/(SQRT(((Q9*Q9)/3)+((U9*U9)/3)))</f>
        <v>2.7752370362414855</v>
      </c>
      <c r="R24" s="18">
        <f t="shared" si="8"/>
        <v>5.4980126272300207E-2</v>
      </c>
      <c r="S24" s="18">
        <f>O24</f>
        <v>0.85637755223869649</v>
      </c>
      <c r="T24" s="51">
        <f t="shared" si="8"/>
        <v>5.4306722908238057E-5</v>
      </c>
      <c r="U24" s="76">
        <f>Q24</f>
        <v>2.7752370362414855</v>
      </c>
    </row>
    <row r="25" spans="3:21" ht="15" thickBot="1" x14ac:dyDescent="0.4">
      <c r="C25" s="102" t="s">
        <v>31</v>
      </c>
      <c r="D25" s="103"/>
      <c r="E25" s="103"/>
      <c r="F25" s="73">
        <f t="shared" ref="F25:T25" si="9">F10</f>
        <v>660.73443509301694</v>
      </c>
      <c r="G25" s="73"/>
      <c r="H25" s="61">
        <f t="shared" si="9"/>
        <v>0.65768715129203037</v>
      </c>
      <c r="I25" s="73"/>
      <c r="J25" s="73">
        <f t="shared" si="9"/>
        <v>303.57200550934255</v>
      </c>
      <c r="K25" s="73"/>
      <c r="L25" s="61">
        <f t="shared" si="9"/>
        <v>0.46071127009501123</v>
      </c>
      <c r="M25" s="73"/>
      <c r="N25" s="73">
        <f t="shared" si="9"/>
        <v>227.5433982682587</v>
      </c>
      <c r="O25" s="73"/>
      <c r="P25" s="61">
        <f t="shared" si="9"/>
        <v>0.83087270367371813</v>
      </c>
      <c r="Q25" s="73"/>
      <c r="R25" s="73">
        <f t="shared" si="9"/>
        <v>818.70015215283115</v>
      </c>
      <c r="S25" s="73"/>
      <c r="T25" s="61">
        <f t="shared" si="9"/>
        <v>0.70880191055353736</v>
      </c>
      <c r="U25" s="75"/>
    </row>
  </sheetData>
  <mergeCells count="26">
    <mergeCell ref="D9:E9"/>
    <mergeCell ref="J3:M3"/>
    <mergeCell ref="F2:I3"/>
    <mergeCell ref="J2:Q2"/>
    <mergeCell ref="N3:Q3"/>
    <mergeCell ref="C5:C8"/>
    <mergeCell ref="D5:E5"/>
    <mergeCell ref="D6:E6"/>
    <mergeCell ref="D7:E7"/>
    <mergeCell ref="D8:E8"/>
    <mergeCell ref="D24:E24"/>
    <mergeCell ref="C25:E25"/>
    <mergeCell ref="C1:U1"/>
    <mergeCell ref="C16:U16"/>
    <mergeCell ref="C20:C23"/>
    <mergeCell ref="D20:E20"/>
    <mergeCell ref="D21:E21"/>
    <mergeCell ref="D22:E22"/>
    <mergeCell ref="D23:E23"/>
    <mergeCell ref="F17:I18"/>
    <mergeCell ref="J17:Q17"/>
    <mergeCell ref="R17:U18"/>
    <mergeCell ref="J18:M18"/>
    <mergeCell ref="N18:Q18"/>
    <mergeCell ref="R2:U3"/>
    <mergeCell ref="C10:E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11" ma:contentTypeDescription="Create a new document." ma:contentTypeScope="" ma:versionID="70cde28db3d6ec5a502d0207600f9154">
  <xsd:schema xmlns:xsd="http://www.w3.org/2001/XMLSchema" xmlns:xs="http://www.w3.org/2001/XMLSchema" xmlns:p="http://schemas.microsoft.com/office/2006/metadata/properties" xmlns:ns2="9e7e862f-fd2b-4f26-8c55-eda3534c9efa" xmlns:ns3="74082bf1-f915-4743-9c52-114cee727a99" targetNamespace="http://schemas.microsoft.com/office/2006/metadata/properties" ma:root="true" ma:fieldsID="035eac00da715372e6d24cf22ffb80c1" ns2:_="" ns3:_="">
    <xsd:import namespace="9e7e862f-fd2b-4f26-8c55-eda3534c9efa"/>
    <xsd:import namespace="74082bf1-f915-4743-9c52-114cee727a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ed3f799-2585-429a-ae92-38aec2d16a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82bf1-f915-4743-9c52-114cee727a9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d9416d7-d281-46f0-b110-ff4bdacec436}" ma:internalName="TaxCatchAll" ma:showField="CatchAllData" ma:web="74082bf1-f915-4743-9c52-114cee727a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DD163F-11D7-48A6-ABFD-1B1708B373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C061F6-3228-4D95-AC21-381F316A6D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7e862f-fd2b-4f26-8c55-eda3534c9efa"/>
    <ds:schemaRef ds:uri="74082bf1-f915-4743-9c52-114cee727a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Total Values (Molar Ratio) (2)</vt:lpstr>
      <vt:lpstr>Legend</vt:lpstr>
      <vt:lpstr>Calibration lines </vt:lpstr>
      <vt:lpstr>Sand Columns</vt:lpstr>
      <vt:lpstr>Water leachate</vt:lpstr>
      <vt:lpstr>Total Values </vt:lpstr>
      <vt:lpstr>Total Values  Normalised</vt:lpstr>
      <vt:lpstr>Total Values (Molar Ratio)</vt:lpstr>
      <vt:lpstr>Error Values</vt:lpstr>
      <vt:lpstr>Solubility tests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Federica Persico</dc:creator>
  <cp:keywords/>
  <dc:description/>
  <cp:lastModifiedBy>Rachel Daniels</cp:lastModifiedBy>
  <cp:revision/>
  <dcterms:created xsi:type="dcterms:W3CDTF">2015-06-05T18:17:20Z</dcterms:created>
  <dcterms:modified xsi:type="dcterms:W3CDTF">2024-10-22T12:25:16Z</dcterms:modified>
  <cp:category/>
  <cp:contentStatus/>
</cp:coreProperties>
</file>